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40.xml" ContentType="application/vnd.openxmlformats-officedocument.spreadsheetml.worksheet+xml"/>
  <Override PartName="/xl/worksheets/sheet38.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9.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externalLinks/externalLink1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480" yWindow="75" windowWidth="27795" windowHeight="13860" tabRatio="832"/>
  </bookViews>
  <sheets>
    <sheet name="Delivery Rate Change Calc" sheetId="1" r:id="rId1"/>
    <sheet name="Delivery Rate Change Calc 26&amp;31" sheetId="2" r:id="rId2"/>
    <sheet name="FPC Rate Change Calc" sheetId="3" r:id="rId3"/>
    <sheet name="Summary of Rates" sheetId="12" r:id="rId4"/>
    <sheet name="Rate Test" sheetId="5" r:id="rId5"/>
    <sheet name="Rate Test 26&amp;31" sheetId="6" r:id="rId6"/>
    <sheet name="Electric Earnings Test" sheetId="66" r:id="rId7"/>
    <sheet name="Earn Test Alloc 2017" sheetId="18" r:id="rId8"/>
    <sheet name="Earn Test Alloc NonRes 2017" sheetId="19" r:id="rId9"/>
    <sheet name="Delivery Deferral Balance" sheetId="31" r:id="rId10"/>
    <sheet name="FPC Deferral Balance" sheetId="32" r:id="rId11"/>
    <sheet name="Electric Account Balance" sheetId="41" r:id="rId12"/>
    <sheet name="Amort Estimate" sheetId="29" r:id="rId13"/>
    <sheet name="Forecast" sheetId="28" r:id="rId14"/>
    <sheet name="Rate Impacts--&gt;" sheetId="42" r:id="rId15"/>
    <sheet name="Impacts Sch 142" sheetId="44" r:id="rId16"/>
    <sheet name="Typical Residential Sch 142" sheetId="45" r:id="rId17"/>
    <sheet name="Sch 142 Impacts" sheetId="46" r:id="rId18"/>
    <sheet name="Work Papers--&gt;" sheetId="16" r:id="rId19"/>
    <sheet name="Res Deferral Calc 2017" sheetId="47" r:id="rId20"/>
    <sheet name="NonRes Deferral Calc 2017" sheetId="48" r:id="rId21"/>
    <sheet name="Sch 12&amp;26 Deferral Calc 2017" sheetId="49" r:id="rId22"/>
    <sheet name="Sch 10&amp;31 Deferral Calc 2017" sheetId="50" r:id="rId23"/>
    <sheet name="Sch 7 Delivery Calc" sheetId="51" r:id="rId24"/>
    <sheet name="Sch 8&amp;24 Delivery Calc" sheetId="52" r:id="rId25"/>
    <sheet name="Non-Res Delivery Calc" sheetId="53" r:id="rId26"/>
    <sheet name="Sch 40 Delivery Calc" sheetId="54" r:id="rId27"/>
    <sheet name="Sch 12&amp;26 Delivery Calc" sheetId="55" r:id="rId28"/>
    <sheet name="Sch 10&amp;31 Delivery Calc" sheetId="56" r:id="rId29"/>
    <sheet name="Sch 46&amp;49 Delivery Calc" sheetId="57" r:id="rId30"/>
    <sheet name="Sch 7 FPC Calc" sheetId="58" r:id="rId31"/>
    <sheet name="Sch 8&amp;24 FPC Calc" sheetId="59" r:id="rId32"/>
    <sheet name="Non-Res FPC Calc" sheetId="60" r:id="rId33"/>
    <sheet name="Sch 40 FPC Calc" sheetId="61" r:id="rId34"/>
    <sheet name="Sch 12&amp;26 FPC Calc" sheetId="62" r:id="rId35"/>
    <sheet name="Sch 10&amp;31 FPC Calc" sheetId="63" r:id="rId36"/>
    <sheet name="Rate Test Revenue" sheetId="43" r:id="rId37"/>
    <sheet name="Elec Margin Calc 2017" sheetId="22" r:id="rId38"/>
    <sheet name="Elec Margin Calc NonRes 2017" sheetId="37" r:id="rId39"/>
    <sheet name="One Time NonRes Alloc 2017" sheetId="35" r:id="rId40"/>
    <sheet name="One Time FPC Alloc 2017" sheetId="36" r:id="rId41"/>
    <sheet name="Elec 2017 Norm Total Usage" sheetId="38" r:id="rId42"/>
    <sheet name="2017 GRC PCA Costs FPC" sheetId="39" r:id="rId43"/>
    <sheet name="Average Cust Counts" sheetId="40" r:id="rId44"/>
    <sheet name="Elect 2017GRC Conv Fctr" sheetId="30" r:id="rId45"/>
    <sheet name="ERF Allowed" sheetId="26" r:id="rId46"/>
    <sheet name="ERF Allowed 26&amp;31" sheetId="27" r:id="rId47"/>
    <sheet name="PCA Deferral" sheetId="65"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______Jun09">" BS!$AI$7:$AI$1643"</definedName>
    <definedName name="_____Apr04" localSheetId="11">[1]BS!$U$7:$U$3582</definedName>
    <definedName name="_____Apr04">[2]BS!$U$7:$U$3582</definedName>
    <definedName name="_____Aug04" localSheetId="11">[1]BS!$Y$7:$Y$3582</definedName>
    <definedName name="_____Aug04">[2]BS!$Y$7:$Y$3582</definedName>
    <definedName name="_____Aug09" localSheetId="11" xml:space="preserve"> [3]BS!$Y$7:$Y$1726</definedName>
    <definedName name="_____Aug09" xml:space="preserve"> [4]BS!$Y$7:$Y$1726</definedName>
    <definedName name="_____Dec03" localSheetId="11">[5]BS!$T$7:$T$3582</definedName>
    <definedName name="_____Dec03">[6]BS!$T$7:$T$3582</definedName>
    <definedName name="_____Dec04" localSheetId="11">[1]BS!$AC$7:$AC$3580</definedName>
    <definedName name="_____Dec04">[2]BS!$AC$7:$AC$3580</definedName>
    <definedName name="_____Feb04" localSheetId="11">[1]BS!$S$7:$S$3582</definedName>
    <definedName name="_____Feb04">[2]BS!$S$7:$S$3582</definedName>
    <definedName name="_____Jan04" localSheetId="11">[1]BS!$R$7:$R$3582</definedName>
    <definedName name="_____Jan04">[2]BS!$R$7:$R$3582</definedName>
    <definedName name="_____Jul04" localSheetId="11">[1]BS!$X$7:$X$3582</definedName>
    <definedName name="_____Jul04">[2]BS!$X$7:$X$3582</definedName>
    <definedName name="_____Jul09" localSheetId="11" xml:space="preserve"> [3]BS!$X$7:$X$1726</definedName>
    <definedName name="_____Jul09" xml:space="preserve"> [4]BS!$X$7:$X$1726</definedName>
    <definedName name="_____Jun04" localSheetId="11">[1]BS!$W$7:$W$3582</definedName>
    <definedName name="_____Jun04">[2]BS!$W$7:$W$3582</definedName>
    <definedName name="_____Jun09">" BS!$AI$7:$AI$1643"</definedName>
    <definedName name="_____Mar04" localSheetId="11">[1]BS!$T$7:$T$3582</definedName>
    <definedName name="_____Mar04">[2]BS!$T$7:$T$3582</definedName>
    <definedName name="_____May04" localSheetId="11">[1]BS!$V$7:$V$3582</definedName>
    <definedName name="_____May04">[2]BS!$V$7:$V$3582</definedName>
    <definedName name="_____Nov03" localSheetId="11">[5]BS!$S$7:$S$3582</definedName>
    <definedName name="_____Nov03">[6]BS!$S$7:$S$3582</definedName>
    <definedName name="_____Nov04" localSheetId="11">[1]BS!$AB$7:$AB$3582</definedName>
    <definedName name="_____Nov04">[2]BS!$AB$7:$AB$3582</definedName>
    <definedName name="_____Oct03" localSheetId="11">[5]BS!$R$7:$R$3582</definedName>
    <definedName name="_____Oct03">[6]BS!$R$7:$R$3582</definedName>
    <definedName name="_____Oct04" localSheetId="11">[1]BS!$AA$7:$AA$3582</definedName>
    <definedName name="_____Oct04">[2]BS!$AA$7:$AA$3582</definedName>
    <definedName name="_____Sep03" localSheetId="11">[5]BS!$Q$7:$Q$3582</definedName>
    <definedName name="_____Sep03">[6]BS!$Q$7:$Q$3582</definedName>
    <definedName name="_____Sep04" localSheetId="11">[1]BS!$Z$7:$Z$3582</definedName>
    <definedName name="_____Sep04">[2]BS!$Z$7:$Z$3582</definedName>
    <definedName name="____Apr04" localSheetId="11">[1]BS!$U$7:$U$3582</definedName>
    <definedName name="____Apr04">[2]BS!$U$7:$U$3582</definedName>
    <definedName name="____Aug04" localSheetId="11">[1]BS!$Y$7:$Y$3582</definedName>
    <definedName name="____Aug04">[2]BS!$Y$7:$Y$3582</definedName>
    <definedName name="____Aug09" localSheetId="11" xml:space="preserve"> [3]BS!$Y$7:$Y$1726</definedName>
    <definedName name="____Aug09" xml:space="preserve"> [4]BS!$Y$7:$Y$1726</definedName>
    <definedName name="____Dec03" localSheetId="11">[5]BS!$T$7:$T$3582</definedName>
    <definedName name="____Dec03">[6]BS!$T$7:$T$3582</definedName>
    <definedName name="____Dec04" localSheetId="11">[1]BS!$AC$7:$AC$3580</definedName>
    <definedName name="____Dec04">[2]BS!$AC$7:$AC$3580</definedName>
    <definedName name="____Feb04" localSheetId="11">[1]BS!$S$7:$S$3582</definedName>
    <definedName name="____Feb04">[2]BS!$S$7:$S$3582</definedName>
    <definedName name="____Jan04" localSheetId="11">[1]BS!$R$7:$R$3582</definedName>
    <definedName name="____Jan04">[2]BS!$R$7:$R$3582</definedName>
    <definedName name="____Jul04" localSheetId="11">[1]BS!$X$7:$X$3582</definedName>
    <definedName name="____Jul04">[2]BS!$X$7:$X$3582</definedName>
    <definedName name="____Jul09" localSheetId="11" xml:space="preserve"> [3]BS!$X$7:$X$1726</definedName>
    <definedName name="____Jul09" xml:space="preserve"> [4]BS!$X$7:$X$1726</definedName>
    <definedName name="____Jun04" localSheetId="11">[1]BS!$W$7:$W$3582</definedName>
    <definedName name="____Jun04">[2]BS!$W$7:$W$3582</definedName>
    <definedName name="____Jun09">" BS!$AI$7:$AI$1643"</definedName>
    <definedName name="____Mar04" localSheetId="11">[1]BS!$T$7:$T$3582</definedName>
    <definedName name="____Mar04">[2]BS!$T$7:$T$3582</definedName>
    <definedName name="____May04" localSheetId="11">[1]BS!$V$7:$V$3582</definedName>
    <definedName name="____May04">[2]BS!$V$7:$V$3582</definedName>
    <definedName name="____Nov03" localSheetId="11">[5]BS!$S$7:$S$3582</definedName>
    <definedName name="____Nov03">[6]BS!$S$7:$S$3582</definedName>
    <definedName name="____Nov04" localSheetId="11">[1]BS!$AB$7:$AB$3582</definedName>
    <definedName name="____Nov04">[2]BS!$AB$7:$AB$3582</definedName>
    <definedName name="____Oct03" localSheetId="11">[5]BS!$R$7:$R$3582</definedName>
    <definedName name="____Oct03">[6]BS!$R$7:$R$3582</definedName>
    <definedName name="____Oct04" localSheetId="11">[1]BS!$AA$7:$AA$3582</definedName>
    <definedName name="____Oct04">[2]BS!$AA$7:$AA$3582</definedName>
    <definedName name="____Sep03" localSheetId="11">[5]BS!$Q$7:$Q$3582</definedName>
    <definedName name="____Sep03">[6]BS!$Q$7:$Q$3582</definedName>
    <definedName name="____Sep04" localSheetId="11">[1]BS!$Z$7:$Z$3582</definedName>
    <definedName name="____Sep04">[2]BS!$Z$7:$Z$3582</definedName>
    <definedName name="___Apr04" localSheetId="11">[1]BS!$U$7:$U$3582</definedName>
    <definedName name="___Apr04">[2]BS!$U$7:$U$3582</definedName>
    <definedName name="___Aug04" localSheetId="11">[1]BS!$Y$7:$Y$3582</definedName>
    <definedName name="___Aug04">[2]BS!$Y$7:$Y$3582</definedName>
    <definedName name="___Aug09" localSheetId="11" xml:space="preserve"> [3]BS!$Y$7:$Y$1726</definedName>
    <definedName name="___Aug09" xml:space="preserve"> [4]BS!$Y$7:$Y$1726</definedName>
    <definedName name="___Dec03" localSheetId="11">[5]BS!$T$7:$T$3582</definedName>
    <definedName name="___Dec03">[6]BS!$T$7:$T$3582</definedName>
    <definedName name="___Dec04" localSheetId="11">[1]BS!$AC$7:$AC$3580</definedName>
    <definedName name="___Dec04">[2]BS!$AC$7:$AC$3580</definedName>
    <definedName name="___Feb04" localSheetId="11">[1]BS!$S$7:$S$3582</definedName>
    <definedName name="___Feb04">[2]BS!$S$7:$S$3582</definedName>
    <definedName name="___Jan04" localSheetId="11">[1]BS!$R$7:$R$3582</definedName>
    <definedName name="___Jan04">[2]BS!$R$7:$R$3582</definedName>
    <definedName name="___Jul04" localSheetId="11">[1]BS!$X$7:$X$3582</definedName>
    <definedName name="___Jul04">[2]BS!$X$7:$X$3582</definedName>
    <definedName name="___Jul09" localSheetId="11" xml:space="preserve"> [3]BS!$X$7:$X$1726</definedName>
    <definedName name="___Jul09" xml:space="preserve"> [4]BS!$X$7:$X$1726</definedName>
    <definedName name="___Jun04" localSheetId="11">[1]BS!$W$7:$W$3582</definedName>
    <definedName name="___Jun04">[2]BS!$W$7:$W$3582</definedName>
    <definedName name="___Jun09">" BS!$AI$7:$AI$1643"</definedName>
    <definedName name="___Mar04" localSheetId="11">[1]BS!$T$7:$T$3582</definedName>
    <definedName name="___Mar04">[2]BS!$T$7:$T$3582</definedName>
    <definedName name="___May04" localSheetId="11">[1]BS!$V$7:$V$3582</definedName>
    <definedName name="___May04">[2]BS!$V$7:$V$3582</definedName>
    <definedName name="___Nov03" localSheetId="11">[5]BS!$S$7:$S$3582</definedName>
    <definedName name="___Nov03">[6]BS!$S$7:$S$3582</definedName>
    <definedName name="___Nov04" localSheetId="11">[1]BS!$AB$7:$AB$3582</definedName>
    <definedName name="___Nov04">[2]BS!$AB$7:$AB$3582</definedName>
    <definedName name="___Oct03" localSheetId="11">[5]BS!$R$7:$R$3582</definedName>
    <definedName name="___Oct03">[6]BS!$R$7:$R$3582</definedName>
    <definedName name="___Oct04" localSheetId="11">[1]BS!$AA$7:$AA$3582</definedName>
    <definedName name="___Oct04">[2]BS!$AA$7:$AA$3582</definedName>
    <definedName name="___PC1" localSheetId="11">[7]CLASSIFIERS!$A$7:$IV$7</definedName>
    <definedName name="___PC1">[8]CLASSIFIERS!$A$7:$IV$7</definedName>
    <definedName name="___PC2" localSheetId="11">[7]CLASSIFIERS!$A$10:$IV$10</definedName>
    <definedName name="___PC2">[8]CLASSIFIERS!$A$10:$IV$10</definedName>
    <definedName name="___PC3" localSheetId="11">[7]CLASSIFIERS!$A$12:$IV$12</definedName>
    <definedName name="___PC3">[8]CLASSIFIERS!$A$12:$IV$12</definedName>
    <definedName name="___PC4" localSheetId="11">[7]CLASSIFIERS!$A$13:$IV$13</definedName>
    <definedName name="___PC4">[8]CLASSIFIERS!$A$13:$IV$13</definedName>
    <definedName name="___SEC24" localSheetId="11">[7]EXTERNAL!$A$112:$IV$114</definedName>
    <definedName name="___SEC24">[8]EXTERNAL!$A$112:$IV$114</definedName>
    <definedName name="___Sep03" localSheetId="11">[5]BS!$Q$7:$Q$3582</definedName>
    <definedName name="___Sep03">[6]BS!$Q$7:$Q$3582</definedName>
    <definedName name="___Sep04" localSheetId="11">[1]BS!$Z$7:$Z$3582</definedName>
    <definedName name="___Sep04">[2]BS!$Z$7:$Z$3582</definedName>
    <definedName name="__123Graph_A">[9]Quant!$D$71:$O$71</definedName>
    <definedName name="__123Graph_ABUDG6_DSCRPR">[9]Quant!$D$71:$O$71</definedName>
    <definedName name="__123Graph_ABUDG6_ESCRPR1">[9]Quant!$D$100:$O$100</definedName>
    <definedName name="__123Graph_B">[9]Quant!$D$72:$O$72</definedName>
    <definedName name="__123Graph_BBUDG6_DSCRPR">[9]Quant!$D$72:$O$72</definedName>
    <definedName name="__123Graph_BBUDG6_ESCRPR1">[9]Quant!$D$88:$O$88</definedName>
    <definedName name="__123Graph_X">[9]Quant!$D$5:$O$5</definedName>
    <definedName name="__123Graph_XBUDG6_DSCRPR">[9]Quant!$D$5:$O$5</definedName>
    <definedName name="__123Graph_XBUDG6_ESCRPR1">[9]Quant!$D$5:$O$5</definedName>
    <definedName name="__Apr04" localSheetId="11">[1]BS!$U$7:$U$3582</definedName>
    <definedName name="__Apr04">[2]BS!$U$7:$U$3582</definedName>
    <definedName name="__Aug04" localSheetId="11">[1]BS!$Y$7:$Y$3582</definedName>
    <definedName name="__Aug04">[2]BS!$Y$7:$Y$3582</definedName>
    <definedName name="__Aug09" localSheetId="11" xml:space="preserve"> [3]BS!$Y$7:$Y$1726</definedName>
    <definedName name="__Aug09" xml:space="preserve"> [4]BS!$Y$7:$Y$1726</definedName>
    <definedName name="__Dec03" localSheetId="11">[5]BS!$T$7:$T$3582</definedName>
    <definedName name="__Dec03">[6]BS!$T$7:$T$3582</definedName>
    <definedName name="__Dec04" localSheetId="11">[1]BS!$AC$7:$AC$3580</definedName>
    <definedName name="__Dec04">[2]BS!$AC$7:$AC$3580</definedName>
    <definedName name="__Feb04" localSheetId="11">[1]BS!$S$7:$S$3582</definedName>
    <definedName name="__Feb04">[2]BS!$S$7:$S$3582</definedName>
    <definedName name="__Jan04" localSheetId="11">[1]BS!$R$7:$R$3582</definedName>
    <definedName name="__Jan04">[2]BS!$R$7:$R$3582</definedName>
    <definedName name="__Jul04" localSheetId="11">[1]BS!$X$7:$X$3582</definedName>
    <definedName name="__Jul04">[2]BS!$X$7:$X$3582</definedName>
    <definedName name="__Jul09" localSheetId="11" xml:space="preserve"> [3]BS!$X$7:$X$1726</definedName>
    <definedName name="__Jul09" xml:space="preserve"> [4]BS!$X$7:$X$1726</definedName>
    <definedName name="__Jun04" localSheetId="11">[1]BS!$W$7:$W$3582</definedName>
    <definedName name="__Jun04">[2]BS!$W$7:$W$3582</definedName>
    <definedName name="__Jun09">" BS!$AI$7:$AI$1643"</definedName>
    <definedName name="__Mar04" localSheetId="11">[1]BS!$T$7:$T$3582</definedName>
    <definedName name="__Mar04">[2]BS!$T$7:$T$3582</definedName>
    <definedName name="__May04" localSheetId="11">[1]BS!$V$7:$V$3582</definedName>
    <definedName name="__May04">[2]BS!$V$7:$V$3582</definedName>
    <definedName name="__Nov03" localSheetId="11">[5]BS!$S$7:$S$3582</definedName>
    <definedName name="__Nov03">[6]BS!$S$7:$S$3582</definedName>
    <definedName name="__Nov04" localSheetId="11">[1]BS!$AB$7:$AB$3582</definedName>
    <definedName name="__Nov04">[2]BS!$AB$7:$AB$3582</definedName>
    <definedName name="__Oct03" localSheetId="11">[5]BS!$R$7:$R$3582</definedName>
    <definedName name="__Oct03">[6]BS!$R$7:$R$3582</definedName>
    <definedName name="__Oct04" localSheetId="11">[1]BS!$AA$7:$AA$3582</definedName>
    <definedName name="__Oct04">[2]BS!$AA$7:$AA$3582</definedName>
    <definedName name="__PC1" localSheetId="11">[7]CLASSIFIERS!$A$7:$IV$7</definedName>
    <definedName name="__PC1">[8]CLASSIFIERS!$A$7:$IV$7</definedName>
    <definedName name="__PC2" localSheetId="11">[7]CLASSIFIERS!$A$10:$IV$10</definedName>
    <definedName name="__PC2">[8]CLASSIFIERS!$A$10:$IV$10</definedName>
    <definedName name="__PC3" localSheetId="11">[7]CLASSIFIERS!$A$12:$IV$12</definedName>
    <definedName name="__PC3">[8]CLASSIFIERS!$A$12:$IV$12</definedName>
    <definedName name="__PC4" localSheetId="11">[7]CLASSIFIERS!$A$13:$IV$13</definedName>
    <definedName name="__PC4">[8]CLASSIFIERS!$A$13:$IV$13</definedName>
    <definedName name="__SEC24" localSheetId="11">[7]EXTERNAL!$A$112:$IV$114</definedName>
    <definedName name="__SEC24">[8]EXTERNAL!$A$112:$IV$114</definedName>
    <definedName name="__Sep03" localSheetId="11">[5]BS!$Q$7:$Q$3582</definedName>
    <definedName name="__Sep03">[6]BS!$Q$7:$Q$3582</definedName>
    <definedName name="__Sep04" localSheetId="11">[1]BS!$Z$7:$Z$3582</definedName>
    <definedName name="__Sep04">[2]BS!$Z$7:$Z$3582</definedName>
    <definedName name="_1__123Graph_ABUDG6_D_ESCRPR">[9]Quant!$D$71:$O$71</definedName>
    <definedName name="_3__123Graph_BBUDG6_D_ESCRPR">[9]Quant!$D$72:$O$72</definedName>
    <definedName name="_4__123Graph_BBUDG6_Dtons_inv">[9]Quant!$D$9:$O$9</definedName>
    <definedName name="_5__123Graph_CBUDG6_D_ESCRPR">[9]Quant!$D$100:$O$100</definedName>
    <definedName name="_6__123Graph_DBUDG6_D_ESCRPR">[9]Quant!$D$88:$O$88</definedName>
    <definedName name="_7__123Graph_XBUDG6_D_ESCRPR">[9]Quant!$D$5:$O$5</definedName>
    <definedName name="_8__123Graph_XBUDG6_Dtons_inv">[9]Quant!$D$5:$O$5</definedName>
    <definedName name="_Apr04" localSheetId="11">[1]BS!$U$7:$U$3582</definedName>
    <definedName name="_Apr04">[2]BS!$U$7:$U$3582</definedName>
    <definedName name="_Apr09" localSheetId="11" xml:space="preserve"> [3]BS!$U$7:$U$1726</definedName>
    <definedName name="_Apr09" xml:space="preserve"> [4]BS!$U$7:$U$1726</definedName>
    <definedName name="_Apr17">[10]BS!$U$8:$U$2552</definedName>
    <definedName name="_Aug04" localSheetId="11">[1]BS!$Y$7:$Y$3582</definedName>
    <definedName name="_Aug04">[2]BS!$Y$7:$Y$3582</definedName>
    <definedName name="_Aug09" localSheetId="11" xml:space="preserve"> [3]BS!$Y$7:$Y$1726</definedName>
    <definedName name="_Aug09" xml:space="preserve"> [4]BS!$Y$7:$Y$1726</definedName>
    <definedName name="_Aug16">[10]BS!$M$8:$M$2551</definedName>
    <definedName name="_Aug17">[10]BS!$Y$8:$Y$2552</definedName>
    <definedName name="_Dec03" localSheetId="11">[5]BS!$T$7:$T$3582</definedName>
    <definedName name="_Dec03">[6]BS!$T$7:$T$3582</definedName>
    <definedName name="_Dec04" localSheetId="11">[1]BS!$AC$7:$AC$3580</definedName>
    <definedName name="_Dec04">[2]BS!$AC$7:$AC$3580</definedName>
    <definedName name="_Dec08" localSheetId="11" xml:space="preserve"> [3]BS!$Q$7:$Q$1726</definedName>
    <definedName name="_Dec08" xml:space="preserve"> [4]BS!$Q$7:$Q$1726</definedName>
    <definedName name="_Dec16">[10]BS!$Q$8:$Q$2553</definedName>
    <definedName name="_Feb04" localSheetId="11">[1]BS!$S$7:$S$3582</definedName>
    <definedName name="_Feb04">[2]BS!$S$7:$S$3582</definedName>
    <definedName name="_FEB09" localSheetId="11" xml:space="preserve"> [3]BS!$S$7:$S$1726</definedName>
    <definedName name="_FEB09" xml:space="preserve"> [4]BS!$S$7:$S$1726</definedName>
    <definedName name="_Feb17">[10]BS!$S$8:$S$2552</definedName>
    <definedName name="_Jan04" localSheetId="11">[1]BS!$R$7:$R$3582</definedName>
    <definedName name="_Jan04">[2]BS!$R$7:$R$3582</definedName>
    <definedName name="_Jan17">[10]BS!$R$8:$R$2553</definedName>
    <definedName name="_Jul04" localSheetId="11">[1]BS!$X$7:$X$3582</definedName>
    <definedName name="_Jul04">[2]BS!$X$7:$X$3582</definedName>
    <definedName name="_Jul09" localSheetId="11" xml:space="preserve"> [3]BS!$X$7:$X$1726</definedName>
    <definedName name="_Jul09" xml:space="preserve"> [4]BS!$X$7:$X$1726</definedName>
    <definedName name="_July16">[10]BS!$L$8:$L$2551</definedName>
    <definedName name="_July17">[10]BS!$X$8:$X$2553</definedName>
    <definedName name="_Jun04" localSheetId="11">[1]BS!$W$7:$W$3582</definedName>
    <definedName name="_Jun04">[2]BS!$W$7:$W$3582</definedName>
    <definedName name="_Jun09" localSheetId="11" xml:space="preserve"> [3]BS!$W$7:$W$1726</definedName>
    <definedName name="_Jun09">" BS!$AI$7:$AI$1643"</definedName>
    <definedName name="_Jun16">[10]BS!$K$8:$K$2553</definedName>
    <definedName name="_Jun17">[10]BS!$W$8:$W$2553</definedName>
    <definedName name="_Mar04" localSheetId="11">[1]BS!$T$7:$T$3582</definedName>
    <definedName name="_Mar04">[2]BS!$T$7:$T$3582</definedName>
    <definedName name="_Mar17">[10]BS!$T$8:$T$2552</definedName>
    <definedName name="_May04" localSheetId="11">[1]BS!$V$7:$V$3582</definedName>
    <definedName name="_May04">[2]BS!$V$7:$V$3582</definedName>
    <definedName name="_May09" localSheetId="11" xml:space="preserve"> [3]BS!$V$7:$V$1726</definedName>
    <definedName name="_May09" xml:space="preserve"> [4]BS!$V$7:$V$1726</definedName>
    <definedName name="_May16">[10]BS!$J$8:$J$2551</definedName>
    <definedName name="_May17">[10]BS!$V$8:$V$2552</definedName>
    <definedName name="_Nov03" localSheetId="11">[5]BS!$S$7:$S$3582</definedName>
    <definedName name="_Nov03">[6]BS!$S$7:$S$3582</definedName>
    <definedName name="_Nov04" localSheetId="11">[1]BS!$AB$7:$AB$3582</definedName>
    <definedName name="_Nov04">[2]BS!$AB$7:$AB$3582</definedName>
    <definedName name="_Nov16">[10]BS!$P$8:$P$2556</definedName>
    <definedName name="_Oct03" localSheetId="11">[5]BS!$R$7:$R$3582</definedName>
    <definedName name="_Oct03">[6]BS!$R$7:$R$3582</definedName>
    <definedName name="_Oct04" localSheetId="11">[1]BS!$AA$7:$AA$3582</definedName>
    <definedName name="_Oct04">[2]BS!$AA$7:$AA$3582</definedName>
    <definedName name="_Oct09" localSheetId="11" xml:space="preserve"> [3]BS!$AA$7:$AA$1726</definedName>
    <definedName name="_Oct09" xml:space="preserve"> [4]BS!$AA$7:$AA$1726</definedName>
    <definedName name="_Oct16">[10]BS!$O$8:$O$2553</definedName>
    <definedName name="_Oct17">[10]BS!$AA$8:$AA$2552</definedName>
    <definedName name="_Order1">255</definedName>
    <definedName name="_Order2">255</definedName>
    <definedName name="_PC1" localSheetId="11">[7]CLASSIFIERS!$A$7:$IV$7</definedName>
    <definedName name="_PC1">[8]CLASSIFIERS!$A$7:$IV$7</definedName>
    <definedName name="_PC2" localSheetId="11">[7]CLASSIFIERS!$A$10:$IV$10</definedName>
    <definedName name="_PC2">[8]CLASSIFIERS!$A$10:$IV$10</definedName>
    <definedName name="_PC3" localSheetId="11">[7]CLASSIFIERS!$A$12:$IV$12</definedName>
    <definedName name="_PC3">[8]CLASSIFIERS!$A$12:$IV$12</definedName>
    <definedName name="_PC4" localSheetId="11">[7]CLASSIFIERS!$A$13:$IV$13</definedName>
    <definedName name="_PC4">[8]CLASSIFIERS!$A$13:$IV$13</definedName>
    <definedName name="_Regression_Int">1</definedName>
    <definedName name="_SEC24" localSheetId="11">[7]EXTERNAL!$A$112:$IV$114</definedName>
    <definedName name="_SEC24">[8]EXTERNAL!$A$112:$IV$114</definedName>
    <definedName name="_Sep03" localSheetId="12">[11]BS!$AB$7:$AB$3420</definedName>
    <definedName name="_Sep03" localSheetId="9">[11]BS!$AB$7:$AB$3420</definedName>
    <definedName name="_Sep03" localSheetId="11">[12]BS!$AB$7:$AB$3420</definedName>
    <definedName name="_Sep03" localSheetId="13">[11]BS!$AB$7:$AB$3420</definedName>
    <definedName name="_Sep03" localSheetId="10">[11]BS!$AB$7:$AB$3420</definedName>
    <definedName name="_Sep03">[6]BS!$Q$7:$Q$3582</definedName>
    <definedName name="_Sep04" localSheetId="11">[1]BS!$Z$7:$Z$3582</definedName>
    <definedName name="_Sep04">[2]BS!$Z$7:$Z$3582</definedName>
    <definedName name="_Sept16">[10]BS!$N$8:$N$2556</definedName>
    <definedName name="_Sept17">[10]BS!$Z$8:$Z$2552</definedName>
    <definedName name="_Testyear">'[13]KJB-6,13 Cmn Adj'!$B$7</definedName>
    <definedName name="a" localSheetId="11">[14]model!$A$6</definedName>
    <definedName name="a">[15]model!$A$6</definedName>
    <definedName name="AccessDatabase">"I:\COMTREL\FINICLE\TradeSummary.mdb"</definedName>
    <definedName name="Acct2281SO" localSheetId="11">'[16]Func Study'!$H$2190</definedName>
    <definedName name="Acct2281SO">'[17]Func Study'!$H$2190</definedName>
    <definedName name="Acct2283SO" localSheetId="11">'[16]Func Study'!$H$2198</definedName>
    <definedName name="Acct2283SO">'[17]Func Study'!$H$2198</definedName>
    <definedName name="Acct228SO" localSheetId="11">'[16]Func Study'!$H$2194</definedName>
    <definedName name="Acct228SO">'[17]Func Study'!$H$2194</definedName>
    <definedName name="Acct350" localSheetId="11">'[16]Func Study'!$H$1628</definedName>
    <definedName name="Acct350">'[17]Func Study'!$H$1628</definedName>
    <definedName name="Acct352" localSheetId="11">'[16]Func Study'!$H$1635</definedName>
    <definedName name="Acct352">'[17]Func Study'!$H$1635</definedName>
    <definedName name="Acct353" localSheetId="11">'[16]Func Study'!$H$1641</definedName>
    <definedName name="Acct353">'[17]Func Study'!$H$1641</definedName>
    <definedName name="Acct354" localSheetId="11">'[16]Func Study'!$H$1647</definedName>
    <definedName name="Acct354">'[17]Func Study'!$H$1647</definedName>
    <definedName name="Acct355" localSheetId="11">'[16]Func Study'!$H$1654</definedName>
    <definedName name="Acct355">'[17]Func Study'!$H$1654</definedName>
    <definedName name="Acct356" localSheetId="11">'[16]Func Study'!$H$1660</definedName>
    <definedName name="Acct356">'[17]Func Study'!$H$1660</definedName>
    <definedName name="Acct357" localSheetId="11">'[16]Func Study'!$H$1666</definedName>
    <definedName name="Acct357">'[17]Func Study'!$H$1666</definedName>
    <definedName name="Acct358" localSheetId="11">'[16]Func Study'!$H$1672</definedName>
    <definedName name="Acct358">'[17]Func Study'!$H$1672</definedName>
    <definedName name="Acct359" localSheetId="11">'[16]Func Study'!$H$1678</definedName>
    <definedName name="Acct359">'[17]Func Study'!$H$1678</definedName>
    <definedName name="Acct360" localSheetId="11">'[16]Func Study'!$H$1698</definedName>
    <definedName name="Acct360">'[17]Func Study'!$H$1698</definedName>
    <definedName name="Acct361" localSheetId="11">'[16]Func Study'!$H$1704</definedName>
    <definedName name="Acct361">'[17]Func Study'!$H$1704</definedName>
    <definedName name="Acct362" localSheetId="11">'[16]Func Study'!$H$1710</definedName>
    <definedName name="Acct362">'[17]Func Study'!$H$1710</definedName>
    <definedName name="Acct364" localSheetId="11">'[16]Func Study'!$H$1717</definedName>
    <definedName name="Acct364">'[17]Func Study'!$H$1717</definedName>
    <definedName name="Acct365" localSheetId="11">'[16]Func Study'!$H$1724</definedName>
    <definedName name="Acct365">'[17]Func Study'!$H$1724</definedName>
    <definedName name="Acct366" localSheetId="11">'[16]Func Study'!$H$1731</definedName>
    <definedName name="Acct366">'[17]Func Study'!$H$1731</definedName>
    <definedName name="Acct367" localSheetId="11">'[16]Func Study'!$H$1738</definedName>
    <definedName name="Acct367">'[17]Func Study'!$H$1738</definedName>
    <definedName name="Acct368" localSheetId="11">'[16]Func Study'!$H$1744</definedName>
    <definedName name="Acct368">'[17]Func Study'!$H$1744</definedName>
    <definedName name="Acct369" localSheetId="11">'[16]Func Study'!$H$1751</definedName>
    <definedName name="Acct369">'[17]Func Study'!$H$1751</definedName>
    <definedName name="Acct370" localSheetId="11">'[16]Func Study'!$H$1762</definedName>
    <definedName name="Acct370">'[17]Func Study'!$H$1762</definedName>
    <definedName name="Acct371" localSheetId="11">'[16]Func Study'!$H$1769</definedName>
    <definedName name="Acct371">'[17]Func Study'!$H$1769</definedName>
    <definedName name="Acct372" localSheetId="11">'[16]Func Study'!$H$1776</definedName>
    <definedName name="Acct372">'[17]Func Study'!$H$1776</definedName>
    <definedName name="Acct372A" localSheetId="11">'[16]Func Study'!$H$1775</definedName>
    <definedName name="Acct372A">'[17]Func Study'!$H$1775</definedName>
    <definedName name="Acct372DP" localSheetId="11">'[16]Func Study'!$H$1773</definedName>
    <definedName name="Acct372DP">'[17]Func Study'!$H$1773</definedName>
    <definedName name="Acct372DS" localSheetId="11">'[16]Func Study'!$H$1774</definedName>
    <definedName name="Acct372DS">'[17]Func Study'!$H$1774</definedName>
    <definedName name="Acct373" localSheetId="11">'[16]Func Study'!$H$1782</definedName>
    <definedName name="Acct373">'[17]Func Study'!$H$1782</definedName>
    <definedName name="Acct448S" localSheetId="11">'[16]Func Study'!$H$274</definedName>
    <definedName name="Acct448S">'[17]Func Study'!$H$274</definedName>
    <definedName name="Acct450S" localSheetId="11">'[16]Func Study'!$H$302</definedName>
    <definedName name="Acct450S">'[17]Func Study'!$H$302</definedName>
    <definedName name="Acct451S" localSheetId="11">'[16]Func Study'!$H$307</definedName>
    <definedName name="Acct451S">'[17]Func Study'!$H$307</definedName>
    <definedName name="Acct454S" localSheetId="11">'[16]Func Study'!$H$318</definedName>
    <definedName name="Acct454S">'[17]Func Study'!$H$318</definedName>
    <definedName name="Acct456S" localSheetId="11">'[16]Func Study'!$H$325</definedName>
    <definedName name="Acct456S">'[17]Func Study'!$H$325</definedName>
    <definedName name="ACCT557CAGE" localSheetId="11">'[16]Func Study'!$H$683</definedName>
    <definedName name="ACCT557CAGE">'[17]Func Study'!$H$683</definedName>
    <definedName name="Acct557CT" localSheetId="11">'[16]Func Study'!$H$681</definedName>
    <definedName name="Acct557CT">'[17]Func Study'!$H$681</definedName>
    <definedName name="Acct580" localSheetId="11">'[16]Func Study'!$H$791</definedName>
    <definedName name="Acct580">'[17]Func Study'!$H$791</definedName>
    <definedName name="Acct581" localSheetId="11">'[16]Func Study'!$H$796</definedName>
    <definedName name="Acct581">'[17]Func Study'!$H$796</definedName>
    <definedName name="Acct582" localSheetId="11">'[16]Func Study'!$H$801</definedName>
    <definedName name="Acct582">'[17]Func Study'!$H$801</definedName>
    <definedName name="Acct583" localSheetId="11">'[16]Func Study'!$H$806</definedName>
    <definedName name="Acct583">'[17]Func Study'!$H$806</definedName>
    <definedName name="Acct584" localSheetId="11">'[16]Func Study'!$H$811</definedName>
    <definedName name="Acct584">'[17]Func Study'!$H$811</definedName>
    <definedName name="Acct585" localSheetId="11">'[16]Func Study'!$H$816</definedName>
    <definedName name="Acct585">'[17]Func Study'!$H$816</definedName>
    <definedName name="Acct586" localSheetId="11">'[16]Func Study'!$H$821</definedName>
    <definedName name="Acct586">'[17]Func Study'!$H$821</definedName>
    <definedName name="Acct587" localSheetId="11">'[16]Func Study'!$H$826</definedName>
    <definedName name="Acct587">'[17]Func Study'!$H$826</definedName>
    <definedName name="Acct588" localSheetId="11">'[16]Func Study'!$H$831</definedName>
    <definedName name="Acct588">'[17]Func Study'!$H$831</definedName>
    <definedName name="Acct589" localSheetId="11">'[16]Func Study'!$H$836</definedName>
    <definedName name="Acct589">'[17]Func Study'!$H$836</definedName>
    <definedName name="Acct590" localSheetId="11">'[16]Func Study'!$H$841</definedName>
    <definedName name="Acct590">'[17]Func Study'!$H$841</definedName>
    <definedName name="Acct591" localSheetId="11">'[16]Func Study'!$H$846</definedName>
    <definedName name="Acct591">'[17]Func Study'!$H$846</definedName>
    <definedName name="Acct592" localSheetId="11">'[16]Func Study'!$H$851</definedName>
    <definedName name="Acct592">'[17]Func Study'!$H$851</definedName>
    <definedName name="Acct593" localSheetId="11">'[16]Func Study'!$H$856</definedName>
    <definedName name="Acct593">'[17]Func Study'!$H$856</definedName>
    <definedName name="Acct594" localSheetId="11">'[16]Func Study'!$H$861</definedName>
    <definedName name="Acct594">'[17]Func Study'!$H$861</definedName>
    <definedName name="Acct595" localSheetId="11">'[16]Func Study'!$H$866</definedName>
    <definedName name="Acct595">'[17]Func Study'!$H$866</definedName>
    <definedName name="Acct596" localSheetId="11">'[16]Func Study'!$H$876</definedName>
    <definedName name="Acct596">'[17]Func Study'!$H$876</definedName>
    <definedName name="Acct597" localSheetId="11">'[16]Func Study'!$H$881</definedName>
    <definedName name="Acct597">'[17]Func Study'!$H$881</definedName>
    <definedName name="Acct598" localSheetId="11">'[16]Func Study'!$H$886</definedName>
    <definedName name="Acct598">'[17]Func Study'!$H$886</definedName>
    <definedName name="AcctAGA" localSheetId="11">'[16]Func Study'!$H$296</definedName>
    <definedName name="AcctAGA">'[17]Func Study'!$H$296</definedName>
    <definedName name="AcctTable">[18]Variables!$AK$42:$AK$396</definedName>
    <definedName name="AcctTS0" localSheetId="11">'[16]Func Study'!$H$1686</definedName>
    <definedName name="AcctTS0">'[17]Func Study'!$H$1686</definedName>
    <definedName name="Acq1Plant" localSheetId="11">'[19]Acquisition Inputs'!$C$8</definedName>
    <definedName name="Acq1Plant">'[20]Acquisition Inputs'!$C$8</definedName>
    <definedName name="Acq2Plant" localSheetId="11">'[19]Acquisition Inputs'!$C$70</definedName>
    <definedName name="Acq2Plant">'[20]Acquisition Inputs'!$C$70</definedName>
    <definedName name="ActualROR" localSheetId="11">'[21]G+T+D+R+M'!$H$61</definedName>
    <definedName name="ActualROR">'[22]G+T+D+R+M'!$H$61</definedName>
    <definedName name="ADJPTDCE.T" localSheetId="11">[7]INTERNAL!$A$31:$IV$33</definedName>
    <definedName name="ADJPTDCE.T">[8]INTERNAL!$A$31:$IV$33</definedName>
    <definedName name="Adjs2avg" localSheetId="11">[23]Inputs!$L$255:'[23]Inputs'!$T$505</definedName>
    <definedName name="Adjs2avg">[24]Inputs!$L$255:'[24]Inputs'!$T$505</definedName>
    <definedName name="After_Tax_Cash_Discount">'[25]Assumptions (Input)'!$D$37</definedName>
    <definedName name="afudc_flag">'[25]Assumptions (Input)'!$B$13</definedName>
    <definedName name="ANCIL" localSheetId="11">[7]EXTERNAL!$A$163:$IV$165</definedName>
    <definedName name="ANCIL">[8]EXTERNAL!$A$163:$IV$165</definedName>
    <definedName name="Apr04AMA" localSheetId="11">[1]BS!$AG$7:$AG$3582</definedName>
    <definedName name="Apr04AMA">[2]BS!$AG$7:$AG$3582</definedName>
    <definedName name="APR09AMA" localSheetId="11">[3]BS!$AN$7:$AN$1725</definedName>
    <definedName name="APR09AMA">[4]BS!$AN$7:$AN$1725</definedName>
    <definedName name="Apr10AMA" localSheetId="11">[3]BS!$AZ$7:$AZ$1726</definedName>
    <definedName name="Apr10AMA">[4]BS!$AZ$7:$AZ$1726</definedName>
    <definedName name="Apr17AMA">[10]BS!$AH$8:$AH$2554</definedName>
    <definedName name="aquila_lookup" localSheetId="11">'[26]Cabot Gas Replacement'!$B$8:$F$16</definedName>
    <definedName name="aquila_lookup">'[27]Cabot Gas Replacement'!$B$8:$F$16</definedName>
    <definedName name="AS2DocOpenMode">"AS2DocumentEdit"</definedName>
    <definedName name="Assessment_Rate">'[25]Assumptions (Input)'!$B$7</definedName>
    <definedName name="Asset_Class_Switch">[28]Assumptions!$D$5</definedName>
    <definedName name="Aug04AMA" localSheetId="11">[1]BS!$AK$7:$AK$3582</definedName>
    <definedName name="Aug04AMA">[2]BS!$AK$7:$AK$3582</definedName>
    <definedName name="Aug09AMA" localSheetId="11">[3]BS!$AR$7:$AR$1726</definedName>
    <definedName name="Aug09AMA">[4]BS!$AR$7:$AR$1726</definedName>
    <definedName name="Aug17AMA">[10]BS!$AL$8:$AL$2553</definedName>
    <definedName name="Aurora_Prices">"Monthly Price Summary'!$C$4:$H$63"</definedName>
    <definedName name="AvgFactors">[18]Factors!$B$3:$P$99</definedName>
    <definedName name="BD" localSheetId="6">'[29]Summaries &amp; 3.01-3.18 &amp; 4.01'!$CW$12</definedName>
    <definedName name="BD">'[30]Summaries &amp; 3.01-3.18 &amp; 4.01'!$CW$12</definedName>
    <definedName name="Beg_Unb_KWHs" localSheetId="11">[31]LeadSht!$L$10</definedName>
    <definedName name="Beg_Unb_KWHs">[32]LeadSht!$L$10</definedName>
    <definedName name="BOOK_LIFE" localSheetId="11">'[33]Lvl FCR'!$G$10</definedName>
    <definedName name="BOOK_LIFE">'[34]Lvl FCR'!$G$10</definedName>
    <definedName name="BPAX" localSheetId="11">[7]EXTERNAL!$A$121:$IV$123</definedName>
    <definedName name="BPAX">[8]EXTERNAL!$A$121:$IV$123</definedName>
    <definedName name="Button_1">"TradeSummary_Ken_Finicle_List"</definedName>
    <definedName name="CAE.T" localSheetId="11">[7]INTERNAL!$A$34:$IV$36</definedName>
    <definedName name="CAE.T">[8]INTERNAL!$A$34:$IV$36</definedName>
    <definedName name="CAES1.T" localSheetId="11">[7]INTERNAL!$A$37:$IV$39</definedName>
    <definedName name="CAES1.T">[8]INTERNAL!$A$37:$IV$39</definedName>
    <definedName name="cap">[35]Readings!$B$2</definedName>
    <definedName name="Capital_Inflation">'[25]Assumptions (Input)'!$B$11</definedName>
    <definedName name="CASE" localSheetId="42">[36]INPUTS!$C$11</definedName>
    <definedName name="CASE" localSheetId="12">[37]INPUTS!$C$8</definedName>
    <definedName name="CASE" localSheetId="9">[37]INPUTS!$C$8</definedName>
    <definedName name="CASE" localSheetId="11">[38]INPUTS!$C$8</definedName>
    <definedName name="CASE" localSheetId="13">[37]INPUTS!$C$8</definedName>
    <definedName name="CASE" localSheetId="10">[37]INPUTS!$C$8</definedName>
    <definedName name="CASE">[39]INPUTS!$C$11</definedName>
    <definedName name="Case_Name">'[40]KJB-6,13 Cmn Adj'!$B$8</definedName>
    <definedName name="CaseDescription" localSheetId="11">'[19]Dispatch Cases'!$C$11</definedName>
    <definedName name="CaseDescription">'[20]Dispatch Cases'!$C$11</definedName>
    <definedName name="CBWorkbookPriority">-2060790043</definedName>
    <definedName name="CCGT_HeatRate" localSheetId="11">[19]Assumptions!$H$23</definedName>
    <definedName name="CCGT_HeatRate">[20]Assumptions!$H$23</definedName>
    <definedName name="CCGTPrice" localSheetId="11">[19]Assumptions!$H$22</definedName>
    <definedName name="CCGTPrice">[20]Assumptions!$H$22</definedName>
    <definedName name="CL_RT2">'[41]Transp Data'!$A$6:$C$81</definedName>
    <definedName name="Classification" localSheetId="11">'[16]Func Study'!$AB$251</definedName>
    <definedName name="Classification">'[17]Func Study'!$AB$251</definedName>
    <definedName name="Close_Date">'[25]Capital Projects(Input)'!$D$7:$D$53</definedName>
    <definedName name="CombWC_LineItem">[10]BS!$AT$8:$AT$3929</definedName>
    <definedName name="Construction_OH" localSheetId="11">'[42]Virtual 49 Back-Up'!$E$54</definedName>
    <definedName name="Construction_OH">'[43]Virtual 49 Back-Up'!$E$54</definedName>
    <definedName name="ConversionFactor" localSheetId="11">[19]Assumptions!$I$65</definedName>
    <definedName name="ConversionFactor">[20]Assumptions!$I$65</definedName>
    <definedName name="COSFacVal" localSheetId="11">[16]Inputs!$R$5</definedName>
    <definedName name="COSFacVal">[17]Inputs!$R$5</definedName>
    <definedName name="CurrQtr">'[44]Inc Stmt'!$AJ$222</definedName>
    <definedName name="CUS" localSheetId="11">[7]CLASSIFIERS!$A$6:$IV$6</definedName>
    <definedName name="CUS">[8]CLASSIFIERS!$A$6:$IV$6</definedName>
    <definedName name="CUST_1" localSheetId="11">[7]EXTERNAL!$A$22:$IV$24</definedName>
    <definedName name="CUST_1">[8]EXTERNAL!$A$22:$IV$24</definedName>
    <definedName name="CUST_4" localSheetId="11">[7]EXTERNAL!$A$25:$IV$27</definedName>
    <definedName name="CUST_4">[8]EXTERNAL!$A$25:$IV$27</definedName>
    <definedName name="CUST_5" localSheetId="11">[7]EXTERNAL!$A$28:$IV$30</definedName>
    <definedName name="CUST_5">[8]EXTERNAL!$A$28:$IV$30</definedName>
    <definedName name="CUST_6" localSheetId="11">[7]EXTERNAL!$A$31:$IV$33</definedName>
    <definedName name="CUST_6">[8]EXTERNAL!$A$31:$IV$33</definedName>
    <definedName name="D108.05.T" localSheetId="11">[7]INTERNAL!$A$22:$IV$24</definedName>
    <definedName name="D108.05.T">[8]INTERNAL!$A$22:$IV$24</definedName>
    <definedName name="D108.10.T" localSheetId="11">[7]INTERNAL!$A$25:$IV$27</definedName>
    <definedName name="D108.10.T">[8]INTERNAL!$A$25:$IV$27</definedName>
    <definedName name="D361.T" localSheetId="11">[7]INTERNAL!$A$4:$IV$6</definedName>
    <definedName name="D361.T">[8]INTERNAL!$A$4:$IV$6</definedName>
    <definedName name="D362.T" localSheetId="11">[7]INTERNAL!$A$7:$IV$9</definedName>
    <definedName name="D362.T">[8]INTERNAL!$A$7:$IV$9</definedName>
    <definedName name="D364.T" localSheetId="11">[7]INTERNAL!$A$10:$IV$12</definedName>
    <definedName name="D364.T">[8]INTERNAL!$A$10:$IV$12</definedName>
    <definedName name="D366.T" localSheetId="11">[7]INTERNAL!$A$13:$IV$15</definedName>
    <definedName name="D366.T">[8]INTERNAL!$A$13:$IV$15</definedName>
    <definedName name="D368.T" localSheetId="11">[7]INTERNAL!$A$16:$IV$18</definedName>
    <definedName name="D368.T">[8]INTERNAL!$A$16:$IV$18</definedName>
    <definedName name="D370.T" localSheetId="11">[7]INTERNAL!$A$19:$IV$21</definedName>
    <definedName name="D370.T">[8]INTERNAL!$A$19:$IV$21</definedName>
    <definedName name="D372.T" localSheetId="11">[7]INTERNAL!$A$28:$IV$30</definedName>
    <definedName name="D372.T">[8]INTERNAL!$A$28:$IV$30</definedName>
    <definedName name="Data" localSheetId="11">'[45]Mix Variance'!$B$1:$N$31</definedName>
    <definedName name="Data">'[46]Mix Variance'!$B$1:$N$31</definedName>
    <definedName name="Data.Avg">'[44]Avg Amts'!$A$5:$BP$34</definedName>
    <definedName name="Data.Qtrs.Avg">'[44]Avg Amts'!$A$5:$IV$5</definedName>
    <definedName name="data1" localSheetId="11">'[47]Mix Variance'!$O$5:$T$25</definedName>
    <definedName name="data1">'[48]Mix Variance'!$O$5:$T$25</definedName>
    <definedName name="DebtPerc" localSheetId="11">[19]Assumptions!$I$58</definedName>
    <definedName name="DebtPerc">[20]Assumptions!$I$58</definedName>
    <definedName name="Dec03AMA" localSheetId="11">[5]BS!$AJ$7:$AJ$3582</definedName>
    <definedName name="Dec03AMA">[6]BS!$AJ$7:$AJ$3582</definedName>
    <definedName name="Dec04AMA" localSheetId="11">[1]BS!$AO$7:$AO$3582</definedName>
    <definedName name="Dec04AMA">[2]BS!$AO$7:$AO$3582</definedName>
    <definedName name="Dec08AMA" localSheetId="11">[3]BS!$AJ$7:$AJ$1726</definedName>
    <definedName name="Dec08AMA">[4]BS!$AJ$7:$AJ$1726</definedName>
    <definedName name="Dec09AMA" localSheetId="11">[3]BS!$AV$7:$AV$1726</definedName>
    <definedName name="Dec09AMA">[4]BS!$AV$7:$AV$1726</definedName>
    <definedName name="Dec16AMA">[10]BS!$AD$8:$AD$2553</definedName>
    <definedName name="Dec17AMA">[10]BS!$AP$8:$AP$2554</definedName>
    <definedName name="DEM" localSheetId="11">[7]CLASSIFIERS!$A$4:$IV$4</definedName>
    <definedName name="DEM">[8]CLASSIFIERS!$A$4:$IV$4</definedName>
    <definedName name="DEM_1" localSheetId="11">[7]EXTERNAL!$A$7:$IV$9</definedName>
    <definedName name="DEM_1">[8]EXTERNAL!$A$7:$IV$9</definedName>
    <definedName name="DEM_12CP" localSheetId="11">[7]EXTERNAL!$A$118:$IV$120</definedName>
    <definedName name="DEM_12CP">[8]EXTERNAL!$A$118:$IV$120</definedName>
    <definedName name="DEM_12NCP_P" localSheetId="11">[7]EXTERNAL!$A$187:$IV$189</definedName>
    <definedName name="DEM_12NCP_P">[8]EXTERNAL!$A$187:$IV$189</definedName>
    <definedName name="DEM_12NCP_S" localSheetId="11">[7]EXTERNAL!$A$190:$IV$192</definedName>
    <definedName name="DEM_12NCP_S">[8]EXTERNAL!$A$190:$IV$192</definedName>
    <definedName name="DEM_12NCP1" localSheetId="11">[7]EXTERNAL!$A$139:$IV$141</definedName>
    <definedName name="DEM_12NCP1">[8]EXTERNAL!$A$139:$IV$141</definedName>
    <definedName name="DEM_12NCP2" localSheetId="11">[7]EXTERNAL!$A$130:$IV$132</definedName>
    <definedName name="DEM_12NCP2">[8]EXTERNAL!$A$130:$IV$132</definedName>
    <definedName name="DEM_1A" localSheetId="11">[7]EXTERNAL!$A$115:$IV$117</definedName>
    <definedName name="DEM_1A">[8]EXTERNAL!$A$115:$IV$117</definedName>
    <definedName name="DEM_2A" localSheetId="11">[7]EXTERNAL!$A$148:$IV$150</definedName>
    <definedName name="DEM_2A">[8]EXTERNAL!$A$148:$IV$150</definedName>
    <definedName name="DEM_3A" localSheetId="11">[7]EXTERNAL!$A$199:$IV$201</definedName>
    <definedName name="DEM_3A">[8]EXTERNAL!$A$199:$IV$201</definedName>
    <definedName name="DEM_3B" localSheetId="11">[7]EXTERNAL!$A$196:$IV$198</definedName>
    <definedName name="DEM_3B">[8]EXTERNAL!$A$196:$IV$198</definedName>
    <definedName name="Demand" localSheetId="11">[21]Inputs!$D$8</definedName>
    <definedName name="Demand">[22]Inputs!$D$8</definedName>
    <definedName name="Demand2" localSheetId="11">[49]Inputs!$D$11</definedName>
    <definedName name="Demand2">[50]Inputs!$D$11</definedName>
    <definedName name="DES1.T" localSheetId="11">[7]INTERNAL!$A$40:$IV$42</definedName>
    <definedName name="DES1.T">[8]INTERNAL!$A$40:$IV$42</definedName>
    <definedName name="DES2.T" localSheetId="11">[7]INTERNAL!$A$43:$IV$45</definedName>
    <definedName name="DES2.T">[8]INTERNAL!$A$43:$IV$45</definedName>
    <definedName name="DF_HeatRate" localSheetId="11">[19]Assumptions!$L$23</definedName>
    <definedName name="DF_HeatRate">[20]Assumptions!$L$23</definedName>
    <definedName name="DIR_40" localSheetId="11">[7]EXTERNAL!$A$193:$IV$195</definedName>
    <definedName name="DIR_40">[8]EXTERNAL!$A$193:$IV$195</definedName>
    <definedName name="DIR_449" localSheetId="11">[7]EXTERNAL!$A$127:$IV$129</definedName>
    <definedName name="DIR_449">[8]EXTERNAL!$A$127:$IV$129</definedName>
    <definedName name="DIR_449_ENERGY" localSheetId="11">[7]EXTERNAL!$A$160:$IV$162</definedName>
    <definedName name="DIR_449_ENERGY">[8]EXTERNAL!$A$160:$IV$162</definedName>
    <definedName name="DIR_449_HV" localSheetId="11">[7]EXTERNAL!$A$157:$IV$159</definedName>
    <definedName name="DIR_449_HV">[8]EXTERNAL!$A$157:$IV$159</definedName>
    <definedName name="DIR_449_OATT" localSheetId="11">[7]EXTERNAL!$A$166:$IV$168</definedName>
    <definedName name="DIR_449_OATT">[8]EXTERNAL!$A$166:$IV$168</definedName>
    <definedName name="DIR_RESALE" localSheetId="11">[7]EXTERNAL!$A$124:$IV$126</definedName>
    <definedName name="DIR_RESALE">[8]EXTERNAL!$A$124:$IV$126</definedName>
    <definedName name="DIR_RESALE_LARGE" localSheetId="11">[7]EXTERNAL!$A$154:$IV$156</definedName>
    <definedName name="DIR_RESALE_LARGE">[8]EXTERNAL!$A$154:$IV$156</definedName>
    <definedName name="DIR_RESALE_SMALL" localSheetId="11">[7]EXTERNAL!$A$151:$IV$153</definedName>
    <definedName name="DIR_RESALE_SMALL">[8]EXTERNAL!$A$151:$IV$153</definedName>
    <definedName name="DIR108.09" localSheetId="11">[7]EXTERNAL!$A$106:$IV$108</definedName>
    <definedName name="DIR108.09">[8]EXTERNAL!$A$106:$IV$108</definedName>
    <definedName name="DIR235.00" localSheetId="11">[7]EXTERNAL!$A$85:$IV$87</definedName>
    <definedName name="DIR235.00">[8]EXTERNAL!$A$85:$IV$87</definedName>
    <definedName name="DIR360.01" localSheetId="11">[7]EXTERNAL!$A$37:$IV$39</definedName>
    <definedName name="DIR360.01">[8]EXTERNAL!$A$37:$IV$39</definedName>
    <definedName name="DIR361.01" localSheetId="11">[7]EXTERNAL!$A$40:$IV$42</definedName>
    <definedName name="DIR361.01">[8]EXTERNAL!$A$40:$IV$42</definedName>
    <definedName name="DIR362.01" localSheetId="11">[7]EXTERNAL!$A$43:$IV$45</definedName>
    <definedName name="DIR362.01">[8]EXTERNAL!$A$43:$IV$45</definedName>
    <definedName name="DIR364.01" localSheetId="11">[7]EXTERNAL!$A$46:$IV$48</definedName>
    <definedName name="DIR364.01">[8]EXTERNAL!$A$46:$IV$48</definedName>
    <definedName name="DIR366.01" localSheetId="11">[7]EXTERNAL!$A$49:$IV$51</definedName>
    <definedName name="DIR366.01">[8]EXTERNAL!$A$49:$IV$51</definedName>
    <definedName name="DIR368.03" localSheetId="11">[7]EXTERNAL!$A$55:$IV$57</definedName>
    <definedName name="DIR368.03">[8]EXTERNAL!$A$55:$IV$57</definedName>
    <definedName name="DIR368.03C" localSheetId="11">[7]EXTERNAL!$A$52:$IV$54</definedName>
    <definedName name="DIR368.03C">[8]EXTERNAL!$A$52:$IV$54</definedName>
    <definedName name="DIR372.00" localSheetId="11">[7]EXTERNAL!$A$58:$IV$60</definedName>
    <definedName name="DIR372.00">[8]EXTERNAL!$A$58:$IV$60</definedName>
    <definedName name="DIR373.00" localSheetId="11">[7]EXTERNAL!$A$61:$IV$63</definedName>
    <definedName name="DIR373.00">[8]EXTERNAL!$A$61:$IV$63</definedName>
    <definedName name="DIR450.01" localSheetId="11">[7]EXTERNAL!$A$10:$IV$12</definedName>
    <definedName name="DIR450.01">[8]EXTERNAL!$A$10:$IV$12</definedName>
    <definedName name="DIR450.02" localSheetId="11">[7]EXTERNAL!$A$184:$IV$186</definedName>
    <definedName name="DIR450.02">[8]EXTERNAL!$A$184:$IV$186</definedName>
    <definedName name="DIR451.02" localSheetId="11">[7]EXTERNAL!$A$70:$IV$72</definedName>
    <definedName name="DIR451.02">[8]EXTERNAL!$A$70:$IV$72</definedName>
    <definedName name="DIR451.03" localSheetId="11">[7]EXTERNAL!$A$136:$IV$138</definedName>
    <definedName name="DIR451.03">[8]EXTERNAL!$A$136:$IV$138</definedName>
    <definedName name="DIR451.05" localSheetId="11">[7]EXTERNAL!$A$76:$IV$78</definedName>
    <definedName name="DIR451.05">[8]EXTERNAL!$A$76:$IV$78</definedName>
    <definedName name="DIR451.06" localSheetId="11">[7]EXTERNAL!$A$109:$IV$111</definedName>
    <definedName name="DIR451.06">[8]EXTERNAL!$A$109:$IV$111</definedName>
    <definedName name="DIR451.07" localSheetId="11">[7]EXTERNAL!$A$133:$IV$135</definedName>
    <definedName name="DIR451.07">[8]EXTERNAL!$A$133:$IV$135</definedName>
    <definedName name="DIR454.04" localSheetId="11">[7]EXTERNAL!$A$73:$IV$75</definedName>
    <definedName name="DIR454.04">[8]EXTERNAL!$A$73:$IV$75</definedName>
    <definedName name="DIR556.01" localSheetId="11">[7]EXTERNAL!$A$175:$IV$177</definedName>
    <definedName name="DIR556.01">[8]EXTERNAL!$A$175:$IV$177</definedName>
    <definedName name="DIR565.02" localSheetId="11">[7]EXTERNAL!$A$178:$IV$180</definedName>
    <definedName name="DIR565.02">[8]EXTERNAL!$A$178:$IV$180</definedName>
    <definedName name="DIR908.01" localSheetId="11">[7]EXTERNAL!$A$172:$IV$174</definedName>
    <definedName name="DIR908.01">[8]EXTERNAL!$A$172:$IV$174</definedName>
    <definedName name="DIR920.01" localSheetId="11">[7]EXTERNAL!$A$181:$IV$183</definedName>
    <definedName name="DIR920.01">[8]EXTERNAL!$A$181:$IV$183</definedName>
    <definedName name="Dis" localSheetId="11">'[16]Func Study'!$AB$250</definedName>
    <definedName name="Dis">'[17]Func Study'!$AB$250</definedName>
    <definedName name="Discount_for_Revenue_Reqmt" localSheetId="11">'[51]Assumptions of Purchase'!$B$45</definedName>
    <definedName name="Discount_for_Revenue_Reqmt">'[51]Assumptions of Purchase'!$B$45</definedName>
    <definedName name="DisFac" localSheetId="11">'[16]Func Dist Factor Table'!$A$11:$G$25</definedName>
    <definedName name="DisFac">'[17]Func Dist Factor Table'!$A$11:$G$25</definedName>
    <definedName name="DOCKET" localSheetId="6">'[29]Summaries &amp; 3.01-3.18 &amp; 4.01'!$A$7</definedName>
    <definedName name="DOCKET">'[30]Summaries &amp; 3.01-3.18 &amp; 4.01'!$A$7</definedName>
    <definedName name="DocketNumber" localSheetId="12">'[52]JHS-19'!$AR$2</definedName>
    <definedName name="DocketNumber" localSheetId="9">'[52]JHS-19'!$AR$2</definedName>
    <definedName name="DocketNumber" localSheetId="11">'[53]JHS-19'!$AR$2</definedName>
    <definedName name="DocketNumber" localSheetId="13">'[52]JHS-19'!$AR$2</definedName>
    <definedName name="DocketNumber" localSheetId="10">'[52]JHS-19'!$AR$2</definedName>
    <definedName name="DocketNumber">'[54]JHS-4'!$AP$2</definedName>
    <definedName name="DP.T" localSheetId="11">[7]INTERNAL!$A$46:$IV$48</definedName>
    <definedName name="DP.T">[8]INTERNAL!$A$46:$IV$48</definedName>
    <definedName name="EBFIT.T" localSheetId="11">[7]INTERNAL!$A$88:$IV$90</definedName>
    <definedName name="EBFIT.T">[8]INTERNAL!$A$88:$IV$90</definedName>
    <definedName name="EffTax" localSheetId="42">[36]INPUTS!$F$36</definedName>
    <definedName name="EffTax" localSheetId="12">[8]INPUTS!$F$31</definedName>
    <definedName name="EffTax" localSheetId="9">[8]INPUTS!$F$31</definedName>
    <definedName name="EffTax" localSheetId="11">[7]INPUTS!$F$31</definedName>
    <definedName name="EffTax" localSheetId="13">[8]INPUTS!$F$31</definedName>
    <definedName name="EffTax" localSheetId="10">[8]INPUTS!$F$31</definedName>
    <definedName name="EffTax">[39]INPUTS!$F$36</definedName>
    <definedName name="Electric_Prices" localSheetId="11">'[55]Monthly Price Summary'!$B$4:$E$27</definedName>
    <definedName name="Electric_Prices">'[56]Monthly Price Summary'!$B$4:$E$27</definedName>
    <definedName name="ElecWC_LineItems" localSheetId="11">[12]BS!$AO$7:$AO$3420</definedName>
    <definedName name="ElecWC_LineItems">[11]BS!$AO$7:$AO$3420</definedName>
    <definedName name="ElRBLine" localSheetId="12">[11]BS!$AP$7:$AP$3141</definedName>
    <definedName name="ElRBLine" localSheetId="9">[11]BS!$AP$7:$AP$3141</definedName>
    <definedName name="ElRBLine" localSheetId="11">[12]BS!$AP$7:$AP$3141</definedName>
    <definedName name="ElRBLine" localSheetId="13">[11]BS!$AP$7:$AP$3141</definedName>
    <definedName name="ElRBLine" localSheetId="10">[11]BS!$AP$7:$AP$3141</definedName>
    <definedName name="ElRBLine">[2]BS!$AQ$7:$AQ$3303</definedName>
    <definedName name="EndDate" localSheetId="11">[19]Assumptions!$C$11</definedName>
    <definedName name="EndDate">[20]Assumptions!$C$11</definedName>
    <definedName name="energy">[35]Readings!$B$3</definedName>
    <definedName name="ENERGY_1" localSheetId="11">[7]EXTERNAL!$A$4:$IV$6</definedName>
    <definedName name="ENERGY_1">[8]EXTERNAL!$A$4:$IV$6</definedName>
    <definedName name="ENERGY_2" localSheetId="11">[7]EXTERNAL!$A$145:$IV$147</definedName>
    <definedName name="ENERGY_2">[8]EXTERNAL!$A$145:$IV$147</definedName>
    <definedName name="Engy" localSheetId="11">[21]Inputs!$D$9</definedName>
    <definedName name="Engy">[22]Inputs!$D$9</definedName>
    <definedName name="Engy2" localSheetId="11">[49]Inputs!$D$12</definedName>
    <definedName name="Engy2">[50]Inputs!$D$12</definedName>
    <definedName name="EPIS.T" localSheetId="11">[7]INTERNAL!$A$49:$IV$51</definedName>
    <definedName name="EPIS.T">[8]INTERNAL!$A$49:$IV$51</definedName>
    <definedName name="Escalator">1.025</definedName>
    <definedName name="Factorck" localSheetId="11">'[16]COS Factor Table'!$O$15:$O$113</definedName>
    <definedName name="Factorck">'[17]COS Factor Table'!$O$15:$O$113</definedName>
    <definedName name="FactorType">[18]Variables!$AK$2:$AL$12</definedName>
    <definedName name="FactSum" localSheetId="11">'[16]COS Factor Table'!$A$14:$O$113</definedName>
    <definedName name="FactSum">'[17]COS Factor Table'!$A$14:$O$113</definedName>
    <definedName name="FCR" localSheetId="11">'[42]Virtual 49 Back-Up'!$B$20</definedName>
    <definedName name="FCR">'[43]Virtual 49 Back-Up'!$B$20</definedName>
    <definedName name="Feb04AMA" localSheetId="11">[1]BS!$AE$7:$AE$3582</definedName>
    <definedName name="Feb04AMA">[2]BS!$AE$7:$AE$3582</definedName>
    <definedName name="Feb09AMA" localSheetId="11">[3]BS!$AL$7:$AL$1725</definedName>
    <definedName name="Feb09AMA">[4]BS!$AL$7:$AL$1725</definedName>
    <definedName name="Feb10AMA" localSheetId="11">[3]BS!$AX$7:$AX$1726</definedName>
    <definedName name="Feb10AMA">[4]BS!$AX$7:$AX$1726</definedName>
    <definedName name="Feb17AMA">[10]BS!$AF$8:$AF$2552</definedName>
    <definedName name="Fed_Cap_Tax" localSheetId="11">[57]Inputs!$E$112</definedName>
    <definedName name="Fed_Cap_Tax">[58]Inputs!$E$112</definedName>
    <definedName name="FedTaxRate" localSheetId="11">[19]Assumptions!$C$33</definedName>
    <definedName name="FedTaxRate">[20]Assumptions!$C$33</definedName>
    <definedName name="FERC_Lookup" localSheetId="11">'[59]Map Table'!$E$2:$F$58</definedName>
    <definedName name="FERC_Lookup">'[60]Map Table'!$E$2:$F$58</definedName>
    <definedName name="FF" localSheetId="6">'[29]Summaries &amp; 3.01-3.18 &amp; 4.01'!$CW$13</definedName>
    <definedName name="FF">'[30]Summaries &amp; 3.01-3.18 &amp; 4.01'!$CW$13</definedName>
    <definedName name="FIT" localSheetId="6">'[29]Summaries &amp; 3.01-3.18 &amp; 4.01'!$CV$19</definedName>
    <definedName name="FIT">'[61]ROR &amp; CONV FACTOR'!$J$20</definedName>
    <definedName name="FIT_Tax_Rate">'[25]Assumptions (Input)'!$B$5</definedName>
    <definedName name="FranchiseTax" localSheetId="11">[23]Variables!$D$26</definedName>
    <definedName name="FranchiseTax">[24]Variables!$D$26</definedName>
    <definedName name="FTAX" localSheetId="42">[36]INPUTS!$F$35</definedName>
    <definedName name="FTAX" localSheetId="12">[8]INPUTS!$F$30</definedName>
    <definedName name="FTAX" localSheetId="9">[8]INPUTS!$F$30</definedName>
    <definedName name="FTAX" localSheetId="11">[7]INPUTS!$F$30</definedName>
    <definedName name="FTAX" localSheetId="13">[8]INPUTS!$F$30</definedName>
    <definedName name="FTAX" localSheetId="10">[8]INPUTS!$F$30</definedName>
    <definedName name="FTAX">[39]INPUTS!$F$35</definedName>
    <definedName name="Func" localSheetId="11">'[16]Func Factor Table'!$A$10:$H$77</definedName>
    <definedName name="Func">'[17]Func Factor Table'!$A$10:$H$77</definedName>
    <definedName name="Function" localSheetId="11">'[16]Func Study'!$AB$250</definedName>
    <definedName name="Function">'[17]Func Study'!$AB$250</definedName>
    <definedName name="GasRBLine" localSheetId="11">[1]BS!$AS$7:$AS$3631</definedName>
    <definedName name="GasRBLine">[2]BS!$AS$7:$AS$3631</definedName>
    <definedName name="GasWC_LineItem" localSheetId="11">[1]BS!$AR$7:$AR$3631</definedName>
    <definedName name="GasWC_LineItem">[2]BS!$AR$7:$AR$3631</definedName>
    <definedName name="GP.T" localSheetId="11">[7]INTERNAL!$A$52:$IV$54</definedName>
    <definedName name="GP.T">[8]INTERNAL!$A$52:$IV$54</definedName>
    <definedName name="HTML_CodePage">1252</definedName>
    <definedName name="HTML_Control" localSheetId="12">{"'Sheet1'!$A$1:$J$121"}</definedName>
    <definedName name="HTML_Control" localSheetId="9">{"'Sheet1'!$A$1:$J$121"}</definedName>
    <definedName name="HTML_Control" localSheetId="7">{"'Sheet1'!$A$1:$J$121"}</definedName>
    <definedName name="HTML_Control" localSheetId="8">{"'Sheet1'!$A$1:$J$121"}</definedName>
    <definedName name="HTML_Control" localSheetId="41">{"'Sheet1'!$A$1:$J$121"}</definedName>
    <definedName name="HTML_Control" localSheetId="37">{"'Sheet1'!$A$1:$J$121"}</definedName>
    <definedName name="HTML_Control" localSheetId="38">{"'Sheet1'!$A$1:$J$121"}</definedName>
    <definedName name="HTML_Control" localSheetId="44">{"'Sheet1'!$A$1:$J$121"}</definedName>
    <definedName name="HTML_Control" localSheetId="11">{"'Sheet1'!$A$1:$J$121"}</definedName>
    <definedName name="HTML_Control" localSheetId="13">{"'Sheet1'!$A$1:$J$121"}</definedName>
    <definedName name="HTML_Control" localSheetId="10">{"'Sheet1'!$A$1:$J$121"}</definedName>
    <definedName name="HTML_Control" localSheetId="20">{"'Sheet1'!$A$1:$J$121"}</definedName>
    <definedName name="HTML_Control" localSheetId="25">{"'Sheet1'!$A$1:$J$121"}</definedName>
    <definedName name="HTML_Control" localSheetId="32">{"'Sheet1'!$A$1:$J$121"}</definedName>
    <definedName name="HTML_Control" localSheetId="40">{"'Sheet1'!$A$1:$J$121"}</definedName>
    <definedName name="HTML_Control" localSheetId="39">{"'Sheet1'!$A$1:$J$121"}</definedName>
    <definedName name="HTML_Control" localSheetId="47">{"'Sheet1'!$A$1:$J$121"}</definedName>
    <definedName name="HTML_Control" localSheetId="36">{"'Sheet1'!$A$1:$J$121"}</definedName>
    <definedName name="HTML_Control" localSheetId="19">{"'Sheet1'!$A$1:$J$121"}</definedName>
    <definedName name="HTML_Control" localSheetId="22">{"'Sheet1'!$A$1:$J$121"}</definedName>
    <definedName name="HTML_Control" localSheetId="28">{"'Sheet1'!$A$1:$J$121"}</definedName>
    <definedName name="HTML_Control" localSheetId="35">{"'Sheet1'!$A$1:$J$121"}</definedName>
    <definedName name="HTML_Control" localSheetId="21">{"'Sheet1'!$A$1:$J$121"}</definedName>
    <definedName name="HTML_Control" localSheetId="27">{"'Sheet1'!$A$1:$J$121"}</definedName>
    <definedName name="HTML_Control" localSheetId="34">{"'Sheet1'!$A$1:$J$121"}</definedName>
    <definedName name="HTML_Control" localSheetId="26">{"'Sheet1'!$A$1:$J$121"}</definedName>
    <definedName name="HTML_Control" localSheetId="33">{"'Sheet1'!$A$1:$J$121"}</definedName>
    <definedName name="HTML_Control" localSheetId="29">{"'Sheet1'!$A$1:$J$121"}</definedName>
    <definedName name="HTML_Control" localSheetId="23">{"'Sheet1'!$A$1:$J$121"}</definedName>
    <definedName name="HTML_Control" localSheetId="30">{"'Sheet1'!$A$1:$J$121"}</definedName>
    <definedName name="HTML_Control" localSheetId="24">{"'Sheet1'!$A$1:$J$121"}</definedName>
    <definedName name="HTML_Control" localSheetId="31">{"'Sheet1'!$A$1:$J$121"}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 localSheetId="11">[7]INTERNAL!$A$85:$IV$87</definedName>
    <definedName name="IBFIT.T">[8]INTERNAL!$A$85:$IV$87</definedName>
    <definedName name="inctaxrate">0.4</definedName>
    <definedName name="Insurance_Rate">'[25]Assumptions (Input)'!$B$9</definedName>
    <definedName name="INTRESEXCH" localSheetId="11">[62]Sheet1!$AG$1</definedName>
    <definedName name="INTRESEXCH">[63]Sheet1!$AG$1</definedName>
    <definedName name="Jan04AMA" localSheetId="11">[1]BS!$AD$7:$AD$3582</definedName>
    <definedName name="Jan04AMA">[2]BS!$AD$7:$AD$3582</definedName>
    <definedName name="Jan09AMA" localSheetId="11">[3]BS!$AK$7:$AK$1743</definedName>
    <definedName name="Jan09AMA">[4]BS!$AK$7:$AK$1743</definedName>
    <definedName name="Jan10AMA" localSheetId="11">[3]BS!$AW$7:$AW$1726</definedName>
    <definedName name="Jan10AMA">[4]BS!$AW$7:$AW$1726</definedName>
    <definedName name="Jan17AMA">[10]BS!$AE$8:$AE$2551</definedName>
    <definedName name="jjj" localSheetId="11">[64]Inputs!$N$18</definedName>
    <definedName name="jjj">[65]Inputs!$N$18</definedName>
    <definedName name="JP_Bal" localSheetId="11">[66]ACCOUNTS!$AG$31</definedName>
    <definedName name="JP_Bal">[67]ACCOUNTS!$AG$31</definedName>
    <definedName name="Jul04AMA" localSheetId="11">[1]BS!$AJ$7:$AJ$3582</definedName>
    <definedName name="Jul04AMA">[2]BS!$AJ$7:$AJ$3582</definedName>
    <definedName name="Jul09AMA" localSheetId="11">[3]BS!$AQ$7:$AQ$1726</definedName>
    <definedName name="Jul09AMA">[4]BS!$AQ$7:$AQ$1726</definedName>
    <definedName name="July17AMA">[10]BS!$AK$8:$AK$2552</definedName>
    <definedName name="Jun04AMA" localSheetId="11">[1]BS!$AI$7:$AI$3582</definedName>
    <definedName name="Jun04AMA">[2]BS!$AI$7:$AI$3582</definedName>
    <definedName name="Jun09AMA" localSheetId="11">[3]BS!$AP$7:$AP$1726</definedName>
    <definedName name="Jun09AMA">[4]BS!$AP$7:$AP$1726</definedName>
    <definedName name="Jun10AMA" localSheetId="11">[3]BS!$BB$7:$BB$1726</definedName>
    <definedName name="Jun10AMA">[4]BS!$BB$7:$BB$1726</definedName>
    <definedName name="Jun17AMA">[10]BS!$AJ$8:$AJ$2553</definedName>
    <definedName name="Jurisdiction">[18]Variables!$AK$15</definedName>
    <definedName name="JurisNumber">[18]Variables!$AL$15</definedName>
    <definedName name="k_Docket_Number">'[40]KJB-12 Sum'!$AS$2</definedName>
    <definedName name="k_FITrate">'[40]KJB-3,11 Def'!$L$20</definedName>
    <definedName name="keep_Docket_Number" localSheetId="11">'[68]KJB-3 Sum'!$AQ$2</definedName>
    <definedName name="keep_Docket_Number" localSheetId="47">'[69]KJB-3 Sum'!$AQ$2</definedName>
    <definedName name="keep_Docket_Number">'[70]KJB-3 Sum'!$AQ$2</definedName>
    <definedName name="keep_FIT" localSheetId="11">'[68]KJB-7 Def'!$L$20</definedName>
    <definedName name="keep_FIT" localSheetId="47">'[69]KJB-7 Def'!$L$20</definedName>
    <definedName name="keep_FIT">'[70]KJB-7 Def'!$L$20</definedName>
    <definedName name="keep_KJB_3_Rate_Increase" localSheetId="11">'[68]KJB-7 Def'!$C$3</definedName>
    <definedName name="keep_KJB_3_Rate_Increase" localSheetId="47">'[69]KJB-7 Def'!$C$3</definedName>
    <definedName name="keep_KJB_3_Rate_Increase">'[70]KJB-7 Def'!$C$3</definedName>
    <definedName name="keep_KJB_4_Electric_Summary" localSheetId="11">'[68]KJB-3 Sum'!$AQ$3</definedName>
    <definedName name="keep_KJB_4_Electric_Summary" localSheetId="47">'[69]KJB-3 Sum'!$AQ$3</definedName>
    <definedName name="keep_KJB_4_Electric_Summary">'[70]KJB-3 Sum'!$AQ$3</definedName>
    <definedName name="keep_KJB_8_Common_Adjs" localSheetId="11">'[68]KJB-5 Cmn Adj'!$L$3</definedName>
    <definedName name="keep_KJB_8_Common_Adjs" localSheetId="47">'[69]KJB-5 Cmn Adj'!$L$3</definedName>
    <definedName name="keep_KJB_8_Common_Adjs">'[70]KJB-5 Cmn Adj'!$L$3</definedName>
    <definedName name="keep_KJB_9_Electric_Only" localSheetId="11">'[68]KJB-5 El Adj'!$E$3</definedName>
    <definedName name="keep_KJB_9_Electric_Only" localSheetId="47">'[69]KJB-5 El Adj'!$E$3</definedName>
    <definedName name="keep_KJB_9_Electric_Only">'[70]KJB-5 El Adj'!$E$3</definedName>
    <definedName name="keep_PSE">'[71]Gas Summary'!$I$5</definedName>
    <definedName name="keep_TESTYEAR" localSheetId="11">'[68]KJB-5 Cmn Adj'!$B$7</definedName>
    <definedName name="keep_TESTYEAR" localSheetId="47">'[69]KJB-5 Cmn Adj'!$B$7</definedName>
    <definedName name="keep_TESTYEAR">'[70]KJB-5 Cmn Adj'!$B$7</definedName>
    <definedName name="kp_DOCKET">'[71]Gas Detail Pages'!$A$9</definedName>
    <definedName name="Last_Row" localSheetId="44">IF('Elect 2017GRC Conv Fctr'!Values_Entered,Header_Row+'Elect 2017GRC Conv Fctr'!Number_of_Payments,Header_Row)</definedName>
    <definedName name="Last_Row" localSheetId="11">IF('Electric Account Balance'!Values_Entered,Header_Row+'Electric Account Balance'!Number_of_Payments,Header_Row)</definedName>
    <definedName name="Last_Row" localSheetId="10">IF('FPC Deferral Balance'!Values_Entered,Header_Row+'FPC Deferral Balance'!Number_of_Payments,Header_Row)</definedName>
    <definedName name="Last_Row" localSheetId="25">IF('Non-Res Delivery Calc'!Values_Entered,Header_Row+'Non-Res Delivery Calc'!Number_of_Payments,Header_Row)</definedName>
    <definedName name="Last_Row" localSheetId="32">IF('Non-Res FPC Calc'!Values_Entered,Header_Row+'Non-Res FPC Calc'!Number_of_Payments,Header_Row)</definedName>
    <definedName name="Last_Row" localSheetId="36">IF('Rate Test Revenue'!Values_Entered,Header_Row+'Rate Test Revenue'!Number_of_Payments,Header_Row)</definedName>
    <definedName name="Last_Row" localSheetId="28">IF('Sch 10&amp;31 Delivery Calc'!Values_Entered,Header_Row+'Sch 10&amp;31 Delivery Calc'!Number_of_Payments,Header_Row)</definedName>
    <definedName name="Last_Row" localSheetId="35">IF('Sch 10&amp;31 FPC Calc'!Values_Entered,Header_Row+'Sch 10&amp;31 FPC Calc'!Number_of_Payments,Header_Row)</definedName>
    <definedName name="Last_Row" localSheetId="27">IF('Sch 12&amp;26 Delivery Calc'!Values_Entered,Header_Row+'Sch 12&amp;26 Delivery Calc'!Number_of_Payments,Header_Row)</definedName>
    <definedName name="Last_Row" localSheetId="34">IF('Sch 12&amp;26 FPC Calc'!Values_Entered,Header_Row+'Sch 12&amp;26 FPC Calc'!Number_of_Payments,Header_Row)</definedName>
    <definedName name="Last_Row" localSheetId="26">IF('Sch 40 Delivery Calc'!Values_Entered,Header_Row+'Sch 40 Delivery Calc'!Number_of_Payments,Header_Row)</definedName>
    <definedName name="Last_Row" localSheetId="33">IF('Sch 40 FPC Calc'!Values_Entered,Header_Row+'Sch 40 FPC Calc'!Number_of_Payments,Header_Row)</definedName>
    <definedName name="Last_Row" localSheetId="29">IF('Sch 46&amp;49 Delivery Calc'!Values_Entered,Header_Row+'Sch 46&amp;49 Delivery Calc'!Number_of_Payments,Header_Row)</definedName>
    <definedName name="Last_Row" localSheetId="30">IF('Sch 7 FPC Calc'!Values_Entered,Header_Row+'Sch 7 FPC Calc'!Number_of_Payments,Header_Row)</definedName>
    <definedName name="Last_Row" localSheetId="24">IF('Sch 8&amp;24 Delivery Calc'!Values_Entered,Header_Row+'Sch 8&amp;24 Delivery Calc'!Number_of_Payments,Header_Row)</definedName>
    <definedName name="Last_Row" localSheetId="31">IF('Sch 8&amp;24 FPC Calc'!Values_Entered,Header_Row+'Sch 8&amp;24 FPC Calc'!Number_of_Payments,Header_Row)</definedName>
    <definedName name="Last_Row">IF([0]!Values_Entered,Header_Row+[0]!Number_of_Payments,Header_Row)</definedName>
    <definedName name="LATEPAY" localSheetId="11">[62]Sheet1!$E$3:$E$25</definedName>
    <definedName name="LATEPAY">[63]Sheet1!$E$3:$E$25</definedName>
    <definedName name="Levy_Rate">'[25]Assumptions (Input)'!$B$6</definedName>
    <definedName name="limcount">1</definedName>
    <definedName name="LINE.T" localSheetId="11">[7]INTERNAL!$A$55:$IV$57</definedName>
    <definedName name="LINE.T">[8]INTERNAL!$A$55:$IV$57</definedName>
    <definedName name="LinkCos" localSheetId="11">'[16]JAM Download'!$K$4</definedName>
    <definedName name="LinkCos">'[17]JAM Download'!$K$4</definedName>
    <definedName name="LoadArray">'[72]Load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 localSheetId="11">[73]M9100F4!$A$1:$V$99</definedName>
    <definedName name="M9100F4_v4">[74]M9100F4!$A$1:$V$99</definedName>
    <definedName name="MACRS">'[25]MACRS RATES'!$A$3:$AT$10</definedName>
    <definedName name="Mar04AMA" localSheetId="11">[1]BS!$AF$7:$AF$3582</definedName>
    <definedName name="Mar04AMA">[2]BS!$AF$7:$AF$3582</definedName>
    <definedName name="MAR09AMA" localSheetId="11">[3]BS!$AM$7:$AM$1725</definedName>
    <definedName name="MAR09AMA">[4]BS!$AM$7:$AM$1725</definedName>
    <definedName name="Mar10AMA" localSheetId="11">[3]BS!$AY$7:$AY$1726</definedName>
    <definedName name="Mar10AMA">[4]BS!$AY$7:$AY$1726</definedName>
    <definedName name="Mar17AMA">[10]BS!$AG$8:$AG$2552</definedName>
    <definedName name="May04AMA" localSheetId="11">[1]BS!$AH$7:$AH$3582</definedName>
    <definedName name="May04AMA">[2]BS!$AH$7:$AH$3582</definedName>
    <definedName name="MAY09AMA" localSheetId="11">[3]BS!$AO$7:$AO$1726</definedName>
    <definedName name="MAY09AMA">[4]BS!$AO$7:$AO$1726</definedName>
    <definedName name="May10AMA" localSheetId="11">[3]BS!$BA$7:$BA$1726</definedName>
    <definedName name="May10AMA">[4]BS!$BA$7:$BA$1726</definedName>
    <definedName name="May17AMA">[10]BS!$AI$8:$AI$2552</definedName>
    <definedName name="menu1_Button5_Click" localSheetId="44">[75]!menu1_Button5_Click</definedName>
    <definedName name="menu1_Button5_Click" localSheetId="11">[76]!menu1_Button5_Click</definedName>
    <definedName name="menu1_Button5_Click" localSheetId="10">[75]!menu1_Button5_Click</definedName>
    <definedName name="menu1_Button5_Click" localSheetId="25">[75]!menu1_Button5_Click</definedName>
    <definedName name="menu1_Button5_Click" localSheetId="32">[75]!menu1_Button5_Click</definedName>
    <definedName name="menu1_Button5_Click" localSheetId="28">[75]!menu1_Button5_Click</definedName>
    <definedName name="menu1_Button5_Click" localSheetId="35">[75]!menu1_Button5_Click</definedName>
    <definedName name="menu1_Button5_Click" localSheetId="27">[75]!menu1_Button5_Click</definedName>
    <definedName name="menu1_Button5_Click" localSheetId="34">[75]!menu1_Button5_Click</definedName>
    <definedName name="menu1_Button5_Click" localSheetId="26">[75]!menu1_Button5_Click</definedName>
    <definedName name="menu1_Button5_Click" localSheetId="33">[75]!menu1_Button5_Click</definedName>
    <definedName name="menu1_Button5_Click" localSheetId="29">[75]!menu1_Button5_Click</definedName>
    <definedName name="menu1_Button5_Click" localSheetId="30">[75]!menu1_Button5_Click</definedName>
    <definedName name="menu1_Button5_Click" localSheetId="24">[75]!menu1_Button5_Click</definedName>
    <definedName name="menu1_Button5_Click" localSheetId="31">[75]!menu1_Button5_Click</definedName>
    <definedName name="menu1_Button5_Click">[75]!menu1_Button5_Click</definedName>
    <definedName name="menu1_Button6_Click" localSheetId="44">[75]!menu1_Button6_Click</definedName>
    <definedName name="menu1_Button6_Click" localSheetId="11">[76]!menu1_Button6_Click</definedName>
    <definedName name="menu1_Button6_Click" localSheetId="10">[75]!menu1_Button6_Click</definedName>
    <definedName name="menu1_Button6_Click" localSheetId="25">[75]!menu1_Button6_Click</definedName>
    <definedName name="menu1_Button6_Click" localSheetId="32">[75]!menu1_Button6_Click</definedName>
    <definedName name="menu1_Button6_Click" localSheetId="28">[75]!menu1_Button6_Click</definedName>
    <definedName name="menu1_Button6_Click" localSheetId="35">[75]!menu1_Button6_Click</definedName>
    <definedName name="menu1_Button6_Click" localSheetId="27">[75]!menu1_Button6_Click</definedName>
    <definedName name="menu1_Button6_Click" localSheetId="34">[75]!menu1_Button6_Click</definedName>
    <definedName name="menu1_Button6_Click" localSheetId="26">[75]!menu1_Button6_Click</definedName>
    <definedName name="menu1_Button6_Click" localSheetId="33">[75]!menu1_Button6_Click</definedName>
    <definedName name="menu1_Button6_Click" localSheetId="29">[75]!menu1_Button6_Click</definedName>
    <definedName name="menu1_Button6_Click" localSheetId="30">[75]!menu1_Button6_Click</definedName>
    <definedName name="menu1_Button6_Click" localSheetId="24">[75]!menu1_Button6_Click</definedName>
    <definedName name="menu1_Button6_Click" localSheetId="31">[75]!menu1_Button6_Click</definedName>
    <definedName name="menu1_Button6_Click">[75]!menu1_Button6_Click</definedName>
    <definedName name="MERGER_COST" localSheetId="12">[63]Sheet1!$AF$3:$AJ$28</definedName>
    <definedName name="MERGER_COST" localSheetId="9">[63]Sheet1!$AF$3:$AJ$28</definedName>
    <definedName name="MERGER_COST" localSheetId="11">[62]Sheet1!$AF$3:$AJ$28</definedName>
    <definedName name="MERGER_COST" localSheetId="13">[63]Sheet1!$AF$3:$AJ$28</definedName>
    <definedName name="MERGER_COST" localSheetId="10">[63]Sheet1!$AF$3:$AJ$28</definedName>
    <definedName name="MERGER_COST">[77]Sheet1!$AF$3:$AJ$28</definedName>
    <definedName name="METER" localSheetId="11">[7]EXTERNAL!$A$34:$IV$36</definedName>
    <definedName name="METER">[8]EXTERNAL!$A$34:$IV$36</definedName>
    <definedName name="Method" localSheetId="11">[21]Inputs!$C$6</definedName>
    <definedName name="Method">[22]Inputs!$C$6</definedName>
    <definedName name="monthlist" localSheetId="11">[78]Table!$R$2:$S$13</definedName>
    <definedName name="monthlist">[79]Table!$R$2:$S$13</definedName>
    <definedName name="monthtotals" localSheetId="11">'[78]WA SBC'!$D$40:$O$40</definedName>
    <definedName name="monthtotals">'[79]WA SBC'!$D$40:$O$40</definedName>
    <definedName name="MTD_Format" localSheetId="12">[80]Mthly!$B$11:$D$11,[80]Mthly!$B$31:$D$31</definedName>
    <definedName name="MTD_Format" localSheetId="9">[80]Mthly!$B$11:$D$11,[80]Mthly!$B$31:$D$31</definedName>
    <definedName name="MTD_Format" localSheetId="41">[81]Mthly!$B$11:$D$11,[81]Mthly!$B$35:$D$35</definedName>
    <definedName name="MTD_Format" localSheetId="11">[82]Mthly!$B$11:$D$11,[82]Mthly!$B$31:$D$31</definedName>
    <definedName name="MTD_Format" localSheetId="13">[80]Mthly!$B$11:$D$11,[80]Mthly!$B$31:$D$31</definedName>
    <definedName name="MTD_Format" localSheetId="10">[80]Mthly!$B$11:$D$11,[80]Mthly!$B$31:$D$31</definedName>
    <definedName name="MTD_Format">[83]Mthly!$B$11:$D$11,[83]Mthly!$B$32:$D$32</definedName>
    <definedName name="MTR_YR3" localSheetId="11">[84]Variables!$E$14</definedName>
    <definedName name="MTR_YR3">[85]Variables!$E$14</definedName>
    <definedName name="NCP_360" localSheetId="11">[7]EXTERNAL!$A$13:$IV$15</definedName>
    <definedName name="NCP_360">[8]EXTERNAL!$A$13:$IV$15</definedName>
    <definedName name="NCP_361" localSheetId="11">[7]EXTERNAL!$A$16:$IV$18</definedName>
    <definedName name="NCP_361">[8]EXTERNAL!$A$16:$IV$18</definedName>
    <definedName name="NCP_362" localSheetId="11">[7]EXTERNAL!$A$19:$IV$21</definedName>
    <definedName name="NCP_362">[8]EXTERNAL!$A$19:$IV$21</definedName>
    <definedName name="Net_to_Gross_Factor" localSheetId="11">[16]Inputs!$G$8</definedName>
    <definedName name="Net_to_Gross_Factor">[17]Inputs!$G$8</definedName>
    <definedName name="NetToGross" localSheetId="11">[23]Variables!$D$23</definedName>
    <definedName name="NetToGross">[24]Variables!$D$23</definedName>
    <definedName name="Nov03AMA" localSheetId="11">[5]BS!$AI$7:$AI$3582</definedName>
    <definedName name="Nov03AMA">[6]BS!$AI$7:$AI$3582</definedName>
    <definedName name="Nov04AMA" localSheetId="11">[1]BS!$AN$7:$AN$3582</definedName>
    <definedName name="Nov04AMA">[2]BS!$AN$7:$AN$3582</definedName>
    <definedName name="Nov09AMA" localSheetId="11">[3]BS!$AU$7:$AU$1726</definedName>
    <definedName name="Nov09AMA">[4]BS!$AU$7:$AU$1726</definedName>
    <definedName name="NPC" localSheetId="11">[86]Inputs!$N$18</definedName>
    <definedName name="NPC">[87]Inputs!$N$18</definedName>
    <definedName name="NRG" localSheetId="11">[7]CLASSIFIERS!$A$5:$IV$5</definedName>
    <definedName name="NRG">[8]CLASSIFIERS!$A$5:$IV$5</definedName>
    <definedName name="Number_of_Payments" localSheetId="42">MATCH(0.01,End_Bal,-1)+1</definedName>
    <definedName name="Number_of_Payments" localSheetId="44">MATCH(0.01,End_Bal,-1)+1</definedName>
    <definedName name="Number_of_Payments" localSheetId="11">MATCH(0.01,End_Bal,-1)+1</definedName>
    <definedName name="Number_of_Payments" localSheetId="10">MATCH(0.01,End_Bal,-1)+1</definedName>
    <definedName name="Number_of_Payments" localSheetId="25">MATCH(0.01,End_Bal,-1)+1</definedName>
    <definedName name="Number_of_Payments" localSheetId="32">MATCH(0.01,End_Bal,-1)+1</definedName>
    <definedName name="Number_of_Payments" localSheetId="5">MATCH(0.01,End_Bal,-1)+1</definedName>
    <definedName name="Number_of_Payments" localSheetId="36">MATCH(0.01,End_Bal,-1)+1</definedName>
    <definedName name="Number_of_Payments" localSheetId="28">MATCH(0.01,End_Bal,-1)+1</definedName>
    <definedName name="Number_of_Payments" localSheetId="35">MATCH(0.01,End_Bal,-1)+1</definedName>
    <definedName name="Number_of_Payments" localSheetId="27">MATCH(0.01,End_Bal,-1)+1</definedName>
    <definedName name="Number_of_Payments" localSheetId="34">MATCH(0.01,End_Bal,-1)+1</definedName>
    <definedName name="Number_of_Payments" localSheetId="26">MATCH(0.01,End_Bal,-1)+1</definedName>
    <definedName name="Number_of_Payments" localSheetId="33">MATCH(0.01,End_Bal,-1)+1</definedName>
    <definedName name="Number_of_Payments" localSheetId="29">MATCH(0.01,End_Bal,-1)+1</definedName>
    <definedName name="Number_of_Payments" localSheetId="30">MATCH(0.01,End_Bal,-1)+1</definedName>
    <definedName name="Number_of_Payments" localSheetId="24">MATCH(0.01,End_Bal,-1)+1</definedName>
    <definedName name="Number_of_Payments" localSheetId="31">MATCH(0.01,End_Bal,-1)+1</definedName>
    <definedName name="Number_of_Payments">MATCH(0.01,End_Bal,-1)+1</definedName>
    <definedName name="NvsASD" localSheetId="47">"V1999-02-28"</definedName>
    <definedName name="NvsASD">"V2005-12-31"</definedName>
    <definedName name="NvsAutoDrillOk">"VN"</definedName>
    <definedName name="NvsElapsedTime" localSheetId="47">0.00604305555316387</definedName>
    <definedName name="NvsElapsedTime">0.00881805555400206</definedName>
    <definedName name="NvsEndTime" localSheetId="47">36245.5384840278</definedName>
    <definedName name="NvsEndTime">38831.5955224537</definedName>
    <definedName name="NvsInstSpec" localSheetId="47">"%,FPPL_SUPP_RES_CTR,TPPL_RPTD_SRC,NFOSSIL"</definedName>
    <definedName name="NvsInstSpec">"%"</definedName>
    <definedName name="NvsLayoutType">"M3"</definedName>
    <definedName name="NvsNplSpec" localSheetId="47">"%,X,RNF..,CZF.."</definedName>
    <definedName name="NvsNplSpec">"%,X,RZF..,CZF.."</definedName>
    <definedName name="NvsPanelEffdt" localSheetId="47">"V1900-01-01"</definedName>
    <definedName name="NvsPanelEffdt">"V2020-12-31"</definedName>
    <definedName name="NvsPanelSetid" localSheetId="47">"VSHARE"</definedName>
    <definedName name="NvsPanelSetid">"VCPSTD"</definedName>
    <definedName name="NvsReqBU" localSheetId="47">"V10000"</definedName>
    <definedName name="NvsReqBU">"VCPSTD"</definedName>
    <definedName name="NvsReqBUOnly">"VN"</definedName>
    <definedName name="NvsTransLed">"VN"</definedName>
    <definedName name="NvsTreeASD" localSheetId="47">"V1999-02-28"</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'[25]MiscItems(Input)'!$B$5:$AO$8,'[25]MiscItems(Input)'!$B$13:$AO$13,'[25]MiscItems(Input)'!$B$15:$B$17,'[25]MiscItems(Input)'!$B$17:$AO$17,'[25]MiscItems(Input)'!$B$15:$AO$15</definedName>
    <definedName name="O_M_Rate" localSheetId="11">'[42]Virtual 49 Back-Up'!$B$21</definedName>
    <definedName name="O_M_Rate">'[43]Virtual 49 Back-Up'!$B$21</definedName>
    <definedName name="OBCLEASE" localSheetId="11">[62]Sheet1!$AF$4:$AI$23</definedName>
    <definedName name="OBCLEASE">[63]Sheet1!$AF$4:$AI$23</definedName>
    <definedName name="Oct03AMA" localSheetId="11">[5]BS!$AH$7:$AH$3582</definedName>
    <definedName name="Oct03AMA">[6]BS!$AH$7:$AH$3582</definedName>
    <definedName name="Oct04AMA" localSheetId="11">[1]BS!$AM$7:$AM$3582</definedName>
    <definedName name="Oct04AMA">[2]BS!$AM$7:$AM$3582</definedName>
    <definedName name="Oct09AMA" localSheetId="11">[3]BS!$AT$7:$AT$1726</definedName>
    <definedName name="Oct09AMA">[4]BS!$AT$7:$AT$1726</definedName>
    <definedName name="Oct17AMA">[10]BS!$AN$8:$AN$2552</definedName>
    <definedName name="OH" localSheetId="11">[7]CLASSIFIERS!$A$8:$IV$8</definedName>
    <definedName name="OH">[8]CLASSIFIERS!$A$8:$IV$8</definedName>
    <definedName name="OH_NCP" localSheetId="11">[7]EXTERNAL!$A$79:$IV$81</definedName>
    <definedName name="OH_NCP">[8]EXTERNAL!$A$79:$IV$81</definedName>
    <definedName name="OH_SVC" localSheetId="11">[7]EXTERNAL!$A$142:$IV$144</definedName>
    <definedName name="OH_SVC">[8]EXTERNAL!$A$142:$IV$144</definedName>
    <definedName name="OH_TFMR" localSheetId="11">[7]EXTERNAL!$A$97:$IV$99</definedName>
    <definedName name="OH_TFMR">[8]EXTERNAL!$A$97:$IV$99</definedName>
    <definedName name="OH_TFMRC" localSheetId="11">[7]EXTERNAL!$A$94:$IV$96</definedName>
    <definedName name="OH_TFMRC">[8]EXTERNAL!$A$94:$IV$96</definedName>
    <definedName name="option">'[88]Dist Misc'!$F$120</definedName>
    <definedName name="OthRCF" localSheetId="11">[38]INPUTS!$F$41</definedName>
    <definedName name="OthRCF">[37]INPUTS!$F$41</definedName>
    <definedName name="OthUnc" localSheetId="11">[7]INPUTS!$F$36</definedName>
    <definedName name="OthUnc">[8]INPUTS!$F$36</definedName>
    <definedName name="outlookdata" localSheetId="11">'[89]pivoted data'!$D$3:$Q$90</definedName>
    <definedName name="outlookdata">'[90]pivoted data'!$D$3:$Q$90</definedName>
    <definedName name="peak_new_table" localSheetId="11">'[91]2008 Extreme Peaks - 080403'!$E$5:$AD$8</definedName>
    <definedName name="peak_new_table">'[92]2008 Extreme Peaks - 080403'!$E$5:$AD$8</definedName>
    <definedName name="peak_table" localSheetId="11">'[91]Peaks-F01'!$C$5:$E$243</definedName>
    <definedName name="peak_table">'[92]Peaks-F01'!$C$5:$E$243</definedName>
    <definedName name="PeakMethod" localSheetId="11">[21]Inputs!$T$5</definedName>
    <definedName name="PeakMethod">[22]Inputs!$T$5</definedName>
    <definedName name="Percent_debt" localSheetId="11">[57]Inputs!$E$129</definedName>
    <definedName name="Percent_debt">[58]Inputs!$E$129</definedName>
    <definedName name="Plant_Input">'[25]Plant(Input)'!$B$7:$AP$9,'[25]Plant(Input)'!$B$11,'[25]Plant(Input)'!$B$15:$AP$15,'[25]Plant(Input)'!$B$18,'[25]Plant(Input)'!$B$20:$AP$20</definedName>
    <definedName name="POWER.T" localSheetId="11">[7]INTERNAL!$A$58:$IV$60</definedName>
    <definedName name="POWER.T">[8]INTERNAL!$A$58:$IV$60</definedName>
    <definedName name="PP.T" localSheetId="11">[7]INTERNAL!$A$61:$IV$63</definedName>
    <definedName name="PP.T">[8]INTERNAL!$A$61:$IV$63</definedName>
    <definedName name="PreTaxDebtCost" localSheetId="11">[19]Assumptions!$I$56</definedName>
    <definedName name="PreTaxDebtCost">[20]Assumptions!$I$56</definedName>
    <definedName name="PreTaxWACC" localSheetId="11">[19]Assumptions!$I$62</definedName>
    <definedName name="PreTaxWACC">[20]Assumptions!$I$62</definedName>
    <definedName name="Prices_Aurora" localSheetId="11">'[55]Monthly Price Summary'!$C$4:$H$63</definedName>
    <definedName name="Prices_Aurora">'[56]Monthly Price Summary'!$C$4:$H$63</definedName>
    <definedName name="_xlnm.Print_Area" localSheetId="42">'2017 GRC PCA Costs FPC'!$A$1:$Q$30</definedName>
    <definedName name="_xlnm.Print_Area" localSheetId="11">'Electric Account Balance'!$D$1:$H$329</definedName>
    <definedName name="_xlnm.Print_Area" localSheetId="13">Forecast!$A$1:$P$51</definedName>
    <definedName name="_xlnm.Print_Area" localSheetId="25">'Non-Res Delivery Calc'!$A$1:$O$46</definedName>
    <definedName name="_xlnm.Print_Area" localSheetId="47">'PCA Deferral'!$A$1:$Q$42</definedName>
    <definedName name="_xlnm.Print_Area" localSheetId="36">'Rate Test Revenue'!$A$1:$N$39</definedName>
    <definedName name="_xlnm.Print_Area" localSheetId="28">'Sch 10&amp;31 Delivery Calc'!$A$1:$O$46</definedName>
    <definedName name="_xlnm.Print_Area" localSheetId="27">'Sch 12&amp;26 Delivery Calc'!$A$1:$O$46</definedName>
    <definedName name="_xlnm.Print_Area" localSheetId="17">'Sch 142 Impacts'!$A$1:$L$42</definedName>
    <definedName name="_xlnm.Print_Area" localSheetId="26">'Sch 40 Delivery Calc'!$A$1:$O$46</definedName>
    <definedName name="_xlnm.Print_Area" localSheetId="29">'Sch 46&amp;49 Delivery Calc'!$A$1:$O$28</definedName>
    <definedName name="_xlnm.Print_Area" localSheetId="23">'Sch 7 Delivery Calc'!$A$1:$O$46</definedName>
    <definedName name="_xlnm.Print_Area" localSheetId="24">'Sch 8&amp;24 Delivery Calc'!$A$1:$O$46</definedName>
    <definedName name="_xlnm.Print_Area" localSheetId="3">'Summary of Rates'!$A$1:$H$31</definedName>
    <definedName name="_xlnm.Print_Area" localSheetId="16">'Typical Residential Sch 142'!$A$1:$S$64</definedName>
    <definedName name="Print_Area_Reset">OFFSET(Full_Print,0,0,[0]!Last_Row)</definedName>
    <definedName name="_xlnm.Print_Titles" localSheetId="11">'Electric Account Balance'!$A:$C,'Electric Account Balance'!$1:$6</definedName>
    <definedName name="_xlnm.Print_Titles" localSheetId="47">'PCA Deferral'!$A:$C</definedName>
    <definedName name="Prior_Month" localSheetId="11">[31]Sch_120!$I$21</definedName>
    <definedName name="Prior_Month">[32]Sch_120!$I$21</definedName>
    <definedName name="PROFORMA" localSheetId="11">[7]EXTERNAL!$A$67:$IV$69</definedName>
    <definedName name="PROFORMA">[8]EXTERNAL!$A$67:$IV$69</definedName>
    <definedName name="PROFORMA_RETAIL" localSheetId="11">[7]EXTERNAL!$A$91:$IV$93</definedName>
    <definedName name="PROFORMA_RETAIL">[8]EXTERNAL!$A$91:$IV$93</definedName>
    <definedName name="PROFORMA_RETAIL_TAX" localSheetId="11">[7]EXTERNAL!$A$169:$IV$171</definedName>
    <definedName name="PROFORMA_RETAIL_TAX">[8]EXTERNAL!$A$169:$IV$171</definedName>
    <definedName name="Projects" localSheetId="11">[93]Sheet1!$A$1147:$B$1887</definedName>
    <definedName name="Projects">[94]Sheet1!$A$1147:$B$1887</definedName>
    <definedName name="Prov_Cap_Tax" localSheetId="11">[57]Inputs!$E$111</definedName>
    <definedName name="Prov_Cap_Tax">[58]Inputs!$E$111</definedName>
    <definedName name="PSE" localSheetId="11">'[95]4.04'!$A$6</definedName>
    <definedName name="PSE">'[96]4.04'!$A$6</definedName>
    <definedName name="PSE_Pre_Tax_Equity_Rate" localSheetId="11">'[51]Assumptions of Purchase'!$B$42</definedName>
    <definedName name="PSE_Pre_Tax_Equity_Rate">'[51]Assumptions of Purchase'!$B$42</definedName>
    <definedName name="PSPL" localSheetId="6">'[29]Summaries &amp; 3.01-3.18 &amp; 4.01'!$A$4</definedName>
    <definedName name="PSPL">'[30]Summaries &amp; 3.01-3.18 &amp; 4.01'!$A$4</definedName>
    <definedName name="PTDGP.T" localSheetId="11">[7]INTERNAL!$A$64:$IV$66</definedName>
    <definedName name="PTDGP.T">[8]INTERNAL!$A$64:$IV$66</definedName>
    <definedName name="PTDP.T" localSheetId="11">[7]INTERNAL!$A$67:$IV$69</definedName>
    <definedName name="PTDP.T">[8]INTERNAL!$A$67:$IV$69</definedName>
    <definedName name="QTD_Format" localSheetId="11">[97]QTD!$B$11:$D$11,[97]QTD!$B$35:$D$35</definedName>
    <definedName name="QTD_Format">[81]QTD!$B$11:$D$11,[81]QTD!$B$35:$D$35</definedName>
    <definedName name="RATE2">'[41]Transp Data'!$A$8:$I$112</definedName>
    <definedName name="Rates" localSheetId="11">[98]Codes!$A$1:$C$500</definedName>
    <definedName name="Rates">[99]Codes!$A$1:$C$500</definedName>
    <definedName name="RB.T" localSheetId="11">[7]INTERNAL!$A$70:$IV$72</definedName>
    <definedName name="RB.T">[8]INTERNAL!$A$70:$IV$72</definedName>
    <definedName name="RCF" localSheetId="11">[66]INPUTS!$F$48</definedName>
    <definedName name="RCF">[67]INPUTS!$F$48</definedName>
    <definedName name="Requlated_scenario">'[25]Assumptions (Input)'!$B$12</definedName>
    <definedName name="ResExchCrRate" localSheetId="11">[31]Sch_194!$M$31</definedName>
    <definedName name="ResExchCrRate">[100]Sch_194!$M$31</definedName>
    <definedName name="RESID" localSheetId="11">[7]EXTERNAL!$A$88:$IV$90</definedName>
    <definedName name="RESID">[8]EXTERNAL!$A$88:$IV$90</definedName>
    <definedName name="resource_lookup">'[101]#REF'!$B$3:$C$112</definedName>
    <definedName name="ResourceSupplier" localSheetId="11">[23]Variables!$D$28</definedName>
    <definedName name="ResourceSupplier">[24]Variables!$D$28</definedName>
    <definedName name="ResRCF" localSheetId="42">[36]INPUTS!$F$44</definedName>
    <definedName name="ResRCF" localSheetId="12">[37]INPUTS!$F$39</definedName>
    <definedName name="ResRCF" localSheetId="9">[37]INPUTS!$F$39</definedName>
    <definedName name="ResRCF" localSheetId="11">[38]INPUTS!$F$39</definedName>
    <definedName name="ResRCF" localSheetId="13">[37]INPUTS!$F$39</definedName>
    <definedName name="ResRCF" localSheetId="10">[37]INPUTS!$F$39</definedName>
    <definedName name="ResRCF">[39]INPUTS!$F$44</definedName>
    <definedName name="ResUnc" localSheetId="42">[36]INPUTS!$F$39</definedName>
    <definedName name="ResUnc" localSheetId="12">[8]INPUTS!$F$34</definedName>
    <definedName name="ResUnc" localSheetId="9">[8]INPUTS!$F$34</definedName>
    <definedName name="ResUnc" localSheetId="11">[7]INPUTS!$F$34</definedName>
    <definedName name="ResUnc" localSheetId="13">[8]INPUTS!$F$34</definedName>
    <definedName name="ResUnc" localSheetId="10">[8]INPUTS!$F$34</definedName>
    <definedName name="ResUnc">[39]INPUTS!$F$39</definedName>
    <definedName name="RevClass" localSheetId="11">[98]Codes!$F$2:$G$10</definedName>
    <definedName name="RevClass">[99]Codes!$F$2:$G$10</definedName>
    <definedName name="revenue_flag">'[25]Assumptions (Input)'!$C$12</definedName>
    <definedName name="Revenue_Taxes">'[25]Assumptions (Input)'!$B$8</definedName>
    <definedName name="REVFAC1.T" localSheetId="11">[7]INTERNAL!$A$73:$IV$75</definedName>
    <definedName name="REVFAC1.T">[8]INTERNAL!$A$73:$IV$75</definedName>
    <definedName name="ROD" localSheetId="42">[36]INPUTS!$F$30</definedName>
    <definedName name="ROD" localSheetId="12">[8]INPUTS!$F$25</definedName>
    <definedName name="ROD" localSheetId="9">[8]INPUTS!$F$25</definedName>
    <definedName name="ROD" localSheetId="11">[7]INPUTS!$F$25</definedName>
    <definedName name="ROD" localSheetId="13">[8]INPUTS!$F$25</definedName>
    <definedName name="ROD" localSheetId="10">[8]INPUTS!$F$25</definedName>
    <definedName name="ROD">[39]INPUTS!$F$30</definedName>
    <definedName name="ROE" localSheetId="11">[66]INPUTS!$F$31</definedName>
    <definedName name="ROE">[67]INPUTS!$F$31</definedName>
    <definedName name="ROR" localSheetId="42">[36]INPUTS!$F$29</definedName>
    <definedName name="ROR" localSheetId="12">[37]INPUTS!$F$24</definedName>
    <definedName name="ROR" localSheetId="9">[37]INPUTS!$F$24</definedName>
    <definedName name="ROR" localSheetId="11">[38]INPUTS!$F$24</definedName>
    <definedName name="ROR" localSheetId="13">[37]INPUTS!$F$24</definedName>
    <definedName name="ROR" localSheetId="10">[37]INPUTS!$F$24</definedName>
    <definedName name="ROR">[102]INPUTS!$F$29</definedName>
    <definedName name="SAPBEXhrIndnt">"Wide"</definedName>
    <definedName name="SAPsysID">"708C5W7SBKP804JT78WJ0JNKI"</definedName>
    <definedName name="SAPwbID">"ARS"</definedName>
    <definedName name="SBRCF" localSheetId="11">[38]INPUTS!$F$40</definedName>
    <definedName name="SBRCF">[37]INPUTS!$F$40</definedName>
    <definedName name="SbUnc" localSheetId="11">[7]INPUTS!$F$35</definedName>
    <definedName name="SbUnc">[8]INPUTS!$F$35</definedName>
    <definedName name="Sch194Rlfwd" localSheetId="11">'[103]Sch94 Rlfwd'!$B$11</definedName>
    <definedName name="Sch194Rlfwd">'[104]Sch94 Rlfwd'!$B$11</definedName>
    <definedName name="Schedule" localSheetId="11">[86]Inputs!$N$14</definedName>
    <definedName name="Schedule">[87]Inputs!$N$14</definedName>
    <definedName name="Sep03AMA" localSheetId="12">[11]BS!$AN$7:$AN$3420</definedName>
    <definedName name="Sep03AMA" localSheetId="9">[11]BS!$AN$7:$AN$3420</definedName>
    <definedName name="Sep03AMA" localSheetId="11">[12]BS!$AN$7:$AN$3420</definedName>
    <definedName name="Sep03AMA" localSheetId="13">[11]BS!$AN$7:$AN$3420</definedName>
    <definedName name="Sep03AMA" localSheetId="10">[11]BS!$AN$7:$AN$3420</definedName>
    <definedName name="Sep03AMA">[6]BS!$AG$7:$AG$3582</definedName>
    <definedName name="Sep04AMA" localSheetId="11">[1]BS!$AL$7:$AL$3582</definedName>
    <definedName name="Sep04AMA">[2]BS!$AL$7:$AL$3582</definedName>
    <definedName name="Sep09AMA" localSheetId="11">[3]BS!$AS$7:$AS$1726</definedName>
    <definedName name="Sep09AMA">[4]BS!$AS$7:$AS$1726</definedName>
    <definedName name="Sept17AMA">[10]BS!$AM$8:$AM$2552</definedName>
    <definedName name="solver_eval">0</definedName>
    <definedName name="solver_ntri">1000</definedName>
    <definedName name="solver_rsmp">1</definedName>
    <definedName name="solver_seed">0</definedName>
    <definedName name="StartDate" localSheetId="11">[19]Assumptions!$C$9</definedName>
    <definedName name="StartDate">[20]Assumptions!$C$9</definedName>
    <definedName name="STAX" localSheetId="42">[36]INPUTS!$F$34</definedName>
    <definedName name="STAX" localSheetId="12">[8]INPUTS!$F$29</definedName>
    <definedName name="STAX" localSheetId="9">[8]INPUTS!$F$29</definedName>
    <definedName name="STAX" localSheetId="11">[7]INPUTS!$F$29</definedName>
    <definedName name="STAX" localSheetId="13">[8]INPUTS!$F$29</definedName>
    <definedName name="STAX" localSheetId="10">[8]INPUTS!$F$29</definedName>
    <definedName name="STAX">[39]INPUTS!$F$34</definedName>
    <definedName name="SW.T" localSheetId="11">[7]INTERNAL!$A$76:$IV$78</definedName>
    <definedName name="SW.T">[8]INTERNAL!$A$76:$IV$78</definedName>
    <definedName name="SWPTD.T" localSheetId="11">[7]INTERNAL!$A$79:$IV$81</definedName>
    <definedName name="SWPTD.T">[8]INTERNAL!$A$79:$IV$81</definedName>
    <definedName name="TableName">"Dummy"</definedName>
    <definedName name="TargetROR" localSheetId="11">[21]Inputs!$G$29</definedName>
    <definedName name="TargetROR">[22]Inputs!$G$29</definedName>
    <definedName name="TDP.T" localSheetId="11">[7]INTERNAL!$A$82:$IV$84</definedName>
    <definedName name="TDP.T">[8]INTERNAL!$A$82:$IV$84</definedName>
    <definedName name="TEMPADJ" localSheetId="11">[62]Sheet1!$A$4:$E$40</definedName>
    <definedName name="TEMPADJ">[63]Sheet1!$A$4:$E$40</definedName>
    <definedName name="TestPeriod" localSheetId="11">[16]Inputs!$C$5</definedName>
    <definedName name="TestPeriod">[17]Inputs!$C$5</definedName>
    <definedName name="TESTYEAR" localSheetId="6">'[29]Summaries &amp; 3.01-3.18 &amp; 4.01'!$A$6</definedName>
    <definedName name="TESTYEAR">'[54]JHS-6'!$A$7</definedName>
    <definedName name="TFR" localSheetId="11">[7]CLASSIFIERS!$A$11:$IV$11</definedName>
    <definedName name="TFR">[8]CLASSIFIERS!$A$11:$IV$11</definedName>
    <definedName name="ThermalBookLife" localSheetId="11">[19]Assumptions!$C$25</definedName>
    <definedName name="ThermalBookLife">[20]Assumptions!$C$25</definedName>
    <definedName name="Title" localSheetId="11">[19]Assumptions!$A$1</definedName>
    <definedName name="Title">[20]Assumptions!$A$1</definedName>
    <definedName name="Total_Payment" localSheetId="42">Scheduled_Payment+Extra_Payment</definedName>
    <definedName name="Total_Payment" localSheetId="44">Scheduled_Payment+Extra_Payment</definedName>
    <definedName name="Total_Payment" localSheetId="11">Scheduled_Payment+Extra_Payment</definedName>
    <definedName name="Total_Payment" localSheetId="10">Scheduled_Payment+Extra_Payment</definedName>
    <definedName name="Total_Payment" localSheetId="25">Scheduled_Payment+Extra_Payment</definedName>
    <definedName name="Total_Payment" localSheetId="32">Scheduled_Payment+Extra_Payment</definedName>
    <definedName name="Total_Payment" localSheetId="5">Scheduled_Payment+Extra_Payment</definedName>
    <definedName name="Total_Payment" localSheetId="36">Scheduled_Payment+Extra_Payment</definedName>
    <definedName name="Total_Payment" localSheetId="28">Scheduled_Payment+Extra_Payment</definedName>
    <definedName name="Total_Payment" localSheetId="35">Scheduled_Payment+Extra_Payment</definedName>
    <definedName name="Total_Payment" localSheetId="27">Scheduled_Payment+Extra_Payment</definedName>
    <definedName name="Total_Payment" localSheetId="34">Scheduled_Payment+Extra_Payment</definedName>
    <definedName name="Total_Payment" localSheetId="26">Scheduled_Payment+Extra_Payment</definedName>
    <definedName name="Total_Payment" localSheetId="33">Scheduled_Payment+Extra_Payment</definedName>
    <definedName name="Total_Payment" localSheetId="29">Scheduled_Payment+Extra_Payment</definedName>
    <definedName name="Total_Payment" localSheetId="30">Scheduled_Payment+Extra_Payment</definedName>
    <definedName name="Total_Payment" localSheetId="24">Scheduled_Payment+Extra_Payment</definedName>
    <definedName name="Total_Payment" localSheetId="31">Scheduled_Payment+Extra_Payment</definedName>
    <definedName name="Total_Payment">Scheduled_Payment+Extra_Payment</definedName>
    <definedName name="TotalRateBase" localSheetId="11">'[16]G+T+D+R+M'!$H$58</definedName>
    <definedName name="TotalRateBase">'[17]G+T+D+R+M'!$H$58</definedName>
    <definedName name="TP.T" localSheetId="11">[7]INTERNAL!$A$91:$IV$93</definedName>
    <definedName name="TP.T">[8]INTERNAL!$A$91:$IV$93</definedName>
    <definedName name="transdb" localSheetId="11">'[105]Transp Unbilled'!$A$8:$E$174</definedName>
    <definedName name="transdb">'[106]Transp Unbilled'!$A$8:$E$174</definedName>
    <definedName name="TRANSM_2" localSheetId="11">[107]Transm2!$A$1:$M$461:'[107]10 Yr FC'!$M$47</definedName>
    <definedName name="TRANSM_2">[108]Transm2!$A$1:$M$461:'[108]10 Yr FC'!$M$47</definedName>
    <definedName name="UAcct103" localSheetId="11">'[16]Func Study'!$AB$1613</definedName>
    <definedName name="UAcct103">'[17]Func Study'!$AB$1613</definedName>
    <definedName name="UAcct105Dnpg" localSheetId="11">'[16]Func Study'!$AB$2010</definedName>
    <definedName name="UAcct105Dnpg">'[17]Func Study'!$AB$2010</definedName>
    <definedName name="UAcct105S" localSheetId="11">'[16]Func Study'!$AB$2005</definedName>
    <definedName name="UAcct105S">'[17]Func Study'!$AB$2005</definedName>
    <definedName name="UAcct105Seu" localSheetId="11">'[16]Func Study'!$AB$2009</definedName>
    <definedName name="UAcct105Seu">'[17]Func Study'!$AB$2009</definedName>
    <definedName name="UAcct105Snppo" localSheetId="11">'[16]Func Study'!$AB$2008</definedName>
    <definedName name="UAcct105Snppo">'[17]Func Study'!$AB$2008</definedName>
    <definedName name="UAcct105Snpps" localSheetId="11">'[16]Func Study'!$AB$2006</definedName>
    <definedName name="UAcct105Snpps">'[17]Func Study'!$AB$2006</definedName>
    <definedName name="UAcct105Snpt" localSheetId="11">'[16]Func Study'!$AB$2007</definedName>
    <definedName name="UAcct105Snpt">'[17]Func Study'!$AB$2007</definedName>
    <definedName name="UAcct1081390" localSheetId="11">'[16]Func Study'!$AB$2451</definedName>
    <definedName name="UAcct1081390">'[17]Func Study'!$AB$2451</definedName>
    <definedName name="UAcct1081390Rcl" localSheetId="11">'[16]Func Study'!$AB$2450</definedName>
    <definedName name="UAcct1081390Rcl">'[17]Func Study'!$AB$2450</definedName>
    <definedName name="UAcct1081399" localSheetId="11">'[16]Func Study'!$AB$2459</definedName>
    <definedName name="UAcct1081399">'[17]Func Study'!$AB$2459</definedName>
    <definedName name="UAcct1081399Rcl" localSheetId="11">'[16]Func Study'!$AB$2458</definedName>
    <definedName name="UAcct1081399Rcl">'[17]Func Study'!$AB$2458</definedName>
    <definedName name="UAcct108360" localSheetId="11">'[16]Func Study'!$AB$2355</definedName>
    <definedName name="UAcct108360">'[17]Func Study'!$AB$2355</definedName>
    <definedName name="UAcct108361" localSheetId="11">'[16]Func Study'!$AB$2359</definedName>
    <definedName name="UAcct108361">'[17]Func Study'!$AB$2359</definedName>
    <definedName name="UAcct108362" localSheetId="11">'[16]Func Study'!$AB$2363</definedName>
    <definedName name="UAcct108362">'[17]Func Study'!$AB$2363</definedName>
    <definedName name="UAcct108364" localSheetId="11">'[16]Func Study'!$AB$2367</definedName>
    <definedName name="UAcct108364">'[17]Func Study'!$AB$2367</definedName>
    <definedName name="UAcct108365" localSheetId="11">'[16]Func Study'!$AB$2371</definedName>
    <definedName name="UAcct108365">'[17]Func Study'!$AB$2371</definedName>
    <definedName name="UAcct108366" localSheetId="11">'[16]Func Study'!$AB$2375</definedName>
    <definedName name="UAcct108366">'[17]Func Study'!$AB$2375</definedName>
    <definedName name="UAcct108367" localSheetId="11">'[16]Func Study'!$AB$2379</definedName>
    <definedName name="UAcct108367">'[17]Func Study'!$AB$2379</definedName>
    <definedName name="UAcct108368" localSheetId="11">'[16]Func Study'!$AB$2383</definedName>
    <definedName name="UAcct108368">'[17]Func Study'!$AB$2383</definedName>
    <definedName name="UAcct108369" localSheetId="11">'[16]Func Study'!$AB$2387</definedName>
    <definedName name="UAcct108369">'[17]Func Study'!$AB$2387</definedName>
    <definedName name="UAcct108370" localSheetId="11">'[16]Func Study'!$AB$2391</definedName>
    <definedName name="UAcct108370">'[17]Func Study'!$AB$2391</definedName>
    <definedName name="UAcct108371" localSheetId="11">'[16]Func Study'!$AB$2395</definedName>
    <definedName name="UAcct108371">'[17]Func Study'!$AB$2395</definedName>
    <definedName name="UAcct108372" localSheetId="11">'[16]Func Study'!$AB$2399</definedName>
    <definedName name="UAcct108372">'[17]Func Study'!$AB$2399</definedName>
    <definedName name="UAcct108373" localSheetId="11">'[16]Func Study'!$AB$2403</definedName>
    <definedName name="UAcct108373">'[17]Func Study'!$AB$2403</definedName>
    <definedName name="UAcct108D" localSheetId="11">'[16]Func Study'!$AB$2415</definedName>
    <definedName name="UAcct108D">'[17]Func Study'!$AB$2415</definedName>
    <definedName name="UAcct108D00" localSheetId="11">'[16]Func Study'!$AB$2407</definedName>
    <definedName name="UAcct108D00">'[17]Func Study'!$AB$2407</definedName>
    <definedName name="UAcct108Ds" localSheetId="11">'[16]Func Study'!$AB$2411</definedName>
    <definedName name="UAcct108Ds">'[17]Func Study'!$AB$2411</definedName>
    <definedName name="UAcct108Ep" localSheetId="11">'[16]Func Study'!$AB$2327</definedName>
    <definedName name="UAcct108Ep">'[17]Func Study'!$AB$2327</definedName>
    <definedName name="UAcct108Gpcn" localSheetId="11">'[16]Func Study'!$AB$2429</definedName>
    <definedName name="UAcct108Gpcn">'[17]Func Study'!$AB$2429</definedName>
    <definedName name="UAcct108Gps" localSheetId="11">'[16]Func Study'!$AB$2425</definedName>
    <definedName name="UAcct108Gps">'[17]Func Study'!$AB$2425</definedName>
    <definedName name="UAcct108Gpse" localSheetId="11">'[16]Func Study'!$AB$2431</definedName>
    <definedName name="UAcct108Gpse">'[17]Func Study'!$AB$2431</definedName>
    <definedName name="UAcct108Gpsg" localSheetId="11">'[16]Func Study'!$AB$2428</definedName>
    <definedName name="UAcct108Gpsg">'[17]Func Study'!$AB$2428</definedName>
    <definedName name="UAcct108Gpsgp" localSheetId="11">'[16]Func Study'!$AB$2426</definedName>
    <definedName name="UAcct108Gpsgp">'[17]Func Study'!$AB$2426</definedName>
    <definedName name="UAcct108Gpsgu" localSheetId="11">'[16]Func Study'!$AB$2427</definedName>
    <definedName name="UAcct108Gpsgu">'[17]Func Study'!$AB$2427</definedName>
    <definedName name="UAcct108Gpso" localSheetId="11">'[16]Func Study'!$AB$2430</definedName>
    <definedName name="UAcct108Gpso">'[17]Func Study'!$AB$2430</definedName>
    <definedName name="UACCT108GPSSGCH" localSheetId="11">'[16]Func Study'!$AB$2434</definedName>
    <definedName name="UACCT108GPSSGCH">'[17]Func Study'!$AB$2434</definedName>
    <definedName name="UACCT108GPSSGCT" localSheetId="11">'[16]Func Study'!$AB$2433</definedName>
    <definedName name="UACCT108GPSSGCT">'[17]Func Study'!$AB$2433</definedName>
    <definedName name="UAcct108Hp" localSheetId="11">'[16]Func Study'!$AB$2313</definedName>
    <definedName name="UAcct108Hp">'[17]Func Study'!$AB$2313</definedName>
    <definedName name="UAcct108Mp" localSheetId="11">'[16]Func Study'!$AB$2444</definedName>
    <definedName name="UAcct108Mp">'[17]Func Study'!$AB$2444</definedName>
    <definedName name="UAcct108Np" localSheetId="11">'[16]Func Study'!$AB$2305</definedName>
    <definedName name="UAcct108Np">'[17]Func Study'!$AB$2305</definedName>
    <definedName name="UAcct108Op" localSheetId="11">'[16]Func Study'!$AB$2322</definedName>
    <definedName name="UAcct108Op">'[17]Func Study'!$AB$2322</definedName>
    <definedName name="UACCT108OPSSCCT" localSheetId="11">'[16]Func Study'!$AB$2321</definedName>
    <definedName name="UACCT108OPSSCCT">'[17]Func Study'!$AB$2321</definedName>
    <definedName name="UAcct108Sp" localSheetId="11">'[16]Func Study'!$AB$2299</definedName>
    <definedName name="UAcct108Sp">'[17]Func Study'!$AB$2299</definedName>
    <definedName name="UACCT108SPSSGCH" localSheetId="11">'[16]Func Study'!$AB$2298</definedName>
    <definedName name="UACCT108SPSSGCH">'[17]Func Study'!$AB$2298</definedName>
    <definedName name="UAcct108Tp" localSheetId="11">'[16]Func Study'!$AB$2346</definedName>
    <definedName name="UAcct108Tp">'[17]Func Study'!$AB$2346</definedName>
    <definedName name="UAcct111Clg" localSheetId="11">'[16]Func Study'!$AB$2487</definedName>
    <definedName name="UAcct111Clg">'[17]Func Study'!$AB$2487</definedName>
    <definedName name="UAcct111Clgsou" localSheetId="11">'[16]Func Study'!$AB$2485</definedName>
    <definedName name="UAcct111Clgsou">'[17]Func Study'!$AB$2485</definedName>
    <definedName name="UAcct111Clh" localSheetId="11">'[16]Func Study'!$AB$2493</definedName>
    <definedName name="UAcct111Clh">'[17]Func Study'!$AB$2493</definedName>
    <definedName name="UAcct111Cls" localSheetId="11">'[16]Func Study'!$AB$2478</definedName>
    <definedName name="UAcct111Cls">'[17]Func Study'!$AB$2478</definedName>
    <definedName name="UAcct111Ipcn" localSheetId="11">'[16]Func Study'!$AB$2502</definedName>
    <definedName name="UAcct111Ipcn">'[17]Func Study'!$AB$2502</definedName>
    <definedName name="UAcct111Ips" localSheetId="11">'[16]Func Study'!$AB$2497</definedName>
    <definedName name="UAcct111Ips">'[17]Func Study'!$AB$2497</definedName>
    <definedName name="UAcct111Ipse" localSheetId="11">'[16]Func Study'!$AB$2500</definedName>
    <definedName name="UAcct111Ipse">'[17]Func Study'!$AB$2500</definedName>
    <definedName name="UAcct111Ipsg" localSheetId="11">'[16]Func Study'!$AB$2501</definedName>
    <definedName name="UAcct111Ipsg">'[17]Func Study'!$AB$2501</definedName>
    <definedName name="UAcct111Ipsgp" localSheetId="11">'[16]Func Study'!$AB$2498</definedName>
    <definedName name="UAcct111Ipsgp">'[17]Func Study'!$AB$2498</definedName>
    <definedName name="UAcct111Ipsgu" localSheetId="11">'[16]Func Study'!$AB$2499</definedName>
    <definedName name="UAcct111Ipsgu">'[17]Func Study'!$AB$2499</definedName>
    <definedName name="UAcct111Ipso" localSheetId="11">'[16]Func Study'!$AB$2506</definedName>
    <definedName name="UAcct111Ipso">'[17]Func Study'!$AB$2506</definedName>
    <definedName name="UACCT111IPSSGCH" localSheetId="11">'[16]Func Study'!$AB$2505</definedName>
    <definedName name="UACCT111IPSSGCH">'[17]Func Study'!$AB$2505</definedName>
    <definedName name="UACCT111IPSSGCT" localSheetId="11">'[16]Func Study'!$AB$2504</definedName>
    <definedName name="UACCT111IPSSGCT">'[17]Func Study'!$AB$2504</definedName>
    <definedName name="UAcct114" localSheetId="11">'[16]Func Study'!$AB$2017</definedName>
    <definedName name="UAcct114">'[17]Func Study'!$AB$2017</definedName>
    <definedName name="UAcct120" localSheetId="11">'[16]Func Study'!$AB$2021</definedName>
    <definedName name="UAcct120">'[17]Func Study'!$AB$2021</definedName>
    <definedName name="UAcct124" localSheetId="11">'[16]Func Study'!$AB$2026</definedName>
    <definedName name="UAcct124">'[17]Func Study'!$AB$2026</definedName>
    <definedName name="UAcct141" localSheetId="11">'[16]Func Study'!$AB$2173</definedName>
    <definedName name="UAcct141">'[17]Func Study'!$AB$2173</definedName>
    <definedName name="UAcct151" localSheetId="11">'[16]Func Study'!$AB$2049</definedName>
    <definedName name="UAcct151">'[17]Func Study'!$AB$2049</definedName>
    <definedName name="Uacct151SSECT" localSheetId="11">'[16]Func Study'!$AB$2047</definedName>
    <definedName name="Uacct151SSECT">'[17]Func Study'!$AB$2047</definedName>
    <definedName name="UAcct154" localSheetId="11">'[16]Func Study'!$AB$2083</definedName>
    <definedName name="UAcct154">'[17]Func Study'!$AB$2083</definedName>
    <definedName name="Uacct154SSGCT" localSheetId="11">'[16]Func Study'!$AB$2080</definedName>
    <definedName name="Uacct154SSGCT">'[17]Func Study'!$AB$2080</definedName>
    <definedName name="UAcct163" localSheetId="11">'[16]Func Study'!$AB$2093</definedName>
    <definedName name="UAcct163">'[17]Func Study'!$AB$2093</definedName>
    <definedName name="UAcct165" localSheetId="11">'[16]Func Study'!$AB$2108</definedName>
    <definedName name="UAcct165">'[17]Func Study'!$AB$2108</definedName>
    <definedName name="UAcct165Gps" localSheetId="11">'[16]Func Study'!$AB$2104</definedName>
    <definedName name="UAcct165Gps">'[17]Func Study'!$AB$2104</definedName>
    <definedName name="UAcct182" localSheetId="11">'[16]Func Study'!$AB$2033</definedName>
    <definedName name="UAcct182">'[17]Func Study'!$AB$2033</definedName>
    <definedName name="UAcct18222" localSheetId="11">'[16]Func Study'!$AB$2163</definedName>
    <definedName name="UAcct18222">'[17]Func Study'!$AB$2163</definedName>
    <definedName name="UAcct182M" localSheetId="11">'[16]Func Study'!$AB$2118</definedName>
    <definedName name="UAcct182M">'[17]Func Study'!$AB$2118</definedName>
    <definedName name="UAcct182MSSGCH" localSheetId="11">'[16]Func Study'!$AB$2113</definedName>
    <definedName name="UAcct182MSSGCH">'[17]Func Study'!$AB$2113</definedName>
    <definedName name="UAcct186" localSheetId="11">'[16]Func Study'!$AB$2041</definedName>
    <definedName name="UAcct186">'[17]Func Study'!$AB$2041</definedName>
    <definedName name="UAcct1869" localSheetId="11">'[16]Func Study'!$AB$2168</definedName>
    <definedName name="UAcct1869">'[17]Func Study'!$AB$2168</definedName>
    <definedName name="UAcct186M" localSheetId="11">'[16]Func Study'!$AB$2129</definedName>
    <definedName name="UAcct186M">'[17]Func Study'!$AB$2129</definedName>
    <definedName name="UAcct190" localSheetId="11">'[16]Func Study'!$AB$2243</definedName>
    <definedName name="UAcct190">'[17]Func Study'!$AB$2243</definedName>
    <definedName name="UAcct190Baddebt" localSheetId="11">'[16]Func Study'!$AB$2237</definedName>
    <definedName name="UAcct190Baddebt">'[17]Func Study'!$AB$2237</definedName>
    <definedName name="UAcct190Dop" localSheetId="11">'[16]Func Study'!$AB$2235</definedName>
    <definedName name="UAcct190Dop">'[17]Func Study'!$AB$2235</definedName>
    <definedName name="UAcct2281" localSheetId="11">'[16]Func Study'!$AB$2191</definedName>
    <definedName name="UAcct2281">'[17]Func Study'!$AB$2191</definedName>
    <definedName name="UAcct2282" localSheetId="11">'[16]Func Study'!$AB$2195</definedName>
    <definedName name="UAcct2282">'[17]Func Study'!$AB$2195</definedName>
    <definedName name="UAcct2283" localSheetId="11">'[16]Func Study'!$AB$2200</definedName>
    <definedName name="UAcct2283">'[17]Func Study'!$AB$2200</definedName>
    <definedName name="UACCT22841SG" localSheetId="11">'[16]Func Study'!$AB$2205</definedName>
    <definedName name="UACCT22841SG">'[17]Func Study'!$AB$2205</definedName>
    <definedName name="UAcct22842" localSheetId="11">'[16]Func Study'!$AB$2211</definedName>
    <definedName name="UAcct22842">'[17]Func Study'!$AB$2211</definedName>
    <definedName name="UAcct235" localSheetId="11">'[16]Func Study'!$AB$2187</definedName>
    <definedName name="UAcct235">'[17]Func Study'!$AB$2187</definedName>
    <definedName name="UACCT235CN" localSheetId="11">'[16]Func Study'!$AB$2186</definedName>
    <definedName name="UACCT235CN">'[17]Func Study'!$AB$2186</definedName>
    <definedName name="UAcct252" localSheetId="11">'[16]Func Study'!$AB$2219</definedName>
    <definedName name="UAcct252">'[17]Func Study'!$AB$2219</definedName>
    <definedName name="UAcct25316" localSheetId="11">'[16]Func Study'!$AB$2057</definedName>
    <definedName name="UAcct25316">'[17]Func Study'!$AB$2057</definedName>
    <definedName name="UAcct25317" localSheetId="11">'[16]Func Study'!$AB$2061</definedName>
    <definedName name="UAcct25317">'[17]Func Study'!$AB$2061</definedName>
    <definedName name="UAcct25318" localSheetId="11">'[16]Func Study'!$AB$2098</definedName>
    <definedName name="UAcct25318">'[17]Func Study'!$AB$2098</definedName>
    <definedName name="UAcct25319" localSheetId="11">'[16]Func Study'!$AB$2065</definedName>
    <definedName name="UAcct25319">'[17]Func Study'!$AB$2065</definedName>
    <definedName name="uacct25398" localSheetId="11">'[16]Func Study'!$AB$2222</definedName>
    <definedName name="uacct25398">'[17]Func Study'!$AB$2222</definedName>
    <definedName name="UAcct25399" localSheetId="11">'[16]Func Study'!$AB$2230</definedName>
    <definedName name="UAcct25399">'[17]Func Study'!$AB$2230</definedName>
    <definedName name="UACCT254SO" localSheetId="11">'[16]Func Study'!$AB$2202</definedName>
    <definedName name="UACCT254SO">'[17]Func Study'!$AB$2202</definedName>
    <definedName name="UAcct255" localSheetId="11">'[16]Func Study'!$AB$2284</definedName>
    <definedName name="UAcct255">'[17]Func Study'!$AB$2284</definedName>
    <definedName name="UAcct281" localSheetId="11">'[16]Func Study'!$AB$2249</definedName>
    <definedName name="UAcct281">'[17]Func Study'!$AB$2249</definedName>
    <definedName name="UAcct282" localSheetId="11">'[16]Func Study'!$AB$2259</definedName>
    <definedName name="UAcct282">'[17]Func Study'!$AB$2259</definedName>
    <definedName name="UAcct282Cn" localSheetId="11">'[16]Func Study'!$AB$2256</definedName>
    <definedName name="UAcct282Cn">'[17]Func Study'!$AB$2256</definedName>
    <definedName name="UAcct282So" localSheetId="11">'[16]Func Study'!$AB$2255</definedName>
    <definedName name="UAcct282So">'[17]Func Study'!$AB$2255</definedName>
    <definedName name="UAcct283" localSheetId="11">'[16]Func Study'!$AB$2271</definedName>
    <definedName name="UAcct283">'[17]Func Study'!$AB$2271</definedName>
    <definedName name="UAcct283So" localSheetId="11">'[16]Func Study'!$AB$2265</definedName>
    <definedName name="UAcct283So">'[17]Func Study'!$AB$2265</definedName>
    <definedName name="UAcct301S" localSheetId="11">'[16]Func Study'!$AB$1964</definedName>
    <definedName name="UAcct301S">'[17]Func Study'!$AB$1964</definedName>
    <definedName name="UAcct301Sg" localSheetId="11">'[16]Func Study'!$AB$1966</definedName>
    <definedName name="UAcct301Sg">'[17]Func Study'!$AB$1966</definedName>
    <definedName name="UAcct301So" localSheetId="11">'[16]Func Study'!$AB$1965</definedName>
    <definedName name="UAcct301So">'[17]Func Study'!$AB$1965</definedName>
    <definedName name="UAcct302S" localSheetId="11">'[16]Func Study'!$AB$1969</definedName>
    <definedName name="UAcct302S">'[17]Func Study'!$AB$1969</definedName>
    <definedName name="UAcct302Sg" localSheetId="11">'[16]Func Study'!$AB$1970</definedName>
    <definedName name="UAcct302Sg">'[17]Func Study'!$AB$1970</definedName>
    <definedName name="UAcct302Sgp" localSheetId="11">'[16]Func Study'!$AB$1971</definedName>
    <definedName name="UAcct302Sgp">'[17]Func Study'!$AB$1971</definedName>
    <definedName name="UAcct302Sgu" localSheetId="11">'[16]Func Study'!$AB$1972</definedName>
    <definedName name="UAcct302Sgu">'[17]Func Study'!$AB$1972</definedName>
    <definedName name="UAcct303Cn" localSheetId="11">'[16]Func Study'!$AB$1980</definedName>
    <definedName name="UAcct303Cn">'[17]Func Study'!$AB$1980</definedName>
    <definedName name="UAcct303S" localSheetId="11">'[16]Func Study'!$AB$1976</definedName>
    <definedName name="UAcct303S">'[17]Func Study'!$AB$1976</definedName>
    <definedName name="UAcct303Se" localSheetId="11">'[16]Func Study'!$AB$1979</definedName>
    <definedName name="UAcct303Se">'[17]Func Study'!$AB$1979</definedName>
    <definedName name="UAcct303Sg" localSheetId="11">'[16]Func Study'!$AB$1977</definedName>
    <definedName name="UAcct303Sg">'[17]Func Study'!$AB$1977</definedName>
    <definedName name="UAcct303Sgu" localSheetId="11">'[16]Func Study'!$AB$1981</definedName>
    <definedName name="UAcct303Sgu">'[17]Func Study'!$AB$1981</definedName>
    <definedName name="UAcct303So" localSheetId="11">'[16]Func Study'!$AB$1978</definedName>
    <definedName name="UAcct303So">'[17]Func Study'!$AB$1978</definedName>
    <definedName name="UACCT303SSGCH" localSheetId="11">'[16]Func Study'!$AB$1983</definedName>
    <definedName name="UACCT303SSGCH">'[17]Func Study'!$AB$1983</definedName>
    <definedName name="UAcct310" localSheetId="11">'[16]Func Study'!$AB$1414</definedName>
    <definedName name="UAcct310">'[17]Func Study'!$AB$1414</definedName>
    <definedName name="UAcct310JBG" localSheetId="11">'[16]Func Study'!$AB$1413</definedName>
    <definedName name="UAcct310JBG">'[17]Func Study'!$AB$1413</definedName>
    <definedName name="UAcct311" localSheetId="11">'[16]Func Study'!$AB$1421</definedName>
    <definedName name="UAcct311">'[17]Func Study'!$AB$1421</definedName>
    <definedName name="UAcct311JBG" localSheetId="11">'[16]Func Study'!$AB$1420</definedName>
    <definedName name="UAcct311JBG">'[17]Func Study'!$AB$1420</definedName>
    <definedName name="UAcct312" localSheetId="11">'[16]Func Study'!$AB$1428</definedName>
    <definedName name="UAcct312">'[17]Func Study'!$AB$1428</definedName>
    <definedName name="UAcct312JBG" localSheetId="11">'[16]Func Study'!$AB$1427</definedName>
    <definedName name="UAcct312JBG">'[17]Func Study'!$AB$1427</definedName>
    <definedName name="UAcct314" localSheetId="11">'[16]Func Study'!$AB$1435</definedName>
    <definedName name="UAcct314">'[17]Func Study'!$AB$1435</definedName>
    <definedName name="UAcct314JBG" localSheetId="11">'[16]Func Study'!$AB$1434</definedName>
    <definedName name="UAcct314JBG">'[17]Func Study'!$AB$1434</definedName>
    <definedName name="UAcct315" localSheetId="11">'[16]Func Study'!$AB$1442</definedName>
    <definedName name="UAcct315">'[17]Func Study'!$AB$1442</definedName>
    <definedName name="UAcct315JBG" localSheetId="11">'[16]Func Study'!$AB$1441</definedName>
    <definedName name="UAcct315JBG">'[17]Func Study'!$AB$1441</definedName>
    <definedName name="UAcct316" localSheetId="11">'[16]Func Study'!$AB$1450</definedName>
    <definedName name="UAcct316">'[17]Func Study'!$AB$1450</definedName>
    <definedName name="UAcct316JBG" localSheetId="11">'[16]Func Study'!$AB$1449</definedName>
    <definedName name="UAcct316JBG">'[17]Func Study'!$AB$1449</definedName>
    <definedName name="UAcct320" localSheetId="11">'[16]Func Study'!$AB$1466</definedName>
    <definedName name="UAcct320">'[17]Func Study'!$AB$1466</definedName>
    <definedName name="UAcct321" localSheetId="11">'[16]Func Study'!$AB$1471</definedName>
    <definedName name="UAcct321">'[17]Func Study'!$AB$1471</definedName>
    <definedName name="UAcct322" localSheetId="11">'[16]Func Study'!$AB$1476</definedName>
    <definedName name="UAcct322">'[17]Func Study'!$AB$1476</definedName>
    <definedName name="UAcct323" localSheetId="11">'[16]Func Study'!$AB$1481</definedName>
    <definedName name="UAcct323">'[17]Func Study'!$AB$1481</definedName>
    <definedName name="UAcct324" localSheetId="11">'[16]Func Study'!$AB$1486</definedName>
    <definedName name="UAcct324">'[17]Func Study'!$AB$1486</definedName>
    <definedName name="UAcct325" localSheetId="11">'[16]Func Study'!$AB$1491</definedName>
    <definedName name="UAcct325">'[17]Func Study'!$AB$1491</definedName>
    <definedName name="UAcct33" localSheetId="11">'[16]Func Study'!$AB$295</definedName>
    <definedName name="UAcct33">'[17]Func Study'!$AB$295</definedName>
    <definedName name="UAcct330" localSheetId="11">'[16]Func Study'!$AB$1508</definedName>
    <definedName name="UAcct330">'[17]Func Study'!$AB$1508</definedName>
    <definedName name="UAcct331" localSheetId="11">'[16]Func Study'!$AB$1513</definedName>
    <definedName name="UAcct331">'[17]Func Study'!$AB$1513</definedName>
    <definedName name="UAcct332" localSheetId="11">'[16]Func Study'!$AB$1518</definedName>
    <definedName name="UAcct332">'[17]Func Study'!$AB$1518</definedName>
    <definedName name="UAcct333" localSheetId="11">'[16]Func Study'!$AB$1523</definedName>
    <definedName name="UAcct333">'[17]Func Study'!$AB$1523</definedName>
    <definedName name="UAcct334" localSheetId="11">'[16]Func Study'!$AB$1528</definedName>
    <definedName name="UAcct334">'[17]Func Study'!$AB$1528</definedName>
    <definedName name="UAcct335" localSheetId="11">'[16]Func Study'!$AB$1533</definedName>
    <definedName name="UAcct335">'[17]Func Study'!$AB$1533</definedName>
    <definedName name="UAcct336" localSheetId="11">'[16]Func Study'!$AB$1539</definedName>
    <definedName name="UAcct336">'[17]Func Study'!$AB$1539</definedName>
    <definedName name="UAcct340Dgu" localSheetId="11">'[16]Func Study'!$AB$1564</definedName>
    <definedName name="UAcct340Dgu">'[17]Func Study'!$AB$1564</definedName>
    <definedName name="UAcct340Sgu" localSheetId="11">'[16]Func Study'!$AB$1565</definedName>
    <definedName name="UAcct340Sgu">'[17]Func Study'!$AB$1565</definedName>
    <definedName name="UAcct341Dgu" localSheetId="11">'[16]Func Study'!$AB$1569</definedName>
    <definedName name="UAcct341Dgu">'[17]Func Study'!$AB$1569</definedName>
    <definedName name="UAcct341Sgu" localSheetId="11">'[16]Func Study'!$AB$1570</definedName>
    <definedName name="UAcct341Sgu">'[17]Func Study'!$AB$1570</definedName>
    <definedName name="UAcct342Dgu" localSheetId="11">'[16]Func Study'!$AB$1574</definedName>
    <definedName name="UAcct342Dgu">'[17]Func Study'!$AB$1574</definedName>
    <definedName name="UAcct342Sgu" localSheetId="11">'[16]Func Study'!$AB$1575</definedName>
    <definedName name="UAcct342Sgu">'[17]Func Study'!$AB$1575</definedName>
    <definedName name="UAcct343" localSheetId="11">'[16]Func Study'!$AB$1584</definedName>
    <definedName name="UAcct343">'[17]Func Study'!$AB$1584</definedName>
    <definedName name="UAcct344S" localSheetId="11">'[16]Func Study'!$AB$1587</definedName>
    <definedName name="UAcct344S">'[17]Func Study'!$AB$1587</definedName>
    <definedName name="UAcct344Sgp" localSheetId="11">'[16]Func Study'!$AB$1588</definedName>
    <definedName name="UAcct344Sgp">'[17]Func Study'!$AB$1588</definedName>
    <definedName name="UAcct345Dgu" localSheetId="11">'[16]Func Study'!$AB$1594</definedName>
    <definedName name="UAcct345Dgu">'[17]Func Study'!$AB$1594</definedName>
    <definedName name="UAcct345Sgu" localSheetId="11">'[16]Func Study'!$AB$1595</definedName>
    <definedName name="UAcct345Sgu">'[17]Func Study'!$AB$1595</definedName>
    <definedName name="UAcct346" localSheetId="11">'[16]Func Study'!$AB$1601</definedName>
    <definedName name="UAcct346">'[17]Func Study'!$AB$1601</definedName>
    <definedName name="UAcct350" localSheetId="11">'[16]Func Study'!$AB$1628</definedName>
    <definedName name="UAcct350">'[17]Func Study'!$AB$1628</definedName>
    <definedName name="UAcct352" localSheetId="11">'[16]Func Study'!$AB$1635</definedName>
    <definedName name="UAcct352">'[17]Func Study'!$AB$1635</definedName>
    <definedName name="UAcct353" localSheetId="11">'[16]Func Study'!$AB$1641</definedName>
    <definedName name="UAcct353">'[17]Func Study'!$AB$1641</definedName>
    <definedName name="UAcct354" localSheetId="11">'[16]Func Study'!$AB$1647</definedName>
    <definedName name="UAcct354">'[17]Func Study'!$AB$1647</definedName>
    <definedName name="UAcct355" localSheetId="11">'[16]Func Study'!$AB$1654</definedName>
    <definedName name="UAcct355">'[17]Func Study'!$AB$1654</definedName>
    <definedName name="UAcct356" localSheetId="11">'[16]Func Study'!$AB$1660</definedName>
    <definedName name="UAcct356">'[17]Func Study'!$AB$1660</definedName>
    <definedName name="UAcct357" localSheetId="11">'[16]Func Study'!$AB$1666</definedName>
    <definedName name="UAcct357">'[17]Func Study'!$AB$1666</definedName>
    <definedName name="UAcct358" localSheetId="11">'[16]Func Study'!$AB$1672</definedName>
    <definedName name="UAcct358">'[17]Func Study'!$AB$1672</definedName>
    <definedName name="UAcct359" localSheetId="11">'[16]Func Study'!$AB$1678</definedName>
    <definedName name="UAcct359">'[17]Func Study'!$AB$1678</definedName>
    <definedName name="UAcct360" localSheetId="11">'[16]Func Study'!$AB$1698</definedName>
    <definedName name="UAcct360">'[17]Func Study'!$AB$1698</definedName>
    <definedName name="UAcct361" localSheetId="11">'[16]Func Study'!$AB$1704</definedName>
    <definedName name="UAcct361">'[17]Func Study'!$AB$1704</definedName>
    <definedName name="UAcct362" localSheetId="11">'[16]Func Study'!$AB$1710</definedName>
    <definedName name="UAcct362">'[17]Func Study'!$AB$1710</definedName>
    <definedName name="UAcct368" localSheetId="11">'[16]Func Study'!$AB$1744</definedName>
    <definedName name="UAcct368">'[17]Func Study'!$AB$1744</definedName>
    <definedName name="UAcct369" localSheetId="11">'[16]Func Study'!$AB$1751</definedName>
    <definedName name="UAcct369">'[17]Func Study'!$AB$1751</definedName>
    <definedName name="UAcct370" localSheetId="11">'[16]Func Study'!$AB$1762</definedName>
    <definedName name="UAcct370">'[17]Func Study'!$AB$1762</definedName>
    <definedName name="UAcct372A" localSheetId="11">'[16]Func Study'!$AB$1775</definedName>
    <definedName name="UAcct372A">'[17]Func Study'!$AB$1775</definedName>
    <definedName name="UAcct372Dp" localSheetId="11">'[16]Func Study'!$AB$1773</definedName>
    <definedName name="UAcct372Dp">'[17]Func Study'!$AB$1773</definedName>
    <definedName name="UAcct372Ds" localSheetId="11">'[16]Func Study'!$AB$1774</definedName>
    <definedName name="UAcct372Ds">'[17]Func Study'!$AB$1774</definedName>
    <definedName name="UAcct373" localSheetId="11">'[16]Func Study'!$AB$1782</definedName>
    <definedName name="UAcct373">'[17]Func Study'!$AB$1782</definedName>
    <definedName name="UAcct389Cn" localSheetId="11">'[16]Func Study'!$AB$1800</definedName>
    <definedName name="UAcct389Cn">'[17]Func Study'!$AB$1800</definedName>
    <definedName name="UAcct389S" localSheetId="11">'[16]Func Study'!$AB$1799</definedName>
    <definedName name="UAcct389S">'[17]Func Study'!$AB$1799</definedName>
    <definedName name="UAcct389Sg" localSheetId="11">'[16]Func Study'!$AB$1802</definedName>
    <definedName name="UAcct389Sg">'[17]Func Study'!$AB$1802</definedName>
    <definedName name="UAcct389Sgu" localSheetId="11">'[16]Func Study'!$AB$1801</definedName>
    <definedName name="UAcct389Sgu">'[17]Func Study'!$AB$1801</definedName>
    <definedName name="UAcct389So" localSheetId="11">'[16]Func Study'!$AB$1803</definedName>
    <definedName name="UAcct389So">'[17]Func Study'!$AB$1803</definedName>
    <definedName name="UAcct390Cn" localSheetId="11">'[16]Func Study'!$AB$1810</definedName>
    <definedName name="UAcct390Cn">'[17]Func Study'!$AB$1810</definedName>
    <definedName name="UAcct390JBG" localSheetId="11">'[16]Func Study'!$AB$1812</definedName>
    <definedName name="UAcct390JBG">'[17]Func Study'!$AB$1812</definedName>
    <definedName name="UAcct390L" localSheetId="11">'[16]Func Study'!$AB$1927</definedName>
    <definedName name="UAcct390L">'[17]Func Study'!$AB$1927</definedName>
    <definedName name="UACCT390LRCL" localSheetId="11">'[16]Func Study'!$AB$1929</definedName>
    <definedName name="UACCT390LRCL">'[17]Func Study'!$AB$1929</definedName>
    <definedName name="UAcct390S" localSheetId="11">'[16]Func Study'!$AB$1807</definedName>
    <definedName name="UAcct390S">'[17]Func Study'!$AB$1807</definedName>
    <definedName name="UAcct390Sgp" localSheetId="11">'[16]Func Study'!$AB$1808</definedName>
    <definedName name="UAcct390Sgp">'[17]Func Study'!$AB$1808</definedName>
    <definedName name="UAcct390Sgu" localSheetId="11">'[16]Func Study'!$AB$1809</definedName>
    <definedName name="UAcct390Sgu">'[17]Func Study'!$AB$1809</definedName>
    <definedName name="UAcct390Sop" localSheetId="11">'[16]Func Study'!$AB$1811</definedName>
    <definedName name="UAcct390Sop">'[17]Func Study'!$AB$1811</definedName>
    <definedName name="UAcct390Sou" localSheetId="11">'[16]Func Study'!$AB$1813</definedName>
    <definedName name="UAcct390Sou">'[17]Func Study'!$AB$1813</definedName>
    <definedName name="UAcct391Cn" localSheetId="11">'[16]Func Study'!$AB$1820</definedName>
    <definedName name="UAcct391Cn">'[17]Func Study'!$AB$1820</definedName>
    <definedName name="UACCT391JBE" localSheetId="11">'[16]Func Study'!$AB$1825</definedName>
    <definedName name="UACCT391JBE">'[17]Func Study'!$AB$1825</definedName>
    <definedName name="UAcct391S" localSheetId="11">'[16]Func Study'!$AB$1817</definedName>
    <definedName name="UAcct391S">'[17]Func Study'!$AB$1817</definedName>
    <definedName name="UAcct391Sg" localSheetId="11">'[16]Func Study'!$AB$1821</definedName>
    <definedName name="UAcct391Sg">'[17]Func Study'!$AB$1821</definedName>
    <definedName name="UAcct391Sgp" localSheetId="11">'[16]Func Study'!$AB$1818</definedName>
    <definedName name="UAcct391Sgp">'[17]Func Study'!$AB$1818</definedName>
    <definedName name="UAcct391Sgu" localSheetId="11">'[16]Func Study'!$AB$1819</definedName>
    <definedName name="UAcct391Sgu">'[17]Func Study'!$AB$1819</definedName>
    <definedName name="UAcct391So" localSheetId="11">'[16]Func Study'!$AB$1823</definedName>
    <definedName name="UAcct391So">'[17]Func Study'!$AB$1823</definedName>
    <definedName name="UACCT391SSGCH" localSheetId="11">'[16]Func Study'!$AB$1824</definedName>
    <definedName name="UACCT391SSGCH">'[17]Func Study'!$AB$1824</definedName>
    <definedName name="UAcct392Cn" localSheetId="11">'[16]Func Study'!$AB$1832</definedName>
    <definedName name="UAcct392Cn">'[17]Func Study'!$AB$1832</definedName>
    <definedName name="UAcct392L" localSheetId="11">'[16]Func Study'!$AB$1935</definedName>
    <definedName name="UAcct392L">'[17]Func Study'!$AB$1935</definedName>
    <definedName name="UAcct392Lrcl" localSheetId="11">'[16]Func Study'!$AB$1937</definedName>
    <definedName name="UAcct392Lrcl">'[17]Func Study'!$AB$1937</definedName>
    <definedName name="UAcct392S" localSheetId="11">'[16]Func Study'!$AB$1829</definedName>
    <definedName name="UAcct392S">'[17]Func Study'!$AB$1829</definedName>
    <definedName name="UAcct392Se" localSheetId="11">'[16]Func Study'!$AB$1834</definedName>
    <definedName name="UAcct392Se">'[17]Func Study'!$AB$1834</definedName>
    <definedName name="UAcct392Sg" localSheetId="11">'[16]Func Study'!$AB$1831</definedName>
    <definedName name="UAcct392Sg">'[17]Func Study'!$AB$1831</definedName>
    <definedName name="UAcct392Sgp" localSheetId="11">'[16]Func Study'!$AB$1835</definedName>
    <definedName name="UAcct392Sgp">'[17]Func Study'!$AB$1835</definedName>
    <definedName name="UAcct392Sgu" localSheetId="11">'[16]Func Study'!$AB$1833</definedName>
    <definedName name="UAcct392Sgu">'[17]Func Study'!$AB$1833</definedName>
    <definedName name="UAcct392So" localSheetId="11">'[16]Func Study'!$AB$1830</definedName>
    <definedName name="UAcct392So">'[17]Func Study'!$AB$1830</definedName>
    <definedName name="UACCT392SSGCH" localSheetId="11">'[16]Func Study'!$AB$1836</definedName>
    <definedName name="UACCT392SSGCH">'[17]Func Study'!$AB$1836</definedName>
    <definedName name="UAcct393S" localSheetId="11">'[16]Func Study'!$AB$1841</definedName>
    <definedName name="UAcct393S">'[17]Func Study'!$AB$1841</definedName>
    <definedName name="UAcct393Sg" localSheetId="11">'[16]Func Study'!$AB$1845</definedName>
    <definedName name="UAcct393Sg">'[17]Func Study'!$AB$1845</definedName>
    <definedName name="UAcct393Sgp" localSheetId="11">'[16]Func Study'!$AB$1842</definedName>
    <definedName name="UAcct393Sgp">'[17]Func Study'!$AB$1842</definedName>
    <definedName name="UAcct393Sgu" localSheetId="11">'[16]Func Study'!$AB$1843</definedName>
    <definedName name="UAcct393Sgu">'[17]Func Study'!$AB$1843</definedName>
    <definedName name="UAcct393So" localSheetId="11">'[16]Func Study'!$AB$1844</definedName>
    <definedName name="UAcct393So">'[17]Func Study'!$AB$1844</definedName>
    <definedName name="UACCT393SSGCT" localSheetId="11">'[16]Func Study'!$AB$1846</definedName>
    <definedName name="UACCT393SSGCT">'[17]Func Study'!$AB$1846</definedName>
    <definedName name="UAcct394S" localSheetId="11">'[16]Func Study'!$AB$1850</definedName>
    <definedName name="UAcct394S">'[17]Func Study'!$AB$1850</definedName>
    <definedName name="UAcct394Se" localSheetId="11">'[16]Func Study'!$AB$1854</definedName>
    <definedName name="UAcct394Se">'[17]Func Study'!$AB$1854</definedName>
    <definedName name="UAcct394Sg" localSheetId="11">'[16]Func Study'!$AB$1855</definedName>
    <definedName name="UAcct394Sg">'[17]Func Study'!$AB$1855</definedName>
    <definedName name="UAcct394Sgp" localSheetId="11">'[16]Func Study'!$AB$1851</definedName>
    <definedName name="UAcct394Sgp">'[17]Func Study'!$AB$1851</definedName>
    <definedName name="UAcct394Sgu" localSheetId="11">'[16]Func Study'!$AB$1852</definedName>
    <definedName name="UAcct394Sgu">'[17]Func Study'!$AB$1852</definedName>
    <definedName name="UAcct394So" localSheetId="11">'[16]Func Study'!$AB$1853</definedName>
    <definedName name="UAcct394So">'[17]Func Study'!$AB$1853</definedName>
    <definedName name="UACCT394SSGCH" localSheetId="11">'[16]Func Study'!$AB$1856</definedName>
    <definedName name="UACCT394SSGCH">'[17]Func Study'!$AB$1856</definedName>
    <definedName name="UAcct395S" localSheetId="11">'[16]Func Study'!$AB$1861</definedName>
    <definedName name="UAcct395S">'[17]Func Study'!$AB$1861</definedName>
    <definedName name="UAcct395Se" localSheetId="11">'[16]Func Study'!$AB$1865</definedName>
    <definedName name="UAcct395Se">'[17]Func Study'!$AB$1865</definedName>
    <definedName name="UAcct395Sg" localSheetId="11">'[16]Func Study'!$AB$1866</definedName>
    <definedName name="UAcct395Sg">'[17]Func Study'!$AB$1866</definedName>
    <definedName name="UAcct395Sgp" localSheetId="11">'[16]Func Study'!$AB$1862</definedName>
    <definedName name="UAcct395Sgp">'[17]Func Study'!$AB$1862</definedName>
    <definedName name="UAcct395Sgu" localSheetId="11">'[16]Func Study'!$AB$1863</definedName>
    <definedName name="UAcct395Sgu">'[17]Func Study'!$AB$1863</definedName>
    <definedName name="UAcct395So" localSheetId="11">'[16]Func Study'!$AB$1864</definedName>
    <definedName name="UAcct395So">'[17]Func Study'!$AB$1864</definedName>
    <definedName name="UACCT395SSGCH" localSheetId="11">'[16]Func Study'!$AB$1867</definedName>
    <definedName name="UACCT395SSGCH">'[17]Func Study'!$AB$1867</definedName>
    <definedName name="UAcct396S" localSheetId="11">'[16]Func Study'!$AB$1872</definedName>
    <definedName name="UAcct396S">'[17]Func Study'!$AB$1872</definedName>
    <definedName name="UAcct396Se" localSheetId="11">'[16]Func Study'!$AB$1877</definedName>
    <definedName name="UAcct396Se">'[17]Func Study'!$AB$1877</definedName>
    <definedName name="UAcct396Sg" localSheetId="11">'[16]Func Study'!$AB$1874</definedName>
    <definedName name="UAcct396Sg">'[17]Func Study'!$AB$1874</definedName>
    <definedName name="UAcct396Sgp" localSheetId="11">'[16]Func Study'!$AB$1873</definedName>
    <definedName name="UAcct396Sgp">'[17]Func Study'!$AB$1873</definedName>
    <definedName name="UAcct396Sgu" localSheetId="11">'[16]Func Study'!$AB$1876</definedName>
    <definedName name="UAcct396Sgu">'[17]Func Study'!$AB$1876</definedName>
    <definedName name="UAcct396So" localSheetId="11">'[16]Func Study'!$AB$1875</definedName>
    <definedName name="UAcct396So">'[17]Func Study'!$AB$1875</definedName>
    <definedName name="UACCT396SSGCH" localSheetId="11">'[16]Func Study'!$AB$1879</definedName>
    <definedName name="UACCT396SSGCH">'[17]Func Study'!$AB$1879</definedName>
    <definedName name="UACCT396SSGCT" localSheetId="11">'[16]Func Study'!$AB$1878</definedName>
    <definedName name="UACCT396SSGCT">'[17]Func Study'!$AB$1878</definedName>
    <definedName name="UAcct397Cn" localSheetId="11">'[16]Func Study'!$AB$1890</definedName>
    <definedName name="UAcct397Cn">'[17]Func Study'!$AB$1890</definedName>
    <definedName name="UAcct397JBG" localSheetId="11">'[16]Func Study'!$AB$1893</definedName>
    <definedName name="UAcct397JBG">'[17]Func Study'!$AB$1893</definedName>
    <definedName name="UAcct397S" localSheetId="11">'[16]Func Study'!$AB$1886</definedName>
    <definedName name="UAcct397S">'[17]Func Study'!$AB$1886</definedName>
    <definedName name="UAcct397Se" localSheetId="11">'[16]Func Study'!$AB$1892</definedName>
    <definedName name="UAcct397Se">'[17]Func Study'!$AB$1892</definedName>
    <definedName name="UAcct397Sg" localSheetId="11">'[16]Func Study'!$AB$1891</definedName>
    <definedName name="UAcct397Sg">'[17]Func Study'!$AB$1891</definedName>
    <definedName name="UAcct397Sgp" localSheetId="11">'[16]Func Study'!$AB$1887</definedName>
    <definedName name="UAcct397Sgp">'[17]Func Study'!$AB$1887</definedName>
    <definedName name="UAcct397Sgu" localSheetId="11">'[16]Func Study'!$AB$1888</definedName>
    <definedName name="UAcct397Sgu">'[17]Func Study'!$AB$1888</definedName>
    <definedName name="UAcct397So" localSheetId="11">'[16]Func Study'!$AB$1889</definedName>
    <definedName name="UAcct397So">'[17]Func Study'!$AB$1889</definedName>
    <definedName name="UAcct398Cn" localSheetId="11">'[16]Func Study'!$AB$1902</definedName>
    <definedName name="UAcct398Cn">'[17]Func Study'!$AB$1902</definedName>
    <definedName name="UAcct398S" localSheetId="11">'[16]Func Study'!$AB$1899</definedName>
    <definedName name="UAcct398S">'[17]Func Study'!$AB$1899</definedName>
    <definedName name="UAcct398Se" localSheetId="11">'[16]Func Study'!$AB$1904</definedName>
    <definedName name="UAcct398Se">'[17]Func Study'!$AB$1904</definedName>
    <definedName name="UAcct398Sg" localSheetId="11">'[16]Func Study'!$AB$1905</definedName>
    <definedName name="UAcct398Sg">'[17]Func Study'!$AB$1905</definedName>
    <definedName name="UAcct398Sgp" localSheetId="11">'[16]Func Study'!$AB$1900</definedName>
    <definedName name="UAcct398Sgp">'[17]Func Study'!$AB$1900</definedName>
    <definedName name="UAcct398Sgu" localSheetId="11">'[16]Func Study'!$AB$1901</definedName>
    <definedName name="UAcct398Sgu">'[17]Func Study'!$AB$1901</definedName>
    <definedName name="UAcct398So" localSheetId="11">'[16]Func Study'!$AB$1903</definedName>
    <definedName name="UAcct398So">'[17]Func Study'!$AB$1903</definedName>
    <definedName name="UACCT398SSGCT" localSheetId="11">'[16]Func Study'!$AB$1906</definedName>
    <definedName name="UACCT398SSGCT">'[17]Func Study'!$AB$1906</definedName>
    <definedName name="UAcct399" localSheetId="11">'[16]Func Study'!$AB$1913</definedName>
    <definedName name="UAcct399">'[17]Func Study'!$AB$1913</definedName>
    <definedName name="UAcct399G" localSheetId="11">'[16]Func Study'!$AB$1955</definedName>
    <definedName name="UAcct399G">'[17]Func Study'!$AB$1955</definedName>
    <definedName name="UAcct399L" localSheetId="11">'[16]Func Study'!$AB$1917</definedName>
    <definedName name="UAcct399L">'[17]Func Study'!$AB$1917</definedName>
    <definedName name="UAcct399Lrcl" localSheetId="11">'[16]Func Study'!$AB$1919</definedName>
    <definedName name="UAcct399Lrcl">'[17]Func Study'!$AB$1919</definedName>
    <definedName name="UAcct403360" localSheetId="11">'[16]Func Study'!$AB$1090</definedName>
    <definedName name="UAcct403360">'[17]Func Study'!$AB$1090</definedName>
    <definedName name="UAcct403361" localSheetId="11">'[16]Func Study'!$AB$1091</definedName>
    <definedName name="UAcct403361">'[17]Func Study'!$AB$1091</definedName>
    <definedName name="UAcct403362" localSheetId="11">'[16]Func Study'!$AB$1092</definedName>
    <definedName name="UAcct403362">'[17]Func Study'!$AB$1092</definedName>
    <definedName name="UAcct403364" localSheetId="11">'[16]Func Study'!$AB$1094</definedName>
    <definedName name="UAcct403364">'[17]Func Study'!$AB$1094</definedName>
    <definedName name="UAcct403365" localSheetId="11">'[16]Func Study'!$AB$1095</definedName>
    <definedName name="UAcct403365">'[17]Func Study'!$AB$1095</definedName>
    <definedName name="UAcct403366" localSheetId="11">'[16]Func Study'!$AB$1096</definedName>
    <definedName name="UAcct403366">'[17]Func Study'!$AB$1096</definedName>
    <definedName name="UAcct403367" localSheetId="11">'[16]Func Study'!$AB$1097</definedName>
    <definedName name="UAcct403367">'[17]Func Study'!$AB$1097</definedName>
    <definedName name="UAcct403368" localSheetId="11">'[16]Func Study'!$AB$1098</definedName>
    <definedName name="UAcct403368">'[17]Func Study'!$AB$1098</definedName>
    <definedName name="UAcct403369" localSheetId="11">'[16]Func Study'!$AB$1099</definedName>
    <definedName name="UAcct403369">'[17]Func Study'!$AB$1099</definedName>
    <definedName name="UAcct403370" localSheetId="11">'[16]Func Study'!$AB$1100</definedName>
    <definedName name="UAcct403370">'[17]Func Study'!$AB$1100</definedName>
    <definedName name="UAcct403371" localSheetId="11">'[16]Func Study'!$AB$1101</definedName>
    <definedName name="UAcct403371">'[17]Func Study'!$AB$1101</definedName>
    <definedName name="UAcct403372" localSheetId="11">'[16]Func Study'!$AB$1102</definedName>
    <definedName name="UAcct403372">'[17]Func Study'!$AB$1102</definedName>
    <definedName name="UAcct403373" localSheetId="11">'[16]Func Study'!$AB$1103</definedName>
    <definedName name="UAcct403373">'[17]Func Study'!$AB$1103</definedName>
    <definedName name="UAcct403Ep" localSheetId="11">'[16]Func Study'!$AB$1130</definedName>
    <definedName name="UAcct403Ep">'[17]Func Study'!$AB$1130</definedName>
    <definedName name="UAcct403Gpcn" localSheetId="11">'[16]Func Study'!$AB$1111</definedName>
    <definedName name="UAcct403Gpcn">'[17]Func Study'!$AB$1111</definedName>
    <definedName name="UAcct403GPDGP" localSheetId="11">'[16]Func Study'!$AB$1108</definedName>
    <definedName name="UAcct403GPDGP">'[17]Func Study'!$AB$1108</definedName>
    <definedName name="UAcct403GPDGU" localSheetId="11">'[16]Func Study'!$AB$1109</definedName>
    <definedName name="UAcct403GPDGU">'[17]Func Study'!$AB$1109</definedName>
    <definedName name="UAcct403GPJBG" localSheetId="11">'[16]Func Study'!$AB$1115</definedName>
    <definedName name="UAcct403GPJBG">'[17]Func Study'!$AB$1115</definedName>
    <definedName name="UAcct403Gps" localSheetId="11">'[16]Func Study'!$AB$1107</definedName>
    <definedName name="UAcct403Gps">'[17]Func Study'!$AB$1107</definedName>
    <definedName name="UAcct403Gpsg" localSheetId="11">'[16]Func Study'!$AB$1112</definedName>
    <definedName name="UAcct403Gpsg">'[17]Func Study'!$AB$1112</definedName>
    <definedName name="UAcct403Gpso" localSheetId="11">'[16]Func Study'!$AB$1113</definedName>
    <definedName name="UAcct403Gpso">'[17]Func Study'!$AB$1113</definedName>
    <definedName name="UAcct403Gv0" localSheetId="11">'[16]Func Study'!$AB$1121</definedName>
    <definedName name="UAcct403Gv0">'[17]Func Study'!$AB$1121</definedName>
    <definedName name="UAcct403Hp" localSheetId="11">'[16]Func Study'!$AB$1072</definedName>
    <definedName name="UAcct403Hp">'[17]Func Study'!$AB$1072</definedName>
    <definedName name="UACCT403JBE" localSheetId="11">'[16]Func Study'!$AB$1116</definedName>
    <definedName name="UACCT403JBE">'[17]Func Study'!$AB$1116</definedName>
    <definedName name="UAcct403Mp" localSheetId="11">'[16]Func Study'!$AB$1125</definedName>
    <definedName name="UAcct403Mp">'[17]Func Study'!$AB$1125</definedName>
    <definedName name="UAcct403Np" localSheetId="11">'[16]Func Study'!$AB$1065</definedName>
    <definedName name="UAcct403Np">'[17]Func Study'!$AB$1065</definedName>
    <definedName name="UAcct403Op" localSheetId="11">'[16]Func Study'!$AB$1080</definedName>
    <definedName name="UAcct403Op">'[17]Func Study'!$AB$1080</definedName>
    <definedName name="UAcct403OPCAGE" localSheetId="11">'[16]Func Study'!$AB$1078</definedName>
    <definedName name="UAcct403OPCAGE">'[17]Func Study'!$AB$1078</definedName>
    <definedName name="UAcct403Sp" localSheetId="11">'[16]Func Study'!$AB$1061</definedName>
    <definedName name="UAcct403Sp">'[17]Func Study'!$AB$1061</definedName>
    <definedName name="UAcct403SPJBG" localSheetId="11">'[16]Func Study'!$AB$1058</definedName>
    <definedName name="UAcct403SPJBG">'[17]Func Study'!$AB$1058</definedName>
    <definedName name="UAcct403Tp" localSheetId="11">'[16]Func Study'!$AB$1087</definedName>
    <definedName name="UAcct403Tp">'[17]Func Study'!$AB$1087</definedName>
    <definedName name="UAcct404330" localSheetId="11">'[16]Func Study'!$AB$1177</definedName>
    <definedName name="UAcct404330">'[17]Func Study'!$AB$1177</definedName>
    <definedName name="UACCT404GP" localSheetId="11">'[16]Func Study'!$AB$1146</definedName>
    <definedName name="UACCT404GP">'[17]Func Study'!$AB$1146</definedName>
    <definedName name="UACCT404GPCN" localSheetId="11">'[16]Func Study'!$AB$1143</definedName>
    <definedName name="UACCT404GPCN">'[17]Func Study'!$AB$1143</definedName>
    <definedName name="UACCT404GPSO" localSheetId="11">'[16]Func Study'!$AB$1141</definedName>
    <definedName name="UACCT404GPSO">'[17]Func Study'!$AB$1141</definedName>
    <definedName name="UAcct404Ipcn" localSheetId="11">'[16]Func Study'!$AB$1158</definedName>
    <definedName name="UAcct404Ipcn">'[17]Func Study'!$AB$1158</definedName>
    <definedName name="UAcct404IPJBG" localSheetId="11">'[16]Func Study'!$AB$1163</definedName>
    <definedName name="UAcct404IPJBG">'[17]Func Study'!$AB$1163</definedName>
    <definedName name="UAcct404Ips" localSheetId="11">'[16]Func Study'!$AB$1154</definedName>
    <definedName name="UAcct404Ips">'[17]Func Study'!$AB$1154</definedName>
    <definedName name="UAcct404Ipse" localSheetId="11">'[16]Func Study'!$AB$1155</definedName>
    <definedName name="UAcct404Ipse">'[17]Func Study'!$AB$1155</definedName>
    <definedName name="UAcct404Ipsg" localSheetId="11">'[16]Func Study'!$AB$1156</definedName>
    <definedName name="UAcct404Ipsg">'[17]Func Study'!$AB$1156</definedName>
    <definedName name="UAcct404Ipsg1" localSheetId="11">'[16]Func Study'!$AB$1159</definedName>
    <definedName name="UAcct404Ipsg1">'[17]Func Study'!$AB$1159</definedName>
    <definedName name="UAcct404Ipsg2" localSheetId="11">'[16]Func Study'!$AB$1160</definedName>
    <definedName name="UAcct404Ipsg2">'[17]Func Study'!$AB$1160</definedName>
    <definedName name="UAcct404Ipso" localSheetId="11">'[16]Func Study'!$AB$1157</definedName>
    <definedName name="UAcct404Ipso">'[17]Func Study'!$AB$1157</definedName>
    <definedName name="UAcct404M" localSheetId="11">'[16]Func Study'!$AB$1168</definedName>
    <definedName name="UAcct404M">'[17]Func Study'!$AB$1168</definedName>
    <definedName name="UACCT404OP" localSheetId="11">'[16]Func Study'!$AB$1172</definedName>
    <definedName name="UACCT404OP">'[17]Func Study'!$AB$1172</definedName>
    <definedName name="UACCT404SP" localSheetId="11">'[16]Func Study'!$AB$1151</definedName>
    <definedName name="UACCT404SP">'[17]Func Study'!$AB$1151</definedName>
    <definedName name="UAcct405" localSheetId="11">'[16]Func Study'!$AB$1185</definedName>
    <definedName name="UAcct405">'[17]Func Study'!$AB$1185</definedName>
    <definedName name="UAcct406" localSheetId="11">'[16]Func Study'!$AB$1193</definedName>
    <definedName name="UAcct406">'[17]Func Study'!$AB$1193</definedName>
    <definedName name="UAcct407" localSheetId="11">'[16]Func Study'!$AB$1202</definedName>
    <definedName name="UAcct407">'[17]Func Study'!$AB$1202</definedName>
    <definedName name="UAcct408" localSheetId="11">'[16]Func Study'!$AB$1221</definedName>
    <definedName name="UAcct408">'[17]Func Study'!$AB$1221</definedName>
    <definedName name="UAcct408S" localSheetId="11">'[16]Func Study'!$AB$1213</definedName>
    <definedName name="UAcct408S">'[17]Func Study'!$AB$1213</definedName>
    <definedName name="UAcct41010" localSheetId="11">'[16]Func Study'!$AB$1294</definedName>
    <definedName name="UAcct41010">'[17]Func Study'!$AB$1294</definedName>
    <definedName name="UAcct41011" localSheetId="11">'[16]Func Study'!$AB$1309</definedName>
    <definedName name="UAcct41011">'[17]Func Study'!$AB$1309</definedName>
    <definedName name="UAcct41110" localSheetId="11">'[16]Func Study'!$AB$1325</definedName>
    <definedName name="UAcct41110">'[17]Func Study'!$AB$1325</definedName>
    <definedName name="UAcct41140" localSheetId="11">'[16]Func Study'!$AB$1232</definedName>
    <definedName name="UAcct41140">'[17]Func Study'!$AB$1232</definedName>
    <definedName name="UAcct41141" localSheetId="11">'[16]Func Study'!$AB$1237</definedName>
    <definedName name="UAcct41141">'[17]Func Study'!$AB$1237</definedName>
    <definedName name="UAcct41160" localSheetId="11">'[16]Func Study'!$AB$369</definedName>
    <definedName name="UAcct41160">'[17]Func Study'!$AB$369</definedName>
    <definedName name="UAcct41170" localSheetId="11">'[16]Func Study'!$AB$374</definedName>
    <definedName name="UAcct41170">'[17]Func Study'!$AB$374</definedName>
    <definedName name="UAcct4118" localSheetId="11">'[16]Func Study'!$AB$378</definedName>
    <definedName name="UAcct4118">'[17]Func Study'!$AB$378</definedName>
    <definedName name="UAcct41181" localSheetId="11">'[16]Func Study'!$AB$381</definedName>
    <definedName name="UAcct41181">'[17]Func Study'!$AB$381</definedName>
    <definedName name="UAcct4194" localSheetId="11">'[16]Func Study'!$AB$385</definedName>
    <definedName name="UAcct4194">'[17]Func Study'!$AB$385</definedName>
    <definedName name="UAcct421" localSheetId="11">'[16]Func Study'!$AB$394</definedName>
    <definedName name="UAcct421">'[17]Func Study'!$AB$394</definedName>
    <definedName name="UAcct4311" localSheetId="11">'[16]Func Study'!$AB$401</definedName>
    <definedName name="UAcct4311">'[17]Func Study'!$AB$401</definedName>
    <definedName name="UAcct442Se" localSheetId="11">'[16]Func Study'!$AB$259</definedName>
    <definedName name="UAcct442Se">'[17]Func Study'!$AB$259</definedName>
    <definedName name="UAcct442Sg" localSheetId="11">'[16]Func Study'!$AB$260</definedName>
    <definedName name="UAcct442Sg">'[17]Func Study'!$AB$260</definedName>
    <definedName name="UAcct447" localSheetId="11">'[16]Func Study'!$AB$281</definedName>
    <definedName name="UAcct447">'[17]Func Study'!$AB$281</definedName>
    <definedName name="UACCT447NPC" localSheetId="11">'[16]Func Study'!$AB$289</definedName>
    <definedName name="UACCT447NPC">'[17]Func Study'!$AB$289</definedName>
    <definedName name="UACCT447NPCCAEW" localSheetId="11">'[16]Func Study'!$AB$286</definedName>
    <definedName name="UACCT447NPCCAEW">'[17]Func Study'!$AB$286</definedName>
    <definedName name="UACCT447NPCCAGW" localSheetId="11">'[16]Func Study'!$AB$287</definedName>
    <definedName name="UACCT447NPCCAGW">'[17]Func Study'!$AB$287</definedName>
    <definedName name="UACCT447NPCDGP" localSheetId="11">'[16]Func Study'!$AB$288</definedName>
    <definedName name="UACCT447NPCDGP">'[17]Func Study'!$AB$288</definedName>
    <definedName name="UAcct447S" localSheetId="11">'[16]Func Study'!$AB$280</definedName>
    <definedName name="UAcct447S">'[17]Func Study'!$AB$280</definedName>
    <definedName name="UAcct448S" localSheetId="11">'[16]Func Study'!$AB$274</definedName>
    <definedName name="UAcct448S">'[17]Func Study'!$AB$274</definedName>
    <definedName name="UAcct448So" localSheetId="11">'[16]Func Study'!$AB$275</definedName>
    <definedName name="UAcct448So">'[17]Func Study'!$AB$275</definedName>
    <definedName name="UAcct449" localSheetId="11">'[16]Func Study'!$AB$294</definedName>
    <definedName name="UAcct449">'[17]Func Study'!$AB$294</definedName>
    <definedName name="UAcct450" localSheetId="11">'[16]Func Study'!$AB$304</definedName>
    <definedName name="UAcct450">'[17]Func Study'!$AB$304</definedName>
    <definedName name="UAcct450S" localSheetId="11">'[16]Func Study'!$AB$302</definedName>
    <definedName name="UAcct450S">'[17]Func Study'!$AB$302</definedName>
    <definedName name="UAcct450So" localSheetId="11">'[16]Func Study'!$AB$303</definedName>
    <definedName name="UAcct450So">'[17]Func Study'!$AB$303</definedName>
    <definedName name="UAcct451S" localSheetId="11">'[16]Func Study'!$AB$307</definedName>
    <definedName name="UAcct451S">'[17]Func Study'!$AB$307</definedName>
    <definedName name="UAcct451Sg" localSheetId="11">'[16]Func Study'!$AB$308</definedName>
    <definedName name="UAcct451Sg">'[17]Func Study'!$AB$308</definedName>
    <definedName name="UAcct451So" localSheetId="11">'[16]Func Study'!$AB$309</definedName>
    <definedName name="UAcct451So">'[17]Func Study'!$AB$309</definedName>
    <definedName name="UAcct453" localSheetId="11">'[16]Func Study'!$AB$315</definedName>
    <definedName name="UAcct453">'[17]Func Study'!$AB$315</definedName>
    <definedName name="UAcct454" localSheetId="11">'[16]Func Study'!$AB$322</definedName>
    <definedName name="UAcct454">'[17]Func Study'!$AB$322</definedName>
    <definedName name="UAcct454JBG" localSheetId="11">'[16]Func Study'!$AB$319</definedName>
    <definedName name="UAcct454JBG">'[17]Func Study'!$AB$319</definedName>
    <definedName name="UAcct454S" localSheetId="11">'[16]Func Study'!$AB$318</definedName>
    <definedName name="UAcct454S">'[17]Func Study'!$AB$318</definedName>
    <definedName name="UAcct454Sg" localSheetId="11">'[16]Func Study'!$AB$320</definedName>
    <definedName name="UAcct454Sg">'[17]Func Study'!$AB$320</definedName>
    <definedName name="UAcct454So" localSheetId="11">'[16]Func Study'!$AB$321</definedName>
    <definedName name="UAcct454So">'[17]Func Study'!$AB$321</definedName>
    <definedName name="UAcct456" localSheetId="11">'[16]Func Study'!$AB$332</definedName>
    <definedName name="UAcct456">'[17]Func Study'!$AB$332</definedName>
    <definedName name="UAcct456CAEW" localSheetId="11">'[16]Func Study'!$AB$331</definedName>
    <definedName name="UAcct456CAEW">'[17]Func Study'!$AB$331</definedName>
    <definedName name="UAcct456S" localSheetId="11">'[16]Func Study'!$AB$325</definedName>
    <definedName name="UAcct456S">'[17]Func Study'!$AB$325</definedName>
    <definedName name="UAcct456So" localSheetId="11">'[16]Func Study'!$AB$329</definedName>
    <definedName name="UAcct456So">'[17]Func Study'!$AB$329</definedName>
    <definedName name="UAcct500" localSheetId="11">'[16]Func Study'!$AB$416</definedName>
    <definedName name="UAcct500">'[17]Func Study'!$AB$416</definedName>
    <definedName name="UAcct500JBG" localSheetId="11">'[16]Func Study'!$AB$414</definedName>
    <definedName name="UAcct500JBG">'[17]Func Study'!$AB$414</definedName>
    <definedName name="UAcct501" localSheetId="11">'[16]Func Study'!$AB$423</definedName>
    <definedName name="UAcct501">'[17]Func Study'!$AB$423</definedName>
    <definedName name="UAcct501CAEW" localSheetId="11">'[16]Func Study'!$AB$420</definedName>
    <definedName name="UAcct501CAEW">'[17]Func Study'!$AB$420</definedName>
    <definedName name="UAcct501JBE" localSheetId="11">'[16]Func Study'!$AB$421</definedName>
    <definedName name="UAcct501JBE">'[17]Func Study'!$AB$421</definedName>
    <definedName name="UACCT501NPCCAEW" localSheetId="11">'[16]Func Study'!$AB$426</definedName>
    <definedName name="UACCT501NPCCAEW">'[17]Func Study'!$AB$426</definedName>
    <definedName name="UAcct502" localSheetId="11">'[16]Func Study'!$AB$433</definedName>
    <definedName name="UAcct502">'[17]Func Study'!$AB$433</definedName>
    <definedName name="UAcct502CAGE" localSheetId="11">'[16]Func Study'!$AB$431</definedName>
    <definedName name="UAcct502CAGE">'[17]Func Study'!$AB$431</definedName>
    <definedName name="UAcct503" localSheetId="11">'[16]Func Study'!$AB$437</definedName>
    <definedName name="UAcct503">'[17]Func Study'!$AB$437</definedName>
    <definedName name="UACCT503NPC" localSheetId="11">'[16]Func Study'!$AB$443</definedName>
    <definedName name="UACCT503NPC">'[17]Func Study'!$AB$443</definedName>
    <definedName name="UAcct505" localSheetId="11">'[16]Func Study'!$AB$449</definedName>
    <definedName name="UAcct505">'[17]Func Study'!$AB$449</definedName>
    <definedName name="UAcct505CAGE" localSheetId="11">'[16]Func Study'!$AB$447</definedName>
    <definedName name="UAcct505CAGE">'[17]Func Study'!$AB$447</definedName>
    <definedName name="UAcct506" localSheetId="11">'[16]Func Study'!$AB$455</definedName>
    <definedName name="UAcct506">'[17]Func Study'!$AB$455</definedName>
    <definedName name="UAcct506CAGE" localSheetId="11">'[16]Func Study'!$AB$452</definedName>
    <definedName name="UAcct506CAGE">'[17]Func Study'!$AB$452</definedName>
    <definedName name="UAcct507" localSheetId="11">'[16]Func Study'!$AB$464</definedName>
    <definedName name="UAcct507">'[17]Func Study'!$AB$464</definedName>
    <definedName name="UAcct507CAGE" localSheetId="11">'[16]Func Study'!$AB$462</definedName>
    <definedName name="UAcct507CAGE">'[17]Func Study'!$AB$462</definedName>
    <definedName name="UAcct510" localSheetId="11">'[16]Func Study'!$AB$469</definedName>
    <definedName name="UAcct510">'[17]Func Study'!$AB$469</definedName>
    <definedName name="UAcct510CAGE" localSheetId="11">'[16]Func Study'!$AB$467</definedName>
    <definedName name="UAcct510CAGE">'[17]Func Study'!$AB$467</definedName>
    <definedName name="UAcct511" localSheetId="11">'[16]Func Study'!$AB$474</definedName>
    <definedName name="UAcct511">'[17]Func Study'!$AB$474</definedName>
    <definedName name="UAcct511CAGE" localSheetId="11">'[16]Func Study'!$AB$472</definedName>
    <definedName name="UAcct511CAGE">'[17]Func Study'!$AB$472</definedName>
    <definedName name="UAcct512" localSheetId="11">'[16]Func Study'!$AB$479</definedName>
    <definedName name="UAcct512">'[17]Func Study'!$AB$479</definedName>
    <definedName name="UAcct512CAGE" localSheetId="11">'[16]Func Study'!$AB$477</definedName>
    <definedName name="UAcct512CAGE">'[17]Func Study'!$AB$477</definedName>
    <definedName name="UAcct513" localSheetId="11">'[16]Func Study'!$AB$484</definedName>
    <definedName name="UAcct513">'[17]Func Study'!$AB$484</definedName>
    <definedName name="UAcct513CAGE" localSheetId="11">'[16]Func Study'!$AB$482</definedName>
    <definedName name="UAcct513CAGE">'[17]Func Study'!$AB$482</definedName>
    <definedName name="UAcct514" localSheetId="11">'[16]Func Study'!$AB$489</definedName>
    <definedName name="UAcct514">'[17]Func Study'!$AB$489</definedName>
    <definedName name="UAcct514CAGE" localSheetId="11">'[16]Func Study'!$AB$487</definedName>
    <definedName name="UAcct514CAGE">'[17]Func Study'!$AB$487</definedName>
    <definedName name="UAcct517" localSheetId="11">'[16]Func Study'!$AB$498</definedName>
    <definedName name="UAcct517">'[17]Func Study'!$AB$498</definedName>
    <definedName name="UAcct518" localSheetId="11">'[16]Func Study'!$AB$502</definedName>
    <definedName name="UAcct518">'[17]Func Study'!$AB$502</definedName>
    <definedName name="UAcct519" localSheetId="11">'[16]Func Study'!$AB$507</definedName>
    <definedName name="UAcct519">'[17]Func Study'!$AB$507</definedName>
    <definedName name="UAcct520" localSheetId="11">'[16]Func Study'!$AB$511</definedName>
    <definedName name="UAcct520">'[17]Func Study'!$AB$511</definedName>
    <definedName name="UAcct523" localSheetId="11">'[16]Func Study'!$AB$515</definedName>
    <definedName name="UAcct523">'[17]Func Study'!$AB$515</definedName>
    <definedName name="UAcct524" localSheetId="11">'[16]Func Study'!$AB$519</definedName>
    <definedName name="UAcct524">'[17]Func Study'!$AB$519</definedName>
    <definedName name="UAcct528" localSheetId="11">'[16]Func Study'!$AB$523</definedName>
    <definedName name="UAcct528">'[17]Func Study'!$AB$523</definedName>
    <definedName name="UAcct529" localSheetId="11">'[16]Func Study'!$AB$527</definedName>
    <definedName name="UAcct529">'[17]Func Study'!$AB$527</definedName>
    <definedName name="UAcct530" localSheetId="11">'[16]Func Study'!$AB$531</definedName>
    <definedName name="UAcct530">'[17]Func Study'!$AB$531</definedName>
    <definedName name="UAcct531" localSheetId="11">'[16]Func Study'!$AB$535</definedName>
    <definedName name="UAcct531">'[17]Func Study'!$AB$535</definedName>
    <definedName name="UAcct532" localSheetId="11">'[16]Func Study'!$AB$539</definedName>
    <definedName name="UAcct532">'[17]Func Study'!$AB$539</definedName>
    <definedName name="UAcct535" localSheetId="11">'[16]Func Study'!$AB$551</definedName>
    <definedName name="UAcct535">'[17]Func Study'!$AB$551</definedName>
    <definedName name="UAcct536" localSheetId="11">'[16]Func Study'!$AB$555</definedName>
    <definedName name="UAcct536">'[17]Func Study'!$AB$555</definedName>
    <definedName name="UAcct537" localSheetId="11">'[16]Func Study'!$AB$559</definedName>
    <definedName name="UAcct537">'[17]Func Study'!$AB$559</definedName>
    <definedName name="UAcct538" localSheetId="11">'[16]Func Study'!$AB$563</definedName>
    <definedName name="UAcct538">'[17]Func Study'!$AB$563</definedName>
    <definedName name="UAcct539" localSheetId="11">'[16]Func Study'!$AB$568</definedName>
    <definedName name="UAcct539">'[17]Func Study'!$AB$568</definedName>
    <definedName name="UAcct540" localSheetId="11">'[16]Func Study'!$AB$572</definedName>
    <definedName name="UAcct540">'[17]Func Study'!$AB$572</definedName>
    <definedName name="UAcct541" localSheetId="11">'[16]Func Study'!$AB$576</definedName>
    <definedName name="UAcct541">'[17]Func Study'!$AB$576</definedName>
    <definedName name="UAcct542" localSheetId="11">'[16]Func Study'!$AB$580</definedName>
    <definedName name="UAcct542">'[17]Func Study'!$AB$580</definedName>
    <definedName name="UAcct543" localSheetId="11">'[16]Func Study'!$AB$584</definedName>
    <definedName name="UAcct543">'[17]Func Study'!$AB$584</definedName>
    <definedName name="UAcct544" localSheetId="11">'[16]Func Study'!$AB$588</definedName>
    <definedName name="UAcct544">'[17]Func Study'!$AB$588</definedName>
    <definedName name="UAcct545" localSheetId="11">'[16]Func Study'!$AB$592</definedName>
    <definedName name="UAcct545">'[17]Func Study'!$AB$592</definedName>
    <definedName name="UAcct546" localSheetId="11">'[16]Func Study'!$AB$606</definedName>
    <definedName name="UAcct546">'[17]Func Study'!$AB$606</definedName>
    <definedName name="UAcct546CAGE" localSheetId="11">'[16]Func Study'!$AB$605</definedName>
    <definedName name="UAcct546CAGE">'[17]Func Study'!$AB$605</definedName>
    <definedName name="UAcct547CAEW" localSheetId="11">'[16]Func Study'!$AB$610</definedName>
    <definedName name="UAcct547CAEW">'[17]Func Study'!$AB$610</definedName>
    <definedName name="UACCT547NPCCAEW" localSheetId="11">'[16]Func Study'!$AB$613</definedName>
    <definedName name="UACCT547NPCCAEW">'[17]Func Study'!$AB$613</definedName>
    <definedName name="UAcct547Se" localSheetId="11">'[16]Func Study'!$AB$609</definedName>
    <definedName name="UAcct547Se">'[17]Func Study'!$AB$609</definedName>
    <definedName name="UAcct548" localSheetId="11">'[16]Func Study'!$AB$621</definedName>
    <definedName name="UAcct548">'[17]Func Study'!$AB$621</definedName>
    <definedName name="UACCT548CAGE" localSheetId="11">'[16]Func Study'!$AB$620</definedName>
    <definedName name="UACCT548CAGE">'[17]Func Study'!$AB$620</definedName>
    <definedName name="UAcct549" localSheetId="11">'[16]Func Study'!$AB$626</definedName>
    <definedName name="UAcct549">'[17]Func Study'!$AB$626</definedName>
    <definedName name="Uacct549CAGE" localSheetId="11">'[16]Func Study'!$AB$625</definedName>
    <definedName name="Uacct549CAGE">'[17]Func Study'!$AB$625</definedName>
    <definedName name="UAcct551CAGE" localSheetId="11">'[16]Func Study'!$AB$634</definedName>
    <definedName name="UAcct551CAGE">'[17]Func Study'!$AB$634</definedName>
    <definedName name="UACCT551SG" localSheetId="11">'[16]Func Study'!$AB$635</definedName>
    <definedName name="UACCT551SG">'[17]Func Study'!$AB$635</definedName>
    <definedName name="UACCT552CAGE" localSheetId="11">'[16]Func Study'!$AB$640</definedName>
    <definedName name="UACCT552CAGE">'[17]Func Study'!$AB$640</definedName>
    <definedName name="UAcct552SG" localSheetId="11">'[16]Func Study'!$AB$639</definedName>
    <definedName name="UAcct552SG">'[17]Func Study'!$AB$639</definedName>
    <definedName name="UACCT553CAGE" localSheetId="11">'[16]Func Study'!$AB$646</definedName>
    <definedName name="UACCT553CAGE">'[17]Func Study'!$AB$646</definedName>
    <definedName name="UAcct553SG" localSheetId="11">'[16]Func Study'!$AB$645</definedName>
    <definedName name="UAcct553SG">'[17]Func Study'!$AB$645</definedName>
    <definedName name="UACCT554CAGE" localSheetId="11">'[16]Func Study'!$AB$651</definedName>
    <definedName name="UACCT554CAGE">'[17]Func Study'!$AB$651</definedName>
    <definedName name="UAcct554SG" localSheetId="11">'[16]Func Study'!$AB$650</definedName>
    <definedName name="UAcct554SG">'[17]Func Study'!$AB$650</definedName>
    <definedName name="UAcct555CAEW" localSheetId="11">'[16]Func Study'!$AB$665</definedName>
    <definedName name="UAcct555CAEW">'[17]Func Study'!$AB$665</definedName>
    <definedName name="UAcct555CAGW" localSheetId="11">'[16]Func Study'!$AB$664</definedName>
    <definedName name="UAcct555CAGW">'[17]Func Study'!$AB$664</definedName>
    <definedName name="UACCT555DGP" localSheetId="11">'[16]Func Study'!$AB$670</definedName>
    <definedName name="UACCT555DGP">'[17]Func Study'!$AB$670</definedName>
    <definedName name="UACCT555NPCCAEW" localSheetId="11">'[16]Func Study'!$AB$669</definedName>
    <definedName name="UACCT555NPCCAEW">'[17]Func Study'!$AB$669</definedName>
    <definedName name="UACCT555NPCCAGW" localSheetId="11">'[16]Func Study'!$AB$668</definedName>
    <definedName name="UACCT555NPCCAGW">'[17]Func Study'!$AB$668</definedName>
    <definedName name="UAcct555S" localSheetId="11">'[16]Func Study'!$AB$663</definedName>
    <definedName name="UAcct555S">'[17]Func Study'!$AB$663</definedName>
    <definedName name="UAcct555Se" localSheetId="11">'[16]Func Study'!$AB$665</definedName>
    <definedName name="UAcct555Se">'[17]Func Study'!$AB$665</definedName>
    <definedName name="UACCT555SG" localSheetId="11">'[16]Func Study'!$AB$664</definedName>
    <definedName name="UACCT555SG">'[17]Func Study'!$AB$664</definedName>
    <definedName name="UAcct556" localSheetId="11">'[16]Func Study'!$AB$676</definedName>
    <definedName name="UAcct556">'[17]Func Study'!$AB$676</definedName>
    <definedName name="UAcct557" localSheetId="11">'[16]Func Study'!$AB$685</definedName>
    <definedName name="UAcct557">'[17]Func Study'!$AB$685</definedName>
    <definedName name="UAcct560" localSheetId="11">'[16]Func Study'!$AB$715</definedName>
    <definedName name="UAcct560">'[17]Func Study'!$AB$715</definedName>
    <definedName name="UAcct561" localSheetId="11">'[16]Func Study'!$AB$720</definedName>
    <definedName name="UAcct561">'[17]Func Study'!$AB$720</definedName>
    <definedName name="UAcct562" localSheetId="11">'[16]Func Study'!$AB$726</definedName>
    <definedName name="UAcct562">'[17]Func Study'!$AB$726</definedName>
    <definedName name="UAcct563" localSheetId="11">'[16]Func Study'!$AB$731</definedName>
    <definedName name="UAcct563">'[17]Func Study'!$AB$731</definedName>
    <definedName name="UAcct564" localSheetId="11">'[16]Func Study'!$AB$735</definedName>
    <definedName name="UAcct564">'[17]Func Study'!$AB$735</definedName>
    <definedName name="UAcct565" localSheetId="11">'[16]Func Study'!$AB$739</definedName>
    <definedName name="UAcct565">'[17]Func Study'!$AB$739</definedName>
    <definedName name="UACCT565NPC" localSheetId="11">'[16]Func Study'!$AB$744</definedName>
    <definedName name="UACCT565NPC">'[17]Func Study'!$AB$744</definedName>
    <definedName name="UACCT565NPCCAGW" localSheetId="11">'[16]Func Study'!$AB$742</definedName>
    <definedName name="UACCT565NPCCAGW">'[17]Func Study'!$AB$742</definedName>
    <definedName name="UAcct566" localSheetId="11">'[16]Func Study'!$AB$748</definedName>
    <definedName name="UAcct566">'[17]Func Study'!$AB$748</definedName>
    <definedName name="UAcct567" localSheetId="11">'[16]Func Study'!$AB$752</definedName>
    <definedName name="UAcct567">'[17]Func Study'!$AB$752</definedName>
    <definedName name="UAcct568" localSheetId="11">'[16]Func Study'!$AB$756</definedName>
    <definedName name="UAcct568">'[17]Func Study'!$AB$756</definedName>
    <definedName name="UAcct569" localSheetId="11">'[16]Func Study'!$AB$760</definedName>
    <definedName name="UAcct569">'[17]Func Study'!$AB$760</definedName>
    <definedName name="UAcct570" localSheetId="11">'[16]Func Study'!$AB$765</definedName>
    <definedName name="UAcct570">'[17]Func Study'!$AB$765</definedName>
    <definedName name="UAcct571" localSheetId="11">'[16]Func Study'!$AB$770</definedName>
    <definedName name="UAcct571">'[17]Func Study'!$AB$770</definedName>
    <definedName name="UAcct572" localSheetId="11">'[16]Func Study'!$AB$774</definedName>
    <definedName name="UAcct572">'[17]Func Study'!$AB$774</definedName>
    <definedName name="UAcct573" localSheetId="11">'[16]Func Study'!$AB$778</definedName>
    <definedName name="UAcct573">'[17]Func Study'!$AB$778</definedName>
    <definedName name="UAcct580" localSheetId="11">'[16]Func Study'!$AB$791</definedName>
    <definedName name="UAcct580">'[17]Func Study'!$AB$791</definedName>
    <definedName name="UAcct581" localSheetId="11">'[16]Func Study'!$AB$796</definedName>
    <definedName name="UAcct581">'[17]Func Study'!$AB$796</definedName>
    <definedName name="UAcct582" localSheetId="11">'[16]Func Study'!$AB$801</definedName>
    <definedName name="UAcct582">'[17]Func Study'!$AB$801</definedName>
    <definedName name="UAcct583" localSheetId="11">'[16]Func Study'!$AB$806</definedName>
    <definedName name="UAcct583">'[17]Func Study'!$AB$806</definedName>
    <definedName name="UAcct584" localSheetId="11">'[16]Func Study'!$AB$811</definedName>
    <definedName name="UAcct584">'[17]Func Study'!$AB$811</definedName>
    <definedName name="UAcct585" localSheetId="11">'[16]Func Study'!$AB$816</definedName>
    <definedName name="UAcct585">'[17]Func Study'!$AB$816</definedName>
    <definedName name="UAcct586" localSheetId="11">'[16]Func Study'!$AB$821</definedName>
    <definedName name="UAcct586">'[17]Func Study'!$AB$821</definedName>
    <definedName name="UAcct587" localSheetId="11">'[16]Func Study'!$AB$826</definedName>
    <definedName name="UAcct587">'[17]Func Study'!$AB$826</definedName>
    <definedName name="UAcct588" localSheetId="11">'[16]Func Study'!$AB$831</definedName>
    <definedName name="UAcct588">'[17]Func Study'!$AB$831</definedName>
    <definedName name="UAcct589" localSheetId="11">'[16]Func Study'!$AB$836</definedName>
    <definedName name="UAcct589">'[17]Func Study'!$AB$836</definedName>
    <definedName name="UAcct590" localSheetId="11">'[16]Func Study'!$AB$841</definedName>
    <definedName name="UAcct590">'[17]Func Study'!$AB$841</definedName>
    <definedName name="UAcct591" localSheetId="11">'[16]Func Study'!$AB$846</definedName>
    <definedName name="UAcct591">'[17]Func Study'!$AB$846</definedName>
    <definedName name="UAcct592" localSheetId="11">'[16]Func Study'!$AB$851</definedName>
    <definedName name="UAcct592">'[17]Func Study'!$AB$851</definedName>
    <definedName name="UAcct593" localSheetId="11">'[16]Func Study'!$AB$856</definedName>
    <definedName name="UAcct593">'[17]Func Study'!$AB$856</definedName>
    <definedName name="UAcct594" localSheetId="11">'[16]Func Study'!$AB$861</definedName>
    <definedName name="UAcct594">'[17]Func Study'!$AB$861</definedName>
    <definedName name="UAcct595" localSheetId="11">'[16]Func Study'!$AB$866</definedName>
    <definedName name="UAcct595">'[17]Func Study'!$AB$866</definedName>
    <definedName name="UAcct596" localSheetId="11">'[16]Func Study'!$AB$876</definedName>
    <definedName name="UAcct596">'[17]Func Study'!$AB$876</definedName>
    <definedName name="UAcct597" localSheetId="11">'[16]Func Study'!$AB$881</definedName>
    <definedName name="UAcct597">'[17]Func Study'!$AB$881</definedName>
    <definedName name="UAcct598" localSheetId="11">'[16]Func Study'!$AB$886</definedName>
    <definedName name="UAcct598">'[17]Func Study'!$AB$886</definedName>
    <definedName name="UAcct901" localSheetId="11">'[16]Func Study'!$AB$898</definedName>
    <definedName name="UAcct901">'[17]Func Study'!$AB$898</definedName>
    <definedName name="UAcct902" localSheetId="11">'[16]Func Study'!$AB$903</definedName>
    <definedName name="UAcct902">'[17]Func Study'!$AB$903</definedName>
    <definedName name="UAcct903" localSheetId="11">'[16]Func Study'!$AB$908</definedName>
    <definedName name="UAcct903">'[17]Func Study'!$AB$908</definedName>
    <definedName name="UAcct904" localSheetId="11">'[16]Func Study'!$AB$914</definedName>
    <definedName name="UAcct904">'[17]Func Study'!$AB$914</definedName>
    <definedName name="UAcct905" localSheetId="11">'[16]Func Study'!$AB$919</definedName>
    <definedName name="UAcct905">'[17]Func Study'!$AB$919</definedName>
    <definedName name="UAcct907" localSheetId="11">'[16]Func Study'!$AB$933</definedName>
    <definedName name="UAcct907">'[17]Func Study'!$AB$933</definedName>
    <definedName name="UAcct908" localSheetId="11">'[16]Func Study'!$AB$938</definedName>
    <definedName name="UAcct908">'[17]Func Study'!$AB$938</definedName>
    <definedName name="UAcct909" localSheetId="11">'[16]Func Study'!$AB$943</definedName>
    <definedName name="UAcct909">'[17]Func Study'!$AB$943</definedName>
    <definedName name="UAcct910" localSheetId="11">'[16]Func Study'!$AB$948</definedName>
    <definedName name="UAcct910">'[17]Func Study'!$AB$948</definedName>
    <definedName name="UAcct911" localSheetId="11">'[16]Func Study'!$AB$959</definedName>
    <definedName name="UAcct911">'[17]Func Study'!$AB$959</definedName>
    <definedName name="UAcct912" localSheetId="11">'[16]Func Study'!$AB$964</definedName>
    <definedName name="UAcct912">'[17]Func Study'!$AB$964</definedName>
    <definedName name="UAcct913" localSheetId="11">'[16]Func Study'!$AB$969</definedName>
    <definedName name="UAcct913">'[17]Func Study'!$AB$969</definedName>
    <definedName name="UAcct916" localSheetId="11">'[16]Func Study'!$AB$974</definedName>
    <definedName name="UAcct916">'[17]Func Study'!$AB$974</definedName>
    <definedName name="UAcct920" localSheetId="11">'[16]Func Study'!$AB$985</definedName>
    <definedName name="UAcct920">'[17]Func Study'!$AB$985</definedName>
    <definedName name="UAcct920Cn" localSheetId="11">'[16]Func Study'!$AB$983</definedName>
    <definedName name="UAcct920Cn">'[17]Func Study'!$AB$983</definedName>
    <definedName name="UAcct921" localSheetId="11">'[16]Func Study'!$AB$991</definedName>
    <definedName name="UAcct921">'[17]Func Study'!$AB$991</definedName>
    <definedName name="UAcct921Cn" localSheetId="11">'[16]Func Study'!$AB$989</definedName>
    <definedName name="UAcct921Cn">'[17]Func Study'!$AB$989</definedName>
    <definedName name="UAcct923" localSheetId="11">'[16]Func Study'!$AB$997</definedName>
    <definedName name="UAcct923">'[17]Func Study'!$AB$997</definedName>
    <definedName name="UAcct923CAGW" localSheetId="11">'[16]Func Study'!$AB$995</definedName>
    <definedName name="UAcct923CAGW">'[17]Func Study'!$AB$995</definedName>
    <definedName name="UAcct924" localSheetId="11">'[16]Func Study'!$AB$1001</definedName>
    <definedName name="UAcct924">'[17]Func Study'!$AB$1001</definedName>
    <definedName name="UAcct925" localSheetId="11">'[16]Func Study'!$AB$1005</definedName>
    <definedName name="UAcct925">'[17]Func Study'!$AB$1005</definedName>
    <definedName name="UAcct926" localSheetId="11">'[16]Func Study'!$AB$1011</definedName>
    <definedName name="UAcct926">'[17]Func Study'!$AB$1011</definedName>
    <definedName name="UAcct927" localSheetId="11">'[16]Func Study'!$AB$1016</definedName>
    <definedName name="UAcct927">'[17]Func Study'!$AB$1016</definedName>
    <definedName name="UAcct928" localSheetId="11">'[16]Func Study'!$AB$1023</definedName>
    <definedName name="UAcct928">'[17]Func Study'!$AB$1023</definedName>
    <definedName name="UAcct929" localSheetId="11">'[16]Func Study'!$AB$1028</definedName>
    <definedName name="UAcct929">'[17]Func Study'!$AB$1028</definedName>
    <definedName name="UAcct930" localSheetId="11">'[16]Func Study'!$AB$1034</definedName>
    <definedName name="UAcct930">'[17]Func Study'!$AB$1034</definedName>
    <definedName name="UAcct931" localSheetId="11">'[16]Func Study'!$AB$1039</definedName>
    <definedName name="UAcct931">'[17]Func Study'!$AB$1039</definedName>
    <definedName name="UAcct935" localSheetId="11">'[16]Func Study'!$AB$1045</definedName>
    <definedName name="UAcct935">'[17]Func Study'!$AB$1045</definedName>
    <definedName name="UAcctAGA" localSheetId="11">'[16]Func Study'!$AB$296</definedName>
    <definedName name="UAcctAGA">'[17]Func Study'!$AB$296</definedName>
    <definedName name="UAcctcwc" localSheetId="11">'[16]Func Study'!$AB$2136</definedName>
    <definedName name="UAcctcwc">'[17]Func Study'!$AB$2136</definedName>
    <definedName name="UAcctd00" localSheetId="11">'[16]Func Study'!$AB$1786</definedName>
    <definedName name="UAcctd00">'[17]Func Study'!$AB$1786</definedName>
    <definedName name="UAcctds0" localSheetId="11">'[16]Func Study'!$AB$1790</definedName>
    <definedName name="UAcctds0">'[17]Func Study'!$AB$1790</definedName>
    <definedName name="UACCTECDDGP" localSheetId="11">'[16]Func Study'!$AB$687</definedName>
    <definedName name="UACCTECDDGP">'[17]Func Study'!$AB$687</definedName>
    <definedName name="UACCTECDMC" localSheetId="11">'[16]Func Study'!$AB$689</definedName>
    <definedName name="UACCTECDMC">'[17]Func Study'!$AB$689</definedName>
    <definedName name="UACCTECDS" localSheetId="11">'[16]Func Study'!$AB$691</definedName>
    <definedName name="UACCTECDS">'[17]Func Study'!$AB$691</definedName>
    <definedName name="UACCTECDSG1" localSheetId="11">'[16]Func Study'!$AB$688</definedName>
    <definedName name="UACCTECDSG1">'[17]Func Study'!$AB$688</definedName>
    <definedName name="UACCTECDSG2" localSheetId="11">'[16]Func Study'!$AB$690</definedName>
    <definedName name="UACCTECDSG2">'[17]Func Study'!$AB$690</definedName>
    <definedName name="UACCTECDSG3" localSheetId="11">'[16]Func Study'!$AB$692</definedName>
    <definedName name="UACCTECDSG3">'[17]Func Study'!$AB$692</definedName>
    <definedName name="UAcctfit" localSheetId="11">'[16]Func Study'!$AB$1395</definedName>
    <definedName name="UAcctfit">'[17]Func Study'!$AB$1395</definedName>
    <definedName name="UAcctg00" localSheetId="11">'[16]Func Study'!$AB$1947</definedName>
    <definedName name="UAcctg00">'[17]Func Study'!$AB$1947</definedName>
    <definedName name="UAccth00" localSheetId="11">'[16]Func Study'!$AB$1545</definedName>
    <definedName name="UAccth00">'[17]Func Study'!$AB$1545</definedName>
    <definedName name="UAccti00" localSheetId="11">'[16]Func Study'!$AB$1993</definedName>
    <definedName name="UAccti00">'[17]Func Study'!$AB$1993</definedName>
    <definedName name="UAcctn00" localSheetId="11">'[16]Func Study'!$AB$1496</definedName>
    <definedName name="UAcctn00">'[17]Func Study'!$AB$1496</definedName>
    <definedName name="UAccto00" localSheetId="11">'[16]Func Study'!$AB$1606</definedName>
    <definedName name="UAccto00">'[17]Func Study'!$AB$1606</definedName>
    <definedName name="UAcctowc" localSheetId="11">'[16]Func Study'!$AB$2149</definedName>
    <definedName name="UAcctowc">'[17]Func Study'!$AB$2149</definedName>
    <definedName name="UACCTOWCSSECH" localSheetId="11">'[16]Func Study'!$AB$2148</definedName>
    <definedName name="UACCTOWCSSECH">'[17]Func Study'!$AB$2148</definedName>
    <definedName name="UAccts00" localSheetId="11">'[16]Func Study'!$AB$1455</definedName>
    <definedName name="UAccts00">'[17]Func Study'!$AB$1455</definedName>
    <definedName name="UAcctsttax" localSheetId="11">'[16]Func Study'!$AB$1377</definedName>
    <definedName name="UAcctsttax">'[17]Func Study'!$AB$1377</definedName>
    <definedName name="UAcctt00" localSheetId="11">'[16]Func Study'!$AB$1682</definedName>
    <definedName name="UAcctt00">'[17]Func Study'!$AB$1682</definedName>
    <definedName name="UG" localSheetId="11">[7]CLASSIFIERS!$A$9:$IV$9</definedName>
    <definedName name="UG">[8]CLASSIFIERS!$A$9:$IV$9</definedName>
    <definedName name="UG_NCP" localSheetId="11">[7]EXTERNAL!$A$82:$IV$84</definedName>
    <definedName name="UG_NCP">[8]EXTERNAL!$A$82:$IV$84</definedName>
    <definedName name="UG_TFMR" localSheetId="11">[7]EXTERNAL!$A$103:$IV$105</definedName>
    <definedName name="UG_TFMR">[8]EXTERNAL!$A$103:$IV$105</definedName>
    <definedName name="UG_TFMRC" localSheetId="11">[7]EXTERNAL!$A$100:$IV$102</definedName>
    <definedName name="UG_TFMRC">[8]EXTERNAL!$A$100:$IV$102</definedName>
    <definedName name="UNBILLED" localSheetId="11">[7]EXTERNAL!$A$64:$IV$66</definedName>
    <definedName name="UNBILLED">[8]EXTERNAL!$A$64:$IV$66</definedName>
    <definedName name="UncollectibleAccounts" localSheetId="11">[23]Variables!$D$25</definedName>
    <definedName name="UncollectibleAccounts">[24]Variables!$D$25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 localSheetId="6">'[29]Summaries &amp; 3.01-3.18 &amp; 4.01'!$CV$14</definedName>
    <definedName name="UTG">'[30]Summaries &amp; 3.01-3.18 &amp; 4.01'!$CV$14</definedName>
    <definedName name="UtGrossReceipts" localSheetId="11">[23]Variables!$D$29</definedName>
    <definedName name="UtGrossReceipts">[24]Variables!$D$29</definedName>
    <definedName name="UTN" localSheetId="6">'[29]Summaries &amp; 3.01-3.18 &amp; 4.01'!$CW$14</definedName>
    <definedName name="UTN">'[30]Summaries &amp; 3.01-3.18 &amp; 4.01'!$CW$14</definedName>
    <definedName name="ValidAccount">[18]Variables!$AK$43:$AK$369</definedName>
    <definedName name="Values_Entered" localSheetId="42">IF(Loan_Amount*Interest_Rate*Loan_Years*Loan_Start&gt;0,1,0)</definedName>
    <definedName name="Values_Entered" localSheetId="44">IF(Loan_Amount*Interest_Rate*Loan_Years*Loan_Start&gt;0,1,0)</definedName>
    <definedName name="Values_Entered" localSheetId="11">IF(Loan_Amount*Interest_Rate*Loan_Years*Loan_Start&gt;0,1,0)</definedName>
    <definedName name="Values_Entered" localSheetId="10">IF(Loan_Amount*Interest_Rate*Loan_Years*Loan_Start&gt;0,1,0)</definedName>
    <definedName name="Values_Entered" localSheetId="25">IF(Loan_Amount*Interest_Rate*Loan_Years*Loan_Start&gt;0,1,0)</definedName>
    <definedName name="Values_Entered" localSheetId="32">IF(Loan_Amount*Interest_Rate*Loan_Years*Loan_Start&gt;0,1,0)</definedName>
    <definedName name="Values_Entered" localSheetId="5">IF(Loan_Amount*Interest_Rate*Loan_Years*Loan_Start&gt;0,1,0)</definedName>
    <definedName name="Values_Entered" localSheetId="36">IF(Loan_Amount*Interest_Rate*Loan_Years*Loan_Start&gt;0,1,0)</definedName>
    <definedName name="Values_Entered" localSheetId="28">IF(Loan_Amount*Interest_Rate*Loan_Years*Loan_Start&gt;0,1,0)</definedName>
    <definedName name="Values_Entered" localSheetId="35">IF(Loan_Amount*Interest_Rate*Loan_Years*Loan_Start&gt;0,1,0)</definedName>
    <definedName name="Values_Entered" localSheetId="27">IF(Loan_Amount*Interest_Rate*Loan_Years*Loan_Start&gt;0,1,0)</definedName>
    <definedName name="Values_Entered" localSheetId="34">IF(Loan_Amount*Interest_Rate*Loan_Years*Loan_Start&gt;0,1,0)</definedName>
    <definedName name="Values_Entered" localSheetId="26">IF(Loan_Amount*Interest_Rate*Loan_Years*Loan_Start&gt;0,1,0)</definedName>
    <definedName name="Values_Entered" localSheetId="33">IF(Loan_Amount*Interest_Rate*Loan_Years*Loan_Start&gt;0,1,0)</definedName>
    <definedName name="Values_Entered" localSheetId="29">IF(Loan_Amount*Interest_Rate*Loan_Years*Loan_Start&gt;0,1,0)</definedName>
    <definedName name="Values_Entered" localSheetId="30">IF(Loan_Amount*Interest_Rate*Loan_Years*Loan_Start&gt;0,1,0)</definedName>
    <definedName name="Values_Entered" localSheetId="24">IF(Loan_Amount*Interest_Rate*Loan_Years*Loan_Start&gt;0,1,0)</definedName>
    <definedName name="Values_Entered" localSheetId="31">IF(Loan_Amount*Interest_Rate*Loan_Years*Loan_Start&gt;0,1,0)</definedName>
    <definedName name="Values_Entered">IF(Loan_Amount*Interest_Rate*Loan_Years*Loan_Start&gt;0,1,0)</definedName>
    <definedName name="VOMEsc" localSheetId="11">[19]Assumptions!$C$21</definedName>
    <definedName name="VOMEsc">[20]Assumptions!$C$21</definedName>
    <definedName name="WACC" localSheetId="11">[19]Assumptions!$I$61</definedName>
    <definedName name="WACC">[20]Assumptions!$I$61</definedName>
    <definedName name="WaRevenueTax" localSheetId="11">[23]Variables!$D$27</definedName>
    <definedName name="WaRevenueTax">[24]Variables!$D$27</definedName>
    <definedName name="Winter">'[109]Input Tab'!$B$11</definedName>
    <definedName name="WinterPeak" localSheetId="11">'[110]Load Data'!$D$9:$H$12,'[110]Load Data'!$D$20:$H$22</definedName>
    <definedName name="WinterPeak">'[111]Load Data'!$D$9:$H$12,'[111]Load Data'!$D$20:$H$22</definedName>
    <definedName name="x" localSheetId="11">'[112]Weather Present'!$K$7</definedName>
    <definedName name="x">'[113]Weather Present'!$K$7</definedName>
    <definedName name="y" localSheetId="11">'[114]DSM Output'!$B$21:$B$23</definedName>
    <definedName name="y">'[115]DSM Output'!$B$21:$B$23</definedName>
    <definedName name="Years_evaluated">'[116]Revison Inputs'!$B$6</definedName>
    <definedName name="YEFactors">[18]Factors!$S$3:$AG$99</definedName>
    <definedName name="YTD_Format" localSheetId="12">[80]YTD!$B$13:$D$13,[80]YTD!$B$32:$D$32</definedName>
    <definedName name="YTD_Format" localSheetId="9">[80]YTD!$B$13:$D$13,[80]YTD!$B$32:$D$32</definedName>
    <definedName name="YTD_Format" localSheetId="11">[82]YTD!$B$13:$D$13,[82]YTD!$B$32:$D$32</definedName>
    <definedName name="YTD_Format" localSheetId="13">[80]YTD!$B$13:$D$13,[80]YTD!$B$32:$D$32</definedName>
    <definedName name="YTD_Format" localSheetId="10">[80]YTD!$B$13:$D$13,[80]YTD!$B$32:$D$32</definedName>
    <definedName name="YTD_Format">[81]YTD!$B$13:$D$13,[81]YTD!$B$36:$D$36</definedName>
    <definedName name="z" localSheetId="11">'[114]DSM Output'!$G$21:$G$23</definedName>
    <definedName name="z">'[115]DSM Output'!$G$21:$G$23</definedName>
    <definedName name="Z_314B38F5_B141_4CFA_B269_574C59187EBF_.wvu.Cols" localSheetId="20">'NonRes Deferral Calc 2017'!$AF:$AF</definedName>
    <definedName name="Z_314B38F5_B141_4CFA_B269_574C59187EBF_.wvu.Cols" localSheetId="19">'Res Deferral Calc 2017'!$AF:$AF</definedName>
    <definedName name="Z_314B38F5_B141_4CFA_B269_574C59187EBF_.wvu.Cols" localSheetId="22">'Sch 10&amp;31 Deferral Calc 2017'!$AF:$AF</definedName>
    <definedName name="Z_314B38F5_B141_4CFA_B269_574C59187EBF_.wvu.Cols" localSheetId="21">'Sch 12&amp;26 Deferral Calc 2017'!$AF:$AF</definedName>
  </definedNames>
  <calcPr calcId="145621"/>
</workbook>
</file>

<file path=xl/calcChain.xml><?xml version="1.0" encoding="utf-8"?>
<calcChain xmlns="http://schemas.openxmlformats.org/spreadsheetml/2006/main">
  <c r="D16" i="18" l="1"/>
  <c r="E14" i="66"/>
  <c r="L11" i="66"/>
  <c r="K11" i="66"/>
  <c r="J11" i="66"/>
  <c r="I11" i="66"/>
  <c r="H11" i="66"/>
  <c r="G11" i="66"/>
  <c r="F11" i="66"/>
  <c r="E11" i="66"/>
  <c r="D11" i="66"/>
  <c r="E10" i="66"/>
  <c r="A10" i="66"/>
  <c r="A11" i="66" s="1"/>
  <c r="A12" i="66" s="1"/>
  <c r="A13" i="66" s="1"/>
  <c r="A14" i="66" s="1"/>
  <c r="A15" i="66" s="1"/>
  <c r="A16" i="66" s="1"/>
  <c r="A17" i="66" s="1"/>
  <c r="A18" i="66" s="1"/>
  <c r="A19" i="66" s="1"/>
  <c r="A20" i="66" s="1"/>
  <c r="E12" i="66" l="1"/>
  <c r="F10" i="66"/>
  <c r="D15" i="66"/>
  <c r="D16" i="66" s="1"/>
  <c r="D18" i="66" s="1"/>
  <c r="D20" i="66" s="1"/>
  <c r="E15" i="66"/>
  <c r="E16" i="66" s="1"/>
  <c r="E18" i="66" s="1"/>
  <c r="E20" i="66" s="1"/>
  <c r="D12" i="66"/>
  <c r="F14" i="66"/>
  <c r="G14" i="66" l="1"/>
  <c r="G10" i="66"/>
  <c r="F12" i="66"/>
  <c r="F15" i="66" s="1"/>
  <c r="F16" i="66" s="1"/>
  <c r="F18" i="66" s="1"/>
  <c r="F20" i="66" s="1"/>
  <c r="H10" i="66" l="1"/>
  <c r="G12" i="66"/>
  <c r="G15" i="66" s="1"/>
  <c r="G16" i="66" s="1"/>
  <c r="G18" i="66" s="1"/>
  <c r="G20" i="66" s="1"/>
  <c r="H14" i="66"/>
  <c r="I14" i="66" l="1"/>
  <c r="I10" i="66"/>
  <c r="H12" i="66"/>
  <c r="H15" i="66" s="1"/>
  <c r="H16" i="66" s="1"/>
  <c r="H18" i="66" s="1"/>
  <c r="H20" i="66" s="1"/>
  <c r="I12" i="66" l="1"/>
  <c r="I15" i="66" s="1"/>
  <c r="I16" i="66" s="1"/>
  <c r="I18" i="66" s="1"/>
  <c r="I20" i="66" s="1"/>
  <c r="J10" i="66"/>
  <c r="J14" i="66"/>
  <c r="K14" i="66" l="1"/>
  <c r="K10" i="66"/>
  <c r="J12" i="66"/>
  <c r="J15" i="66" s="1"/>
  <c r="J16" i="66" s="1"/>
  <c r="J18" i="66" s="1"/>
  <c r="J20" i="66" s="1"/>
  <c r="L10" i="66" l="1"/>
  <c r="L12" i="66" s="1"/>
  <c r="K12" i="66"/>
  <c r="K15" i="66"/>
  <c r="K16" i="66" s="1"/>
  <c r="K18" i="66" s="1"/>
  <c r="K20" i="66" s="1"/>
  <c r="L14" i="66"/>
  <c r="L15" i="66" s="1"/>
  <c r="L16" i="66" s="1"/>
  <c r="L18" i="66" s="1"/>
  <c r="L20" i="66" s="1"/>
  <c r="L24" i="66" s="1"/>
  <c r="D14" i="36" l="1"/>
  <c r="O42" i="65"/>
  <c r="O24" i="65" s="1"/>
  <c r="O25" i="65" s="1"/>
  <c r="O29" i="65" s="1"/>
  <c r="O32" i="65" s="1"/>
  <c r="N42" i="65"/>
  <c r="N24" i="65" s="1"/>
  <c r="N25" i="65" s="1"/>
  <c r="M42" i="65"/>
  <c r="M24" i="65" s="1"/>
  <c r="M25" i="65" s="1"/>
  <c r="K42" i="65"/>
  <c r="K24" i="65" s="1"/>
  <c r="J42" i="65"/>
  <c r="J24" i="65" s="1"/>
  <c r="J25" i="65" s="1"/>
  <c r="I42" i="65"/>
  <c r="I24" i="65" s="1"/>
  <c r="I25" i="65" s="1"/>
  <c r="G42" i="65"/>
  <c r="G24" i="65" s="1"/>
  <c r="F42" i="65"/>
  <c r="F24" i="65" s="1"/>
  <c r="F25" i="65" s="1"/>
  <c r="E42" i="65"/>
  <c r="E24" i="65" s="1"/>
  <c r="Q41" i="65"/>
  <c r="P42" i="65" s="1"/>
  <c r="C31" i="65"/>
  <c r="K29" i="65"/>
  <c r="K32" i="65" s="1"/>
  <c r="P27" i="65"/>
  <c r="L27" i="65"/>
  <c r="H27" i="65"/>
  <c r="C27" i="65"/>
  <c r="P26" i="65"/>
  <c r="O26" i="65"/>
  <c r="O27" i="65" s="1"/>
  <c r="N26" i="65"/>
  <c r="N27" i="65" s="1"/>
  <c r="M26" i="65"/>
  <c r="L26" i="65"/>
  <c r="K26" i="65"/>
  <c r="K27" i="65" s="1"/>
  <c r="J26" i="65"/>
  <c r="J27" i="65" s="1"/>
  <c r="I26" i="65"/>
  <c r="H26" i="65"/>
  <c r="G26" i="65"/>
  <c r="G27" i="65" s="1"/>
  <c r="F26" i="65"/>
  <c r="F27" i="65" s="1"/>
  <c r="E26" i="65"/>
  <c r="K25" i="65"/>
  <c r="G25" i="65"/>
  <c r="G29" i="65" s="1"/>
  <c r="G32" i="65" s="1"/>
  <c r="P24" i="65"/>
  <c r="P25" i="65" s="1"/>
  <c r="E17" i="65"/>
  <c r="N16" i="65"/>
  <c r="O14" i="65"/>
  <c r="K14" i="65"/>
  <c r="P12" i="65"/>
  <c r="P14" i="65" s="1"/>
  <c r="O12" i="65"/>
  <c r="N12" i="65"/>
  <c r="M12" i="65"/>
  <c r="M14" i="65" s="1"/>
  <c r="M16" i="65" s="1"/>
  <c r="L12" i="65"/>
  <c r="L14" i="65" s="1"/>
  <c r="K12" i="65"/>
  <c r="J12" i="65"/>
  <c r="I12" i="65"/>
  <c r="I14" i="65" s="1"/>
  <c r="I16" i="65" s="1"/>
  <c r="H12" i="65"/>
  <c r="H14" i="65" s="1"/>
  <c r="G12" i="65"/>
  <c r="F12" i="65"/>
  <c r="E12" i="65"/>
  <c r="E14" i="65" s="1"/>
  <c r="E16" i="65" s="1"/>
  <c r="Q11" i="65"/>
  <c r="P9" i="65"/>
  <c r="O9" i="65"/>
  <c r="N9" i="65"/>
  <c r="N14" i="65" s="1"/>
  <c r="M9" i="65"/>
  <c r="L9" i="65"/>
  <c r="K9" i="65"/>
  <c r="J9" i="65"/>
  <c r="J14" i="65" s="1"/>
  <c r="I9" i="65"/>
  <c r="H9" i="65"/>
  <c r="G9" i="65"/>
  <c r="G14" i="65" s="1"/>
  <c r="F9" i="65"/>
  <c r="F14" i="65" s="1"/>
  <c r="E9" i="65"/>
  <c r="Q9" i="65" s="1"/>
  <c r="G16" i="65" l="1"/>
  <c r="G17" i="65" s="1"/>
  <c r="K16" i="65"/>
  <c r="K17" i="65" s="1"/>
  <c r="E25" i="65"/>
  <c r="Q24" i="65"/>
  <c r="J29" i="65"/>
  <c r="J32" i="65" s="1"/>
  <c r="H16" i="65"/>
  <c r="H17" i="65" s="1"/>
  <c r="L16" i="65"/>
  <c r="L17" i="65" s="1"/>
  <c r="P16" i="65"/>
  <c r="P17" i="65" s="1"/>
  <c r="O16" i="65"/>
  <c r="O17" i="65" s="1"/>
  <c r="F29" i="65"/>
  <c r="F32" i="65" s="1"/>
  <c r="F17" i="65"/>
  <c r="N17" i="65"/>
  <c r="Q12" i="65"/>
  <c r="Q14" i="65" s="1"/>
  <c r="F16" i="65"/>
  <c r="I17" i="65"/>
  <c r="M29" i="65"/>
  <c r="M32" i="65" s="1"/>
  <c r="J16" i="65"/>
  <c r="J17" i="65" s="1"/>
  <c r="M17" i="65"/>
  <c r="P29" i="65"/>
  <c r="P32" i="65" s="1"/>
  <c r="Q26" i="65"/>
  <c r="M27" i="65"/>
  <c r="I27" i="65"/>
  <c r="E27" i="65"/>
  <c r="Q27" i="65" s="1"/>
  <c r="I29" i="65"/>
  <c r="I32" i="65" s="1"/>
  <c r="N29" i="65"/>
  <c r="N32" i="65" s="1"/>
  <c r="H42" i="65"/>
  <c r="H24" i="65" s="1"/>
  <c r="H25" i="65" s="1"/>
  <c r="H29" i="65" s="1"/>
  <c r="H32" i="65" s="1"/>
  <c r="L42" i="65"/>
  <c r="L24" i="65" s="1"/>
  <c r="L25" i="65" s="1"/>
  <c r="L29" i="65" s="1"/>
  <c r="L32" i="65" s="1"/>
  <c r="Q17" i="65" l="1"/>
  <c r="Q16" i="65"/>
  <c r="E29" i="65"/>
  <c r="Q25" i="65"/>
  <c r="Q36" i="65" l="1"/>
  <c r="Q38" i="65" s="1"/>
  <c r="Q29" i="65"/>
  <c r="E32" i="65"/>
  <c r="Q32" i="65" s="1"/>
  <c r="D323" i="41" l="1"/>
  <c r="O38" i="63" l="1"/>
  <c r="M38" i="63"/>
  <c r="L38" i="63"/>
  <c r="K38" i="63"/>
  <c r="I38" i="63"/>
  <c r="H38" i="63"/>
  <c r="G38" i="63"/>
  <c r="E38" i="63"/>
  <c r="D38" i="63"/>
  <c r="C38" i="63"/>
  <c r="J36" i="63"/>
  <c r="O30" i="63"/>
  <c r="N30" i="63"/>
  <c r="N38" i="63" s="1"/>
  <c r="M30" i="63"/>
  <c r="L30" i="63"/>
  <c r="K30" i="63"/>
  <c r="J30" i="63"/>
  <c r="J38" i="63" s="1"/>
  <c r="I30" i="63"/>
  <c r="H30" i="63"/>
  <c r="G30" i="63"/>
  <c r="F30" i="63"/>
  <c r="F38" i="63" s="1"/>
  <c r="E30" i="63"/>
  <c r="D30" i="63"/>
  <c r="C30" i="63"/>
  <c r="O20" i="63"/>
  <c r="O36" i="63" s="1"/>
  <c r="L20" i="63"/>
  <c r="L36" i="63" s="1"/>
  <c r="H20" i="63"/>
  <c r="H36" i="63" s="1"/>
  <c r="D20" i="63"/>
  <c r="D36" i="63" s="1"/>
  <c r="O18" i="63"/>
  <c r="N18" i="63"/>
  <c r="N20" i="63" s="1"/>
  <c r="N36" i="63" s="1"/>
  <c r="L18" i="63"/>
  <c r="K18" i="63"/>
  <c r="K20" i="63" s="1"/>
  <c r="K36" i="63" s="1"/>
  <c r="J18" i="63"/>
  <c r="J20" i="63" s="1"/>
  <c r="H18" i="63"/>
  <c r="G18" i="63"/>
  <c r="G20" i="63" s="1"/>
  <c r="G36" i="63" s="1"/>
  <c r="D18" i="63"/>
  <c r="C18" i="63"/>
  <c r="C20" i="63" s="1"/>
  <c r="O16" i="63"/>
  <c r="N16" i="63"/>
  <c r="M16" i="63"/>
  <c r="M18" i="63" s="1"/>
  <c r="M20" i="63" s="1"/>
  <c r="M36" i="63" s="1"/>
  <c r="L16" i="63"/>
  <c r="K16" i="63"/>
  <c r="J16" i="63"/>
  <c r="I16" i="63"/>
  <c r="I18" i="63" s="1"/>
  <c r="I20" i="63" s="1"/>
  <c r="I36" i="63" s="1"/>
  <c r="H16" i="63"/>
  <c r="G16" i="63"/>
  <c r="F16" i="63"/>
  <c r="E16" i="63"/>
  <c r="E18" i="63" s="1"/>
  <c r="E20" i="63" s="1"/>
  <c r="E36" i="63" s="1"/>
  <c r="D16" i="63"/>
  <c r="C16" i="63"/>
  <c r="A15" i="63"/>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O12" i="63"/>
  <c r="N12" i="63"/>
  <c r="M12" i="63"/>
  <c r="L12" i="63"/>
  <c r="K12" i="63"/>
  <c r="J12" i="63"/>
  <c r="I12" i="63"/>
  <c r="H12" i="63"/>
  <c r="G12" i="63"/>
  <c r="F12" i="63"/>
  <c r="F18" i="63" s="1"/>
  <c r="F20" i="63" s="1"/>
  <c r="F36" i="63" s="1"/>
  <c r="E12" i="63"/>
  <c r="D12" i="63"/>
  <c r="C12" i="63"/>
  <c r="A12" i="63"/>
  <c r="A13" i="63" s="1"/>
  <c r="A14" i="63" s="1"/>
  <c r="A11" i="63"/>
  <c r="A10" i="63"/>
  <c r="A9" i="63"/>
  <c r="E6" i="63"/>
  <c r="F6" i="63" s="1"/>
  <c r="G6" i="63" s="1"/>
  <c r="H6" i="63" s="1"/>
  <c r="I6" i="63" s="1"/>
  <c r="J6" i="63" s="1"/>
  <c r="K6" i="63" s="1"/>
  <c r="L6" i="63" s="1"/>
  <c r="M6" i="63" s="1"/>
  <c r="N6" i="63" s="1"/>
  <c r="O6" i="63" s="1"/>
  <c r="D6" i="63"/>
  <c r="O38" i="62"/>
  <c r="M38" i="62"/>
  <c r="L38" i="62"/>
  <c r="K38" i="62"/>
  <c r="I38" i="62"/>
  <c r="H38" i="62"/>
  <c r="G38" i="62"/>
  <c r="E38" i="62"/>
  <c r="D38" i="62"/>
  <c r="C38" i="62"/>
  <c r="J36" i="62"/>
  <c r="G36" i="62"/>
  <c r="A36" i="62"/>
  <c r="A37" i="62" s="1"/>
  <c r="A38" i="62" s="1"/>
  <c r="A39" i="62" s="1"/>
  <c r="A40" i="62" s="1"/>
  <c r="A41" i="62" s="1"/>
  <c r="A42" i="62" s="1"/>
  <c r="O30" i="62"/>
  <c r="N30" i="62"/>
  <c r="N38" i="62" s="1"/>
  <c r="M30" i="62"/>
  <c r="L30" i="62"/>
  <c r="K30" i="62"/>
  <c r="J30" i="62"/>
  <c r="J38" i="62" s="1"/>
  <c r="I30" i="62"/>
  <c r="H30" i="62"/>
  <c r="G30" i="62"/>
  <c r="F30" i="62"/>
  <c r="F38" i="62" s="1"/>
  <c r="E30" i="62"/>
  <c r="D30" i="62"/>
  <c r="C30" i="62"/>
  <c r="O20" i="62"/>
  <c r="O36" i="62" s="1"/>
  <c r="L20" i="62"/>
  <c r="L36" i="62" s="1"/>
  <c r="H20" i="62"/>
  <c r="H36" i="62" s="1"/>
  <c r="D20" i="62"/>
  <c r="D36" i="62" s="1"/>
  <c r="O18" i="62"/>
  <c r="N18" i="62"/>
  <c r="N20" i="62" s="1"/>
  <c r="N36" i="62" s="1"/>
  <c r="L18" i="62"/>
  <c r="K18" i="62"/>
  <c r="K20" i="62" s="1"/>
  <c r="K36" i="62" s="1"/>
  <c r="J18" i="62"/>
  <c r="J20" i="62" s="1"/>
  <c r="H18" i="62"/>
  <c r="G18" i="62"/>
  <c r="G20" i="62" s="1"/>
  <c r="D18" i="62"/>
  <c r="C18" i="62"/>
  <c r="C20" i="62" s="1"/>
  <c r="A18" i="62"/>
  <c r="A19" i="62" s="1"/>
  <c r="A20" i="62" s="1"/>
  <c r="A21" i="62" s="1"/>
  <c r="A22" i="62" s="1"/>
  <c r="A23" i="62" s="1"/>
  <c r="A24" i="62" s="1"/>
  <c r="A25" i="62" s="1"/>
  <c r="A26" i="62" s="1"/>
  <c r="A27" i="62" s="1"/>
  <c r="A28" i="62" s="1"/>
  <c r="A29" i="62" s="1"/>
  <c r="A30" i="62" s="1"/>
  <c r="A31" i="62" s="1"/>
  <c r="A32" i="62" s="1"/>
  <c r="A33" i="62" s="1"/>
  <c r="A34" i="62" s="1"/>
  <c r="A35" i="62" s="1"/>
  <c r="O16" i="62"/>
  <c r="N16" i="62"/>
  <c r="M16" i="62"/>
  <c r="M18" i="62" s="1"/>
  <c r="M20" i="62" s="1"/>
  <c r="M36" i="62" s="1"/>
  <c r="L16" i="62"/>
  <c r="K16" i="62"/>
  <c r="J16" i="62"/>
  <c r="I16" i="62"/>
  <c r="I18" i="62" s="1"/>
  <c r="I20" i="62" s="1"/>
  <c r="I36" i="62" s="1"/>
  <c r="H16" i="62"/>
  <c r="G16" i="62"/>
  <c r="F16" i="62"/>
  <c r="E16" i="62"/>
  <c r="E18" i="62" s="1"/>
  <c r="E20" i="62" s="1"/>
  <c r="E36" i="62" s="1"/>
  <c r="D16" i="62"/>
  <c r="C16" i="62"/>
  <c r="A15" i="62"/>
  <c r="A16" i="62" s="1"/>
  <c r="A17" i="62" s="1"/>
  <c r="O12" i="62"/>
  <c r="N12" i="62"/>
  <c r="M12" i="62"/>
  <c r="L12" i="62"/>
  <c r="K12" i="62"/>
  <c r="J12" i="62"/>
  <c r="I12" i="62"/>
  <c r="H12" i="62"/>
  <c r="G12" i="62"/>
  <c r="F12" i="62"/>
  <c r="F18" i="62" s="1"/>
  <c r="F20" i="62" s="1"/>
  <c r="F36" i="62" s="1"/>
  <c r="E12" i="62"/>
  <c r="D12" i="62"/>
  <c r="C12" i="62"/>
  <c r="A12" i="62"/>
  <c r="A13" i="62" s="1"/>
  <c r="A14" i="62" s="1"/>
  <c r="A11" i="62"/>
  <c r="A10" i="62"/>
  <c r="A9" i="62"/>
  <c r="K6" i="62"/>
  <c r="L6" i="62" s="1"/>
  <c r="M6" i="62" s="1"/>
  <c r="N6" i="62" s="1"/>
  <c r="O6" i="62" s="1"/>
  <c r="H6" i="62"/>
  <c r="I6" i="62" s="1"/>
  <c r="J6" i="62" s="1"/>
  <c r="G6" i="62"/>
  <c r="F6" i="62"/>
  <c r="E6" i="62"/>
  <c r="D6" i="62"/>
  <c r="O38" i="61"/>
  <c r="M38" i="61"/>
  <c r="L38" i="61"/>
  <c r="K38" i="61"/>
  <c r="I38" i="61"/>
  <c r="H38" i="61"/>
  <c r="G38" i="61"/>
  <c r="E38" i="61"/>
  <c r="D38" i="61"/>
  <c r="C38" i="61"/>
  <c r="O30" i="61"/>
  <c r="N30" i="61"/>
  <c r="N38" i="61" s="1"/>
  <c r="M30" i="61"/>
  <c r="L30" i="61"/>
  <c r="K30" i="61"/>
  <c r="J30" i="61"/>
  <c r="J38" i="61" s="1"/>
  <c r="I30" i="61"/>
  <c r="H30" i="61"/>
  <c r="G30" i="61"/>
  <c r="F30" i="61"/>
  <c r="F38" i="61" s="1"/>
  <c r="E30" i="61"/>
  <c r="D30" i="61"/>
  <c r="C30" i="61"/>
  <c r="O20" i="61"/>
  <c r="O36" i="61" s="1"/>
  <c r="H20" i="61"/>
  <c r="H36" i="61" s="1"/>
  <c r="G20" i="61"/>
  <c r="G36" i="61" s="1"/>
  <c r="O18" i="61"/>
  <c r="G18" i="61"/>
  <c r="F18" i="61"/>
  <c r="F20" i="61" s="1"/>
  <c r="F36" i="61" s="1"/>
  <c r="O16" i="61"/>
  <c r="N16" i="61"/>
  <c r="M16" i="61"/>
  <c r="L16" i="61"/>
  <c r="K16" i="61"/>
  <c r="J16" i="61"/>
  <c r="I16" i="61"/>
  <c r="H16" i="61"/>
  <c r="G16" i="61"/>
  <c r="F16" i="61"/>
  <c r="E16" i="61"/>
  <c r="D16" i="61"/>
  <c r="C16" i="61"/>
  <c r="O12" i="61"/>
  <c r="N12" i="61"/>
  <c r="N18" i="61" s="1"/>
  <c r="N20" i="61" s="1"/>
  <c r="N36" i="61" s="1"/>
  <c r="M12" i="61"/>
  <c r="M18" i="61" s="1"/>
  <c r="M20" i="61" s="1"/>
  <c r="M36" i="61" s="1"/>
  <c r="L12" i="61"/>
  <c r="L18" i="61" s="1"/>
  <c r="L20" i="61" s="1"/>
  <c r="L36" i="61" s="1"/>
  <c r="K12" i="61"/>
  <c r="K18" i="61" s="1"/>
  <c r="K20" i="61" s="1"/>
  <c r="K36" i="61" s="1"/>
  <c r="J12" i="61"/>
  <c r="J18" i="61" s="1"/>
  <c r="J20" i="61" s="1"/>
  <c r="J36" i="61" s="1"/>
  <c r="I12" i="61"/>
  <c r="I18" i="61" s="1"/>
  <c r="I20" i="61" s="1"/>
  <c r="I36" i="61" s="1"/>
  <c r="H12" i="61"/>
  <c r="H18" i="61" s="1"/>
  <c r="G12" i="61"/>
  <c r="F12" i="61"/>
  <c r="E12" i="61"/>
  <c r="E18" i="61" s="1"/>
  <c r="E20" i="61" s="1"/>
  <c r="E36" i="61" s="1"/>
  <c r="D12" i="61"/>
  <c r="D18" i="61" s="1"/>
  <c r="D20" i="61" s="1"/>
  <c r="D36" i="61" s="1"/>
  <c r="C12" i="61"/>
  <c r="C18" i="61" s="1"/>
  <c r="C20" i="61" s="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9" i="61"/>
  <c r="A10" i="61" s="1"/>
  <c r="A11" i="61" s="1"/>
  <c r="H6" i="61"/>
  <c r="I6" i="61" s="1"/>
  <c r="J6" i="61" s="1"/>
  <c r="K6" i="61" s="1"/>
  <c r="L6" i="61" s="1"/>
  <c r="M6" i="61" s="1"/>
  <c r="N6" i="61" s="1"/>
  <c r="O6" i="61" s="1"/>
  <c r="D6" i="61"/>
  <c r="E6" i="61" s="1"/>
  <c r="F6" i="61" s="1"/>
  <c r="G6" i="61" s="1"/>
  <c r="K38" i="60"/>
  <c r="I38" i="60"/>
  <c r="G38" i="60"/>
  <c r="F38" i="60"/>
  <c r="E38" i="60"/>
  <c r="C38" i="60"/>
  <c r="O30" i="60"/>
  <c r="O38" i="60" s="1"/>
  <c r="N30" i="60"/>
  <c r="N38" i="60" s="1"/>
  <c r="M30" i="60"/>
  <c r="M38" i="60" s="1"/>
  <c r="L30" i="60"/>
  <c r="L38" i="60" s="1"/>
  <c r="K30" i="60"/>
  <c r="J30" i="60"/>
  <c r="J38" i="60" s="1"/>
  <c r="I30" i="60"/>
  <c r="H30" i="60"/>
  <c r="H38" i="60" s="1"/>
  <c r="G30" i="60"/>
  <c r="F30" i="60"/>
  <c r="E30" i="60"/>
  <c r="D30" i="60"/>
  <c r="D38" i="60" s="1"/>
  <c r="C30" i="60"/>
  <c r="N20" i="60"/>
  <c r="N36" i="60" s="1"/>
  <c r="J20" i="60"/>
  <c r="J36" i="60" s="1"/>
  <c r="F20" i="60"/>
  <c r="F36" i="60" s="1"/>
  <c r="L18" i="60"/>
  <c r="L20" i="60" s="1"/>
  <c r="L36" i="60" s="1"/>
  <c r="I18" i="60"/>
  <c r="I20" i="60" s="1"/>
  <c r="I36" i="60" s="1"/>
  <c r="O16" i="60"/>
  <c r="N16" i="60"/>
  <c r="M16" i="60"/>
  <c r="L16" i="60"/>
  <c r="K16" i="60"/>
  <c r="J16" i="60"/>
  <c r="I16" i="60"/>
  <c r="H16" i="60"/>
  <c r="G16" i="60"/>
  <c r="F16" i="60"/>
  <c r="E16" i="60"/>
  <c r="D16" i="60"/>
  <c r="D18" i="60" s="1"/>
  <c r="D20" i="60" s="1"/>
  <c r="D36" i="60" s="1"/>
  <c r="C16" i="60"/>
  <c r="O12" i="60"/>
  <c r="O18" i="60" s="1"/>
  <c r="O20" i="60" s="1"/>
  <c r="O36" i="60" s="1"/>
  <c r="N12" i="60"/>
  <c r="N18" i="60" s="1"/>
  <c r="M12" i="60"/>
  <c r="M18" i="60" s="1"/>
  <c r="M20" i="60" s="1"/>
  <c r="M36" i="60" s="1"/>
  <c r="L12" i="60"/>
  <c r="K12" i="60"/>
  <c r="K18" i="60" s="1"/>
  <c r="K20" i="60" s="1"/>
  <c r="K36" i="60" s="1"/>
  <c r="J12" i="60"/>
  <c r="J18" i="60" s="1"/>
  <c r="I12" i="60"/>
  <c r="H12" i="60"/>
  <c r="G12" i="60"/>
  <c r="G18" i="60" s="1"/>
  <c r="G20" i="60" s="1"/>
  <c r="G36" i="60" s="1"/>
  <c r="F12" i="60"/>
  <c r="F18" i="60" s="1"/>
  <c r="E12" i="60"/>
  <c r="E18" i="60" s="1"/>
  <c r="E20" i="60" s="1"/>
  <c r="E36" i="60" s="1"/>
  <c r="D12" i="60"/>
  <c r="C12" i="60"/>
  <c r="C18" i="60" s="1"/>
  <c r="C20" i="60" s="1"/>
  <c r="A10" i="60"/>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9" i="60"/>
  <c r="F6" i="60"/>
  <c r="G6" i="60" s="1"/>
  <c r="H6" i="60" s="1"/>
  <c r="I6" i="60" s="1"/>
  <c r="J6" i="60" s="1"/>
  <c r="K6" i="60" s="1"/>
  <c r="L6" i="60" s="1"/>
  <c r="M6" i="60" s="1"/>
  <c r="N6" i="60" s="1"/>
  <c r="O6" i="60" s="1"/>
  <c r="E6" i="60"/>
  <c r="D6" i="60"/>
  <c r="O38" i="59"/>
  <c r="N38" i="59"/>
  <c r="K38" i="59"/>
  <c r="J38" i="59"/>
  <c r="G38" i="59"/>
  <c r="F38" i="59"/>
  <c r="C38" i="59"/>
  <c r="H36" i="59"/>
  <c r="O30" i="59"/>
  <c r="N30" i="59"/>
  <c r="M30" i="59"/>
  <c r="M38" i="59" s="1"/>
  <c r="L30" i="59"/>
  <c r="L38" i="59" s="1"/>
  <c r="K30" i="59"/>
  <c r="J30" i="59"/>
  <c r="I30" i="59"/>
  <c r="I38" i="59" s="1"/>
  <c r="H30" i="59"/>
  <c r="H38" i="59" s="1"/>
  <c r="G30" i="59"/>
  <c r="F30" i="59"/>
  <c r="E30" i="59"/>
  <c r="E38" i="59" s="1"/>
  <c r="D30" i="59"/>
  <c r="D38" i="59" s="1"/>
  <c r="C30" i="59"/>
  <c r="N20" i="59"/>
  <c r="N36" i="59" s="1"/>
  <c r="M18" i="59"/>
  <c r="M20" i="59" s="1"/>
  <c r="M36" i="59" s="1"/>
  <c r="H18" i="59"/>
  <c r="H20" i="59" s="1"/>
  <c r="O16" i="59"/>
  <c r="N16" i="59"/>
  <c r="M16" i="59"/>
  <c r="L16" i="59"/>
  <c r="K16" i="59"/>
  <c r="J16" i="59"/>
  <c r="I16" i="59"/>
  <c r="H16" i="59"/>
  <c r="G16" i="59"/>
  <c r="F16" i="59"/>
  <c r="E16" i="59"/>
  <c r="D16" i="59"/>
  <c r="C16" i="59"/>
  <c r="O12" i="59"/>
  <c r="N12" i="59"/>
  <c r="N18" i="59" s="1"/>
  <c r="M12" i="59"/>
  <c r="L12" i="59"/>
  <c r="L18" i="59" s="1"/>
  <c r="L20" i="59" s="1"/>
  <c r="L36" i="59" s="1"/>
  <c r="K12" i="59"/>
  <c r="J12" i="59"/>
  <c r="J18" i="59" s="1"/>
  <c r="J20" i="59" s="1"/>
  <c r="J36" i="59" s="1"/>
  <c r="I12" i="59"/>
  <c r="I18" i="59" s="1"/>
  <c r="I20" i="59" s="1"/>
  <c r="I36" i="59" s="1"/>
  <c r="H12" i="59"/>
  <c r="G12" i="59"/>
  <c r="F12" i="59"/>
  <c r="F18" i="59" s="1"/>
  <c r="F20" i="59" s="1"/>
  <c r="F36" i="59" s="1"/>
  <c r="E12" i="59"/>
  <c r="E18" i="59" s="1"/>
  <c r="E20" i="59" s="1"/>
  <c r="E36" i="59" s="1"/>
  <c r="D12" i="59"/>
  <c r="D18" i="59" s="1"/>
  <c r="D20" i="59" s="1"/>
  <c r="D36" i="59" s="1"/>
  <c r="C12" i="59"/>
  <c r="A10" i="59"/>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9" i="59"/>
  <c r="E6" i="59"/>
  <c r="F6" i="59" s="1"/>
  <c r="G6" i="59" s="1"/>
  <c r="H6" i="59" s="1"/>
  <c r="I6" i="59" s="1"/>
  <c r="J6" i="59" s="1"/>
  <c r="K6" i="59" s="1"/>
  <c r="L6" i="59" s="1"/>
  <c r="M6" i="59" s="1"/>
  <c r="N6" i="59" s="1"/>
  <c r="O6" i="59" s="1"/>
  <c r="D6" i="59"/>
  <c r="O38" i="58"/>
  <c r="N38" i="58"/>
  <c r="K38" i="58"/>
  <c r="J38" i="58"/>
  <c r="I38" i="58"/>
  <c r="G38" i="58"/>
  <c r="F38" i="58"/>
  <c r="E38" i="58"/>
  <c r="C38" i="58"/>
  <c r="O30" i="58"/>
  <c r="N30" i="58"/>
  <c r="M30" i="58"/>
  <c r="M38" i="58" s="1"/>
  <c r="L30" i="58"/>
  <c r="L38" i="58" s="1"/>
  <c r="K30" i="58"/>
  <c r="J30" i="58"/>
  <c r="I30" i="58"/>
  <c r="H30" i="58"/>
  <c r="H38" i="58" s="1"/>
  <c r="G30" i="58"/>
  <c r="F30" i="58"/>
  <c r="E30" i="58"/>
  <c r="D30" i="58"/>
  <c r="D38" i="58" s="1"/>
  <c r="C30" i="58"/>
  <c r="N20" i="58"/>
  <c r="N36" i="58" s="1"/>
  <c r="J20" i="58"/>
  <c r="J36" i="58" s="1"/>
  <c r="F20" i="58"/>
  <c r="F36" i="58" s="1"/>
  <c r="E20" i="58"/>
  <c r="E36" i="58" s="1"/>
  <c r="I18" i="58"/>
  <c r="I20" i="58" s="1"/>
  <c r="I36" i="58" s="1"/>
  <c r="D18" i="58"/>
  <c r="D20" i="58" s="1"/>
  <c r="D36" i="58" s="1"/>
  <c r="O16" i="58"/>
  <c r="N16" i="58"/>
  <c r="M16" i="58"/>
  <c r="L16" i="58"/>
  <c r="K16" i="58"/>
  <c r="J16" i="58"/>
  <c r="I16" i="58"/>
  <c r="H16" i="58"/>
  <c r="G16" i="58"/>
  <c r="F16" i="58"/>
  <c r="E16" i="58"/>
  <c r="D16" i="58"/>
  <c r="C16"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O12" i="58"/>
  <c r="O18" i="58" s="1"/>
  <c r="O20" i="58" s="1"/>
  <c r="O36" i="58" s="1"/>
  <c r="N12" i="58"/>
  <c r="N18" i="58" s="1"/>
  <c r="M12" i="58"/>
  <c r="M18" i="58" s="1"/>
  <c r="M20" i="58" s="1"/>
  <c r="M36" i="58" s="1"/>
  <c r="L12" i="58"/>
  <c r="L18" i="58" s="1"/>
  <c r="L20" i="58" s="1"/>
  <c r="L36" i="58" s="1"/>
  <c r="K12" i="58"/>
  <c r="K18" i="58" s="1"/>
  <c r="K20" i="58" s="1"/>
  <c r="K36" i="58" s="1"/>
  <c r="J12" i="58"/>
  <c r="J18" i="58" s="1"/>
  <c r="I12" i="58"/>
  <c r="H12" i="58"/>
  <c r="H18" i="58" s="1"/>
  <c r="H20" i="58" s="1"/>
  <c r="H36" i="58" s="1"/>
  <c r="G12" i="58"/>
  <c r="G18" i="58" s="1"/>
  <c r="G20" i="58" s="1"/>
  <c r="G36" i="58" s="1"/>
  <c r="F12" i="58"/>
  <c r="F18" i="58" s="1"/>
  <c r="E12" i="58"/>
  <c r="E18" i="58" s="1"/>
  <c r="D12" i="58"/>
  <c r="C12" i="58"/>
  <c r="C18" i="58" s="1"/>
  <c r="C20" i="58" s="1"/>
  <c r="A10" i="58"/>
  <c r="A11" i="58" s="1"/>
  <c r="A12" i="58" s="1"/>
  <c r="A9" i="58"/>
  <c r="I6" i="58"/>
  <c r="J6" i="58" s="1"/>
  <c r="K6" i="58" s="1"/>
  <c r="L6" i="58" s="1"/>
  <c r="M6" i="58" s="1"/>
  <c r="N6" i="58" s="1"/>
  <c r="O6" i="58" s="1"/>
  <c r="F6" i="58"/>
  <c r="G6" i="58" s="1"/>
  <c r="H6" i="58" s="1"/>
  <c r="E6" i="58"/>
  <c r="D6" i="58"/>
  <c r="O24" i="57"/>
  <c r="N24" i="57"/>
  <c r="M24" i="57"/>
  <c r="K24" i="57"/>
  <c r="J24" i="57"/>
  <c r="I24" i="57"/>
  <c r="G24" i="57"/>
  <c r="F24" i="57"/>
  <c r="C24" i="57"/>
  <c r="O18" i="57"/>
  <c r="N18" i="57"/>
  <c r="M18" i="57"/>
  <c r="L18" i="57"/>
  <c r="L24" i="57" s="1"/>
  <c r="K18" i="57"/>
  <c r="J18" i="57"/>
  <c r="I18" i="57"/>
  <c r="H18" i="57"/>
  <c r="H24" i="57" s="1"/>
  <c r="G18" i="57"/>
  <c r="F18" i="57"/>
  <c r="E18" i="57"/>
  <c r="E24" i="57" s="1"/>
  <c r="D18" i="57"/>
  <c r="D24" i="57" s="1"/>
  <c r="C18" i="57"/>
  <c r="A9" i="57"/>
  <c r="A10" i="57" s="1"/>
  <c r="A11" i="57" s="1"/>
  <c r="A12" i="57" s="1"/>
  <c r="A13" i="57" s="1"/>
  <c r="A14" i="57" s="1"/>
  <c r="A15" i="57" s="1"/>
  <c r="A16" i="57" s="1"/>
  <c r="A17" i="57" s="1"/>
  <c r="A18" i="57" s="1"/>
  <c r="A19" i="57" s="1"/>
  <c r="A20" i="57" s="1"/>
  <c r="A21" i="57" s="1"/>
  <c r="A22" i="57" s="1"/>
  <c r="A23" i="57" s="1"/>
  <c r="A24" i="57" s="1"/>
  <c r="A25" i="57" s="1"/>
  <c r="A26" i="57" s="1"/>
  <c r="A27" i="57" s="1"/>
  <c r="A28" i="57" s="1"/>
  <c r="E6" i="57"/>
  <c r="F6" i="57" s="1"/>
  <c r="G6" i="57" s="1"/>
  <c r="H6" i="57" s="1"/>
  <c r="I6" i="57" s="1"/>
  <c r="J6" i="57" s="1"/>
  <c r="K6" i="57" s="1"/>
  <c r="L6" i="57" s="1"/>
  <c r="M6" i="57" s="1"/>
  <c r="N6" i="57" s="1"/>
  <c r="O6" i="57" s="1"/>
  <c r="D6" i="57"/>
  <c r="M42" i="56"/>
  <c r="L42" i="56"/>
  <c r="H42" i="56"/>
  <c r="E42" i="56"/>
  <c r="D42" i="56"/>
  <c r="O32" i="56"/>
  <c r="O42" i="56" s="1"/>
  <c r="N32" i="56"/>
  <c r="N42" i="56" s="1"/>
  <c r="M32" i="56"/>
  <c r="L32" i="56"/>
  <c r="K32" i="56"/>
  <c r="K42" i="56" s="1"/>
  <c r="J32" i="56"/>
  <c r="J42" i="56" s="1"/>
  <c r="I32" i="56"/>
  <c r="I42" i="56" s="1"/>
  <c r="H32" i="56"/>
  <c r="G32" i="56"/>
  <c r="G42" i="56" s="1"/>
  <c r="F32" i="56"/>
  <c r="F42" i="56" s="1"/>
  <c r="E32" i="56"/>
  <c r="D32" i="56"/>
  <c r="C32" i="56"/>
  <c r="C42" i="56" s="1"/>
  <c r="J20" i="56"/>
  <c r="O18" i="56"/>
  <c r="N18" i="56"/>
  <c r="M18" i="56"/>
  <c r="L18" i="56"/>
  <c r="K18" i="56"/>
  <c r="J18" i="56"/>
  <c r="I18" i="56"/>
  <c r="H18" i="56"/>
  <c r="G18" i="56"/>
  <c r="F18" i="56"/>
  <c r="E18" i="56"/>
  <c r="D18" i="56"/>
  <c r="C18" i="56"/>
  <c r="O14" i="56"/>
  <c r="O20" i="56" s="1"/>
  <c r="N14" i="56"/>
  <c r="N20" i="56" s="1"/>
  <c r="N22" i="56" s="1"/>
  <c r="N40" i="56" s="1"/>
  <c r="M14" i="56"/>
  <c r="M20" i="56" s="1"/>
  <c r="L14" i="56"/>
  <c r="L20" i="56" s="1"/>
  <c r="K14" i="56"/>
  <c r="K20" i="56" s="1"/>
  <c r="J14" i="56"/>
  <c r="I14" i="56"/>
  <c r="I20" i="56" s="1"/>
  <c r="H14" i="56"/>
  <c r="H20" i="56" s="1"/>
  <c r="G14" i="56"/>
  <c r="G20" i="56" s="1"/>
  <c r="F14" i="56"/>
  <c r="F20" i="56" s="1"/>
  <c r="F22" i="56" s="1"/>
  <c r="F40" i="56" s="1"/>
  <c r="E14" i="56"/>
  <c r="E20" i="56" s="1"/>
  <c r="D14" i="56"/>
  <c r="D20" i="56" s="1"/>
  <c r="C14" i="56"/>
  <c r="C20" i="56" s="1"/>
  <c r="A13" i="56"/>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O10" i="56"/>
  <c r="O22" i="56" s="1"/>
  <c r="O40" i="56" s="1"/>
  <c r="N10" i="56"/>
  <c r="M10" i="56"/>
  <c r="L10" i="56"/>
  <c r="K10" i="56"/>
  <c r="K22" i="56" s="1"/>
  <c r="K40" i="56" s="1"/>
  <c r="J10" i="56"/>
  <c r="J22" i="56" s="1"/>
  <c r="J40" i="56" s="1"/>
  <c r="I10" i="56"/>
  <c r="H10" i="56"/>
  <c r="G10" i="56"/>
  <c r="G22" i="56" s="1"/>
  <c r="G40" i="56" s="1"/>
  <c r="F10" i="56"/>
  <c r="E10" i="56"/>
  <c r="D10" i="56"/>
  <c r="C10" i="56"/>
  <c r="C22" i="56" s="1"/>
  <c r="A10" i="56"/>
  <c r="A11" i="56" s="1"/>
  <c r="A12" i="56" s="1"/>
  <c r="A9" i="56"/>
  <c r="E6" i="56"/>
  <c r="F6" i="56" s="1"/>
  <c r="G6" i="56" s="1"/>
  <c r="H6" i="56" s="1"/>
  <c r="I6" i="56" s="1"/>
  <c r="J6" i="56" s="1"/>
  <c r="K6" i="56" s="1"/>
  <c r="L6" i="56" s="1"/>
  <c r="M6" i="56" s="1"/>
  <c r="N6" i="56" s="1"/>
  <c r="O6" i="56" s="1"/>
  <c r="D6" i="56"/>
  <c r="N42" i="55"/>
  <c r="M42" i="55"/>
  <c r="J42" i="55"/>
  <c r="I42" i="55"/>
  <c r="F42" i="55"/>
  <c r="E42" i="55"/>
  <c r="O32" i="55"/>
  <c r="O42" i="55" s="1"/>
  <c r="N32" i="55"/>
  <c r="M32" i="55"/>
  <c r="L32" i="55"/>
  <c r="L42" i="55" s="1"/>
  <c r="K32" i="55"/>
  <c r="K42" i="55" s="1"/>
  <c r="J32" i="55"/>
  <c r="I32" i="55"/>
  <c r="H32" i="55"/>
  <c r="H42" i="55" s="1"/>
  <c r="G32" i="55"/>
  <c r="G42" i="55" s="1"/>
  <c r="F32" i="55"/>
  <c r="E32" i="55"/>
  <c r="D32" i="55"/>
  <c r="D42" i="55" s="1"/>
  <c r="C32" i="55"/>
  <c r="C42" i="55" s="1"/>
  <c r="O20" i="55"/>
  <c r="K20" i="55"/>
  <c r="G20" i="55"/>
  <c r="C20" i="55"/>
  <c r="O18" i="55"/>
  <c r="N18" i="55"/>
  <c r="N20" i="55" s="1"/>
  <c r="M18" i="55"/>
  <c r="L18" i="55"/>
  <c r="K18" i="55"/>
  <c r="J18" i="55"/>
  <c r="I18" i="55"/>
  <c r="H18" i="55"/>
  <c r="G18" i="55"/>
  <c r="F18" i="55"/>
  <c r="F20" i="55" s="1"/>
  <c r="E18" i="55"/>
  <c r="D18" i="55"/>
  <c r="C18" i="55"/>
  <c r="O14" i="55"/>
  <c r="N14" i="55"/>
  <c r="M14" i="55"/>
  <c r="L14" i="55"/>
  <c r="L20" i="55" s="1"/>
  <c r="L22" i="55" s="1"/>
  <c r="L40" i="55" s="1"/>
  <c r="K14" i="55"/>
  <c r="J14" i="55"/>
  <c r="J20" i="55" s="1"/>
  <c r="I14" i="55"/>
  <c r="H14" i="55"/>
  <c r="H20" i="55" s="1"/>
  <c r="G14" i="55"/>
  <c r="F14" i="55"/>
  <c r="E14" i="55"/>
  <c r="D14" i="55"/>
  <c r="D20" i="55" s="1"/>
  <c r="D22" i="55" s="1"/>
  <c r="D40" i="55" s="1"/>
  <c r="C14" i="55"/>
  <c r="A11" i="55"/>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O10" i="55"/>
  <c r="O22" i="55" s="1"/>
  <c r="O40" i="55" s="1"/>
  <c r="N10" i="55"/>
  <c r="M10" i="55"/>
  <c r="L10" i="55"/>
  <c r="K10" i="55"/>
  <c r="K22" i="55" s="1"/>
  <c r="K40" i="55" s="1"/>
  <c r="J10" i="55"/>
  <c r="I10" i="55"/>
  <c r="H10" i="55"/>
  <c r="H22" i="55" s="1"/>
  <c r="H40" i="55" s="1"/>
  <c r="G10" i="55"/>
  <c r="G22" i="55" s="1"/>
  <c r="G40" i="55" s="1"/>
  <c r="F10" i="55"/>
  <c r="E10" i="55"/>
  <c r="D10" i="55"/>
  <c r="C10" i="55"/>
  <c r="C22" i="55" s="1"/>
  <c r="A9" i="55"/>
  <c r="A10" i="55" s="1"/>
  <c r="D6" i="55"/>
  <c r="E6" i="55" s="1"/>
  <c r="F6" i="55" s="1"/>
  <c r="G6" i="55" s="1"/>
  <c r="H6" i="55" s="1"/>
  <c r="I6" i="55" s="1"/>
  <c r="J6" i="55" s="1"/>
  <c r="K6" i="55" s="1"/>
  <c r="L6" i="55" s="1"/>
  <c r="M6" i="55" s="1"/>
  <c r="N6" i="55" s="1"/>
  <c r="O6" i="55" s="1"/>
  <c r="N42" i="54"/>
  <c r="J42" i="54"/>
  <c r="F42" i="54"/>
  <c r="M40" i="54"/>
  <c r="E40" i="54"/>
  <c r="O32" i="54"/>
  <c r="O42" i="54" s="1"/>
  <c r="N32" i="54"/>
  <c r="M32" i="54"/>
  <c r="M42" i="54" s="1"/>
  <c r="L32" i="54"/>
  <c r="L42" i="54" s="1"/>
  <c r="K32" i="54"/>
  <c r="K42" i="54" s="1"/>
  <c r="J32" i="54"/>
  <c r="I32" i="54"/>
  <c r="I42" i="54" s="1"/>
  <c r="H32" i="54"/>
  <c r="H42" i="54" s="1"/>
  <c r="G32" i="54"/>
  <c r="G42" i="54" s="1"/>
  <c r="F32" i="54"/>
  <c r="E32" i="54"/>
  <c r="E42" i="54" s="1"/>
  <c r="D32" i="54"/>
  <c r="D42" i="54" s="1"/>
  <c r="C32" i="54"/>
  <c r="C42" i="54" s="1"/>
  <c r="M22" i="54"/>
  <c r="E22" i="54"/>
  <c r="O18" i="54"/>
  <c r="N18" i="54"/>
  <c r="M18" i="54"/>
  <c r="L18" i="54"/>
  <c r="K18" i="54"/>
  <c r="J18" i="54"/>
  <c r="I18" i="54"/>
  <c r="H18" i="54"/>
  <c r="G18" i="54"/>
  <c r="F18" i="54"/>
  <c r="E18" i="54"/>
  <c r="D18" i="54"/>
  <c r="C18" i="54"/>
  <c r="O14" i="54"/>
  <c r="O20" i="54" s="1"/>
  <c r="N14" i="54"/>
  <c r="M14" i="54"/>
  <c r="M20" i="54" s="1"/>
  <c r="L14" i="54"/>
  <c r="L20" i="54" s="1"/>
  <c r="L22" i="54" s="1"/>
  <c r="L40" i="54" s="1"/>
  <c r="K14" i="54"/>
  <c r="K20" i="54" s="1"/>
  <c r="J14" i="54"/>
  <c r="I14" i="54"/>
  <c r="I20" i="54" s="1"/>
  <c r="H14" i="54"/>
  <c r="H20" i="54" s="1"/>
  <c r="G14" i="54"/>
  <c r="G20" i="54" s="1"/>
  <c r="F14" i="54"/>
  <c r="E14" i="54"/>
  <c r="E20" i="54" s="1"/>
  <c r="D14" i="54"/>
  <c r="D20" i="54" s="1"/>
  <c r="D22" i="54" s="1"/>
  <c r="D40" i="54" s="1"/>
  <c r="C14" i="54"/>
  <c r="C20" i="54" s="1"/>
  <c r="O10" i="54"/>
  <c r="N10" i="54"/>
  <c r="M10" i="54"/>
  <c r="L10" i="54"/>
  <c r="K10" i="54"/>
  <c r="J10" i="54"/>
  <c r="I10" i="54"/>
  <c r="I22" i="54" s="1"/>
  <c r="I40" i="54" s="1"/>
  <c r="H10" i="54"/>
  <c r="H22" i="54" s="1"/>
  <c r="H40" i="54" s="1"/>
  <c r="G10" i="54"/>
  <c r="F10" i="54"/>
  <c r="E10" i="54"/>
  <c r="D10" i="54"/>
  <c r="C10" i="54"/>
  <c r="A9" i="54"/>
  <c r="A10" i="54" s="1"/>
  <c r="A11" i="54" s="1"/>
  <c r="A12" i="54" s="1"/>
  <c r="A13" i="54" s="1"/>
  <c r="A14" i="54" s="1"/>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D6" i="54"/>
  <c r="E6" i="54" s="1"/>
  <c r="F6" i="54" s="1"/>
  <c r="G6" i="54" s="1"/>
  <c r="H6" i="54" s="1"/>
  <c r="I6" i="54" s="1"/>
  <c r="J6" i="54" s="1"/>
  <c r="K6" i="54" s="1"/>
  <c r="L6" i="54" s="1"/>
  <c r="M6" i="54" s="1"/>
  <c r="N6" i="54" s="1"/>
  <c r="O6" i="54" s="1"/>
  <c r="O42" i="53"/>
  <c r="K42" i="53"/>
  <c r="H42" i="53"/>
  <c r="G42" i="53"/>
  <c r="C42" i="53"/>
  <c r="O32" i="53"/>
  <c r="N32" i="53"/>
  <c r="N42" i="53" s="1"/>
  <c r="M32" i="53"/>
  <c r="M42" i="53" s="1"/>
  <c r="L32" i="53"/>
  <c r="L42" i="53" s="1"/>
  <c r="K32" i="53"/>
  <c r="J32" i="53"/>
  <c r="J42" i="53" s="1"/>
  <c r="I32" i="53"/>
  <c r="I42" i="53" s="1"/>
  <c r="H32" i="53"/>
  <c r="G32" i="53"/>
  <c r="F32" i="53"/>
  <c r="F42" i="53" s="1"/>
  <c r="E32" i="53"/>
  <c r="E42" i="53" s="1"/>
  <c r="D32" i="53"/>
  <c r="D42" i="53" s="1"/>
  <c r="C32" i="53"/>
  <c r="O22" i="53"/>
  <c r="O40" i="53" s="1"/>
  <c r="E22" i="53"/>
  <c r="E40" i="53" s="1"/>
  <c r="I20" i="53"/>
  <c r="E20" i="53"/>
  <c r="D20" i="53"/>
  <c r="O18" i="53"/>
  <c r="N18" i="53"/>
  <c r="M18" i="53"/>
  <c r="L18" i="53"/>
  <c r="K18" i="53"/>
  <c r="J18" i="53"/>
  <c r="I18" i="53"/>
  <c r="H18" i="53"/>
  <c r="G18" i="53"/>
  <c r="F18" i="53"/>
  <c r="E18" i="53"/>
  <c r="D18" i="53"/>
  <c r="C18" i="53"/>
  <c r="O14" i="53"/>
  <c r="O20" i="53" s="1"/>
  <c r="N14" i="53"/>
  <c r="N20" i="53" s="1"/>
  <c r="M14" i="53"/>
  <c r="M20" i="53" s="1"/>
  <c r="M22" i="53" s="1"/>
  <c r="M40" i="53" s="1"/>
  <c r="L14" i="53"/>
  <c r="L20" i="53" s="1"/>
  <c r="K14" i="53"/>
  <c r="K20" i="53" s="1"/>
  <c r="J14" i="53"/>
  <c r="J20" i="53" s="1"/>
  <c r="I14" i="53"/>
  <c r="H14" i="53"/>
  <c r="H20" i="53" s="1"/>
  <c r="G14" i="53"/>
  <c r="G20" i="53" s="1"/>
  <c r="F14" i="53"/>
  <c r="F20" i="53" s="1"/>
  <c r="E14" i="53"/>
  <c r="D14" i="53"/>
  <c r="C14" i="53"/>
  <c r="C20" i="53" s="1"/>
  <c r="O10" i="53"/>
  <c r="N10" i="53"/>
  <c r="N22" i="53" s="1"/>
  <c r="N40" i="53" s="1"/>
  <c r="M10" i="53"/>
  <c r="L10" i="53"/>
  <c r="K10" i="53"/>
  <c r="K22" i="53" s="1"/>
  <c r="K40" i="53" s="1"/>
  <c r="J10" i="53"/>
  <c r="J22" i="53" s="1"/>
  <c r="J40" i="53" s="1"/>
  <c r="I10" i="53"/>
  <c r="I22" i="53" s="1"/>
  <c r="I40" i="53" s="1"/>
  <c r="H10" i="53"/>
  <c r="G10" i="53"/>
  <c r="G22" i="53" s="1"/>
  <c r="G40" i="53" s="1"/>
  <c r="F10" i="53"/>
  <c r="F22" i="53" s="1"/>
  <c r="F40" i="53" s="1"/>
  <c r="E10" i="53"/>
  <c r="D10" i="53"/>
  <c r="C10" i="53"/>
  <c r="C22" i="53" s="1"/>
  <c r="A10" i="53"/>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9" i="53"/>
  <c r="D6" i="53"/>
  <c r="E6" i="53" s="1"/>
  <c r="F6" i="53" s="1"/>
  <c r="G6" i="53" s="1"/>
  <c r="H6" i="53" s="1"/>
  <c r="I6" i="53" s="1"/>
  <c r="J6" i="53" s="1"/>
  <c r="K6" i="53" s="1"/>
  <c r="L6" i="53" s="1"/>
  <c r="M6" i="53" s="1"/>
  <c r="N6" i="53" s="1"/>
  <c r="O6" i="53" s="1"/>
  <c r="F42" i="52"/>
  <c r="O32" i="52"/>
  <c r="O42" i="52" s="1"/>
  <c r="N32" i="52"/>
  <c r="N42" i="52" s="1"/>
  <c r="M32" i="52"/>
  <c r="M42" i="52" s="1"/>
  <c r="L32" i="52"/>
  <c r="L42" i="52" s="1"/>
  <c r="K32" i="52"/>
  <c r="K42" i="52" s="1"/>
  <c r="J32" i="52"/>
  <c r="J42" i="52" s="1"/>
  <c r="I32" i="52"/>
  <c r="I42" i="52" s="1"/>
  <c r="H32" i="52"/>
  <c r="H42" i="52" s="1"/>
  <c r="G32" i="52"/>
  <c r="G42" i="52" s="1"/>
  <c r="F32" i="52"/>
  <c r="E32" i="52"/>
  <c r="E42" i="52" s="1"/>
  <c r="D32" i="52"/>
  <c r="D42" i="52" s="1"/>
  <c r="C32" i="52"/>
  <c r="C42" i="52" s="1"/>
  <c r="O18" i="52"/>
  <c r="N18" i="52"/>
  <c r="M18" i="52"/>
  <c r="L18" i="52"/>
  <c r="K18" i="52"/>
  <c r="J18" i="52"/>
  <c r="I18" i="52"/>
  <c r="H18" i="52"/>
  <c r="G18" i="52"/>
  <c r="F18" i="52"/>
  <c r="E18" i="52"/>
  <c r="D18" i="52"/>
  <c r="C18" i="52"/>
  <c r="O14" i="52"/>
  <c r="O20" i="52" s="1"/>
  <c r="N14" i="52"/>
  <c r="N20" i="52" s="1"/>
  <c r="M14" i="52"/>
  <c r="M20" i="52" s="1"/>
  <c r="L14" i="52"/>
  <c r="L20" i="52" s="1"/>
  <c r="K14" i="52"/>
  <c r="K20" i="52" s="1"/>
  <c r="J14" i="52"/>
  <c r="J20" i="52" s="1"/>
  <c r="I14" i="52"/>
  <c r="I20" i="52" s="1"/>
  <c r="H14" i="52"/>
  <c r="H20" i="52" s="1"/>
  <c r="G14" i="52"/>
  <c r="G20" i="52" s="1"/>
  <c r="F14" i="52"/>
  <c r="F20" i="52" s="1"/>
  <c r="E14" i="52"/>
  <c r="E20" i="52" s="1"/>
  <c r="D14" i="52"/>
  <c r="D20" i="52" s="1"/>
  <c r="C14" i="52"/>
  <c r="C20" i="52" s="1"/>
  <c r="A12" i="52"/>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O10" i="52"/>
  <c r="O22" i="52" s="1"/>
  <c r="O40" i="52" s="1"/>
  <c r="N10" i="52"/>
  <c r="M10" i="52"/>
  <c r="L10" i="52"/>
  <c r="L22" i="52" s="1"/>
  <c r="L40" i="52" s="1"/>
  <c r="K10" i="52"/>
  <c r="K22" i="52" s="1"/>
  <c r="K40" i="52" s="1"/>
  <c r="J10" i="52"/>
  <c r="I10" i="52"/>
  <c r="H10" i="52"/>
  <c r="H22" i="52" s="1"/>
  <c r="H40" i="52" s="1"/>
  <c r="G10" i="52"/>
  <c r="G22" i="52" s="1"/>
  <c r="G40" i="52" s="1"/>
  <c r="F10" i="52"/>
  <c r="E10" i="52"/>
  <c r="D10" i="52"/>
  <c r="D22" i="52" s="1"/>
  <c r="D40" i="52" s="1"/>
  <c r="C10" i="52"/>
  <c r="C22" i="52" s="1"/>
  <c r="A9" i="52"/>
  <c r="A10" i="52" s="1"/>
  <c r="A11" i="52" s="1"/>
  <c r="D6" i="52"/>
  <c r="E6" i="52" s="1"/>
  <c r="F6" i="52" s="1"/>
  <c r="G6" i="52" s="1"/>
  <c r="H6" i="52" s="1"/>
  <c r="I6" i="52" s="1"/>
  <c r="J6" i="52" s="1"/>
  <c r="K6" i="52" s="1"/>
  <c r="L6" i="52" s="1"/>
  <c r="M6" i="52" s="1"/>
  <c r="N6" i="52" s="1"/>
  <c r="O6" i="52" s="1"/>
  <c r="L42" i="51"/>
  <c r="H42" i="51"/>
  <c r="D42" i="51"/>
  <c r="O32" i="51"/>
  <c r="O42" i="51" s="1"/>
  <c r="N32" i="51"/>
  <c r="N42" i="51" s="1"/>
  <c r="M32" i="51"/>
  <c r="M42" i="51" s="1"/>
  <c r="L32" i="51"/>
  <c r="K32" i="51"/>
  <c r="K42" i="51" s="1"/>
  <c r="J32" i="51"/>
  <c r="J42" i="51" s="1"/>
  <c r="I32" i="51"/>
  <c r="I42" i="51" s="1"/>
  <c r="H32" i="51"/>
  <c r="G32" i="51"/>
  <c r="G42" i="51" s="1"/>
  <c r="F32" i="51"/>
  <c r="F42" i="51" s="1"/>
  <c r="E32" i="51"/>
  <c r="E42" i="51" s="1"/>
  <c r="D32" i="51"/>
  <c r="C32" i="51"/>
  <c r="C42" i="51" s="1"/>
  <c r="N22" i="51"/>
  <c r="N40" i="51" s="1"/>
  <c r="O18" i="51"/>
  <c r="N18" i="51"/>
  <c r="M18" i="51"/>
  <c r="L18" i="51"/>
  <c r="K18" i="51"/>
  <c r="J18" i="51"/>
  <c r="I18" i="51"/>
  <c r="H18" i="51"/>
  <c r="G18" i="51"/>
  <c r="F18" i="51"/>
  <c r="E18" i="51"/>
  <c r="D18" i="51"/>
  <c r="C18" i="51"/>
  <c r="O14" i="51"/>
  <c r="O20" i="51" s="1"/>
  <c r="N14" i="51"/>
  <c r="N20" i="51" s="1"/>
  <c r="M14" i="51"/>
  <c r="M20" i="51" s="1"/>
  <c r="L14" i="51"/>
  <c r="K14" i="51"/>
  <c r="K20" i="51" s="1"/>
  <c r="J14" i="51"/>
  <c r="J20" i="51" s="1"/>
  <c r="I14" i="51"/>
  <c r="I20" i="51" s="1"/>
  <c r="H14" i="51"/>
  <c r="G14" i="51"/>
  <c r="G20" i="51" s="1"/>
  <c r="F14" i="51"/>
  <c r="F20" i="51" s="1"/>
  <c r="F22" i="51" s="1"/>
  <c r="F40" i="51" s="1"/>
  <c r="E14" i="51"/>
  <c r="E20" i="51" s="1"/>
  <c r="D14" i="51"/>
  <c r="C14" i="51"/>
  <c r="C20" i="51" s="1"/>
  <c r="A13" i="5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O10" i="51"/>
  <c r="O22" i="51" s="1"/>
  <c r="O40" i="51" s="1"/>
  <c r="N10" i="51"/>
  <c r="M10" i="51"/>
  <c r="L10" i="51"/>
  <c r="K10" i="51"/>
  <c r="K22" i="51" s="1"/>
  <c r="K40" i="51" s="1"/>
  <c r="J10" i="51"/>
  <c r="J22" i="51" s="1"/>
  <c r="J40" i="51" s="1"/>
  <c r="I10" i="51"/>
  <c r="H10" i="51"/>
  <c r="G10" i="51"/>
  <c r="G22" i="51" s="1"/>
  <c r="G40" i="51" s="1"/>
  <c r="F10" i="51"/>
  <c r="E10" i="51"/>
  <c r="D10" i="51"/>
  <c r="C10" i="51"/>
  <c r="C22" i="51" s="1"/>
  <c r="A10" i="51"/>
  <c r="A11" i="51" s="1"/>
  <c r="A12" i="51" s="1"/>
  <c r="A9" i="51"/>
  <c r="I6" i="51"/>
  <c r="J6" i="51" s="1"/>
  <c r="K6" i="51" s="1"/>
  <c r="L6" i="51" s="1"/>
  <c r="M6" i="51" s="1"/>
  <c r="N6" i="51" s="1"/>
  <c r="O6" i="51" s="1"/>
  <c r="E6" i="51"/>
  <c r="F6" i="51" s="1"/>
  <c r="G6" i="51" s="1"/>
  <c r="H6" i="51" s="1"/>
  <c r="D6" i="51"/>
  <c r="C40" i="52" l="1"/>
  <c r="I22" i="51"/>
  <c r="I40" i="51" s="1"/>
  <c r="E22" i="52"/>
  <c r="E40" i="52" s="1"/>
  <c r="I22" i="52"/>
  <c r="I40" i="52" s="1"/>
  <c r="M22" i="52"/>
  <c r="M40" i="52" s="1"/>
  <c r="C40" i="51"/>
  <c r="D22" i="51"/>
  <c r="D40" i="51" s="1"/>
  <c r="H22" i="51"/>
  <c r="H40" i="51" s="1"/>
  <c r="C40" i="53"/>
  <c r="C40" i="56"/>
  <c r="E22" i="51"/>
  <c r="E40" i="51" s="1"/>
  <c r="M22" i="51"/>
  <c r="M40" i="51" s="1"/>
  <c r="C40" i="55"/>
  <c r="D20" i="51"/>
  <c r="H20" i="51"/>
  <c r="L20" i="51"/>
  <c r="L22" i="51" s="1"/>
  <c r="L40" i="51" s="1"/>
  <c r="F22" i="52"/>
  <c r="F40" i="52" s="1"/>
  <c r="J22" i="52"/>
  <c r="J40" i="52" s="1"/>
  <c r="N22" i="52"/>
  <c r="N40" i="52" s="1"/>
  <c r="J22" i="54"/>
  <c r="J40" i="54" s="1"/>
  <c r="C36" i="62"/>
  <c r="C22" i="54"/>
  <c r="K22" i="54"/>
  <c r="K40" i="54" s="1"/>
  <c r="E20" i="55"/>
  <c r="M20" i="55"/>
  <c r="M22" i="55" s="1"/>
  <c r="M40" i="55" s="1"/>
  <c r="H22" i="56"/>
  <c r="H40" i="56" s="1"/>
  <c r="D22" i="53"/>
  <c r="D40" i="53" s="1"/>
  <c r="H22" i="53"/>
  <c r="H40" i="53" s="1"/>
  <c r="L22" i="53"/>
  <c r="L40" i="53" s="1"/>
  <c r="E22" i="55"/>
  <c r="E40" i="55" s="1"/>
  <c r="I22" i="55"/>
  <c r="I40" i="55" s="1"/>
  <c r="E22" i="56"/>
  <c r="E40" i="56" s="1"/>
  <c r="I22" i="56"/>
  <c r="I40" i="56" s="1"/>
  <c r="M22" i="56"/>
  <c r="M40" i="56" s="1"/>
  <c r="C36" i="60"/>
  <c r="N22" i="54"/>
  <c r="N40" i="54" s="1"/>
  <c r="C36" i="58"/>
  <c r="G22" i="54"/>
  <c r="G40" i="54" s="1"/>
  <c r="O22" i="54"/>
  <c r="O40" i="54" s="1"/>
  <c r="I20" i="55"/>
  <c r="D22" i="56"/>
  <c r="D40" i="56" s="1"/>
  <c r="L22" i="56"/>
  <c r="L40" i="56" s="1"/>
  <c r="F20" i="54"/>
  <c r="F22" i="54" s="1"/>
  <c r="F40" i="54" s="1"/>
  <c r="J20" i="54"/>
  <c r="N20" i="54"/>
  <c r="F22" i="55"/>
  <c r="F40" i="55" s="1"/>
  <c r="J22" i="55"/>
  <c r="J40" i="55" s="1"/>
  <c r="N22" i="55"/>
  <c r="N40" i="55" s="1"/>
  <c r="H18" i="60"/>
  <c r="H20" i="60" s="1"/>
  <c r="H36" i="60" s="1"/>
  <c r="C36" i="61"/>
  <c r="C18" i="59"/>
  <c r="C20" i="59" s="1"/>
  <c r="G18" i="59"/>
  <c r="G20" i="59" s="1"/>
  <c r="G36" i="59" s="1"/>
  <c r="K18" i="59"/>
  <c r="K20" i="59" s="1"/>
  <c r="K36" i="59" s="1"/>
  <c r="O18" i="59"/>
  <c r="O20" i="59" s="1"/>
  <c r="O36" i="59" s="1"/>
  <c r="C36" i="63"/>
  <c r="C40" i="54" l="1"/>
  <c r="C36" i="59"/>
  <c r="C26" i="51" l="1"/>
  <c r="C34" i="51" l="1"/>
  <c r="C24" i="61"/>
  <c r="C24" i="59"/>
  <c r="C24" i="63"/>
  <c r="C24" i="58"/>
  <c r="C32" i="59" l="1"/>
  <c r="D24" i="61"/>
  <c r="C32" i="63"/>
  <c r="D24" i="59"/>
  <c r="C32" i="61"/>
  <c r="C32" i="58"/>
  <c r="D24" i="58"/>
  <c r="D24" i="63"/>
  <c r="C26" i="55"/>
  <c r="C26" i="54"/>
  <c r="C26" i="56"/>
  <c r="C24" i="62"/>
  <c r="C24" i="60"/>
  <c r="C26" i="53"/>
  <c r="C26" i="52"/>
  <c r="D32" i="63" l="1"/>
  <c r="D32" i="61"/>
  <c r="D32" i="59"/>
  <c r="C34" i="52"/>
  <c r="C34" i="56"/>
  <c r="D26" i="52"/>
  <c r="C34" i="54"/>
  <c r="C32" i="62"/>
  <c r="E24" i="58"/>
  <c r="D26" i="55"/>
  <c r="E24" i="61"/>
  <c r="C34" i="55"/>
  <c r="C32" i="60"/>
  <c r="D26" i="56"/>
  <c r="C34" i="53"/>
  <c r="E24" i="59"/>
  <c r="D24" i="62"/>
  <c r="D26" i="54"/>
  <c r="D32" i="58"/>
  <c r="D34" i="55" l="1"/>
  <c r="E32" i="61"/>
  <c r="D26" i="53"/>
  <c r="D26" i="51"/>
  <c r="E26" i="51" s="1"/>
  <c r="D34" i="51"/>
  <c r="E34" i="51" s="1"/>
  <c r="E32" i="59"/>
  <c r="D34" i="54"/>
  <c r="E24" i="62"/>
  <c r="D24" i="60"/>
  <c r="D32" i="62"/>
  <c r="D34" i="56"/>
  <c r="F24" i="59"/>
  <c r="E26" i="56"/>
  <c r="E26" i="52"/>
  <c r="E26" i="54"/>
  <c r="E32" i="58"/>
  <c r="F24" i="61"/>
  <c r="E26" i="55"/>
  <c r="D34" i="53"/>
  <c r="D34" i="52"/>
  <c r="F24" i="58"/>
  <c r="F34" i="51" l="1"/>
  <c r="E24" i="60"/>
  <c r="E34" i="55"/>
  <c r="F26" i="51"/>
  <c r="E34" i="53"/>
  <c r="F34" i="53" s="1"/>
  <c r="E26" i="53"/>
  <c r="F26" i="53" s="1"/>
  <c r="F24" i="62"/>
  <c r="F32" i="61"/>
  <c r="F26" i="54"/>
  <c r="F26" i="56"/>
  <c r="E34" i="52"/>
  <c r="F32" i="58"/>
  <c r="E34" i="56"/>
  <c r="E34" i="54"/>
  <c r="F34" i="54" s="1"/>
  <c r="D32" i="60"/>
  <c r="E32" i="60" s="1"/>
  <c r="E24" i="63"/>
  <c r="E32" i="63"/>
  <c r="G24" i="61"/>
  <c r="G24" i="59"/>
  <c r="G34" i="51"/>
  <c r="F26" i="52"/>
  <c r="E32" i="62"/>
  <c r="F32" i="59"/>
  <c r="G26" i="51" l="1"/>
  <c r="F24" i="60"/>
  <c r="F32" i="60"/>
  <c r="F34" i="56"/>
  <c r="G34" i="54"/>
  <c r="G32" i="59"/>
  <c r="F24" i="63"/>
  <c r="G24" i="63" s="1"/>
  <c r="G26" i="52"/>
  <c r="F32" i="63"/>
  <c r="G32" i="63" s="1"/>
  <c r="G24" i="58"/>
  <c r="H24" i="61"/>
  <c r="G24" i="62"/>
  <c r="H24" i="59"/>
  <c r="H34" i="51"/>
  <c r="F32" i="62"/>
  <c r="F34" i="52"/>
  <c r="G32" i="61"/>
  <c r="G32" i="60" l="1"/>
  <c r="G26" i="54"/>
  <c r="H24" i="63"/>
  <c r="G34" i="52"/>
  <c r="H26" i="51"/>
  <c r="H32" i="63"/>
  <c r="H32" i="61"/>
  <c r="H26" i="54"/>
  <c r="H32" i="59"/>
  <c r="G24" i="60"/>
  <c r="H24" i="58"/>
  <c r="F26" i="55"/>
  <c r="F34" i="55"/>
  <c r="I24" i="59"/>
  <c r="I34" i="51"/>
  <c r="G32" i="62"/>
  <c r="G32" i="58"/>
  <c r="H32" i="58" s="1"/>
  <c r="H32" i="60" l="1"/>
  <c r="H34" i="54"/>
  <c r="I32" i="58"/>
  <c r="J32" i="58" s="1"/>
  <c r="I26" i="51"/>
  <c r="I32" i="59"/>
  <c r="I32" i="61"/>
  <c r="I24" i="58"/>
  <c r="J34" i="51"/>
  <c r="G26" i="56"/>
  <c r="G34" i="56"/>
  <c r="I24" i="61"/>
  <c r="G34" i="53"/>
  <c r="H34" i="53" s="1"/>
  <c r="G26" i="53"/>
  <c r="H26" i="53" s="1"/>
  <c r="G26" i="55"/>
  <c r="H26" i="55" s="1"/>
  <c r="H24" i="62"/>
  <c r="G34" i="55"/>
  <c r="H34" i="55" s="1"/>
  <c r="H24" i="60"/>
  <c r="I34" i="54" l="1"/>
  <c r="I32" i="60"/>
  <c r="I26" i="54"/>
  <c r="H32" i="62"/>
  <c r="I32" i="62" s="1"/>
  <c r="J32" i="59"/>
  <c r="J26" i="51"/>
  <c r="J24" i="58"/>
  <c r="J32" i="61"/>
  <c r="I24" i="60"/>
  <c r="I34" i="55"/>
  <c r="J34" i="55" s="1"/>
  <c r="I24" i="62"/>
  <c r="J24" i="62" s="1"/>
  <c r="I26" i="55"/>
  <c r="I26" i="53"/>
  <c r="H34" i="56"/>
  <c r="I34" i="56" s="1"/>
  <c r="I32" i="63"/>
  <c r="J32" i="63" s="1"/>
  <c r="I24" i="63"/>
  <c r="J24" i="63" s="1"/>
  <c r="J24" i="59"/>
  <c r="H34" i="52"/>
  <c r="I34" i="52" s="1"/>
  <c r="H26" i="52"/>
  <c r="I26" i="52" s="1"/>
  <c r="I34" i="53"/>
  <c r="J24" i="61"/>
  <c r="H26" i="56"/>
  <c r="I26" i="56" s="1"/>
  <c r="K32" i="58"/>
  <c r="J34" i="54" l="1"/>
  <c r="K34" i="54" s="1"/>
  <c r="J32" i="60"/>
  <c r="K32" i="59"/>
  <c r="J34" i="56"/>
  <c r="J26" i="54"/>
  <c r="J32" i="62"/>
  <c r="J26" i="52"/>
  <c r="K34" i="55"/>
  <c r="J34" i="53"/>
  <c r="K24" i="59"/>
  <c r="L32" i="58"/>
  <c r="K24" i="58"/>
  <c r="K24" i="63"/>
  <c r="J26" i="55"/>
  <c r="K34" i="56"/>
  <c r="K32" i="61"/>
  <c r="J26" i="56"/>
  <c r="J34" i="52"/>
  <c r="K32" i="63"/>
  <c r="J24" i="60"/>
  <c r="L32" i="59" l="1"/>
  <c r="M32" i="59" s="1"/>
  <c r="K32" i="60"/>
  <c r="J26" i="53"/>
  <c r="K26" i="54"/>
  <c r="L26" i="54" s="1"/>
  <c r="K32" i="62"/>
  <c r="L32" i="62" s="1"/>
  <c r="K24" i="62"/>
  <c r="L24" i="62" s="1"/>
  <c r="K26" i="55"/>
  <c r="L24" i="59"/>
  <c r="L32" i="63"/>
  <c r="K34" i="52"/>
  <c r="L24" i="63"/>
  <c r="L34" i="54"/>
  <c r="K26" i="52"/>
  <c r="L34" i="56"/>
  <c r="L32" i="61"/>
  <c r="K24" i="60"/>
  <c r="K26" i="56"/>
  <c r="K34" i="53"/>
  <c r="K24" i="61"/>
  <c r="L24" i="61" s="1"/>
  <c r="L34" i="55"/>
  <c r="M32" i="58"/>
  <c r="L32" i="60"/>
  <c r="L24" i="58"/>
  <c r="K26" i="51"/>
  <c r="L26" i="51" s="1"/>
  <c r="K34" i="51"/>
  <c r="L34" i="51" s="1"/>
  <c r="M24" i="58" l="1"/>
  <c r="M24" i="63"/>
  <c r="M26" i="51"/>
  <c r="L26" i="52"/>
  <c r="L26" i="55"/>
  <c r="L34" i="53"/>
  <c r="L26" i="56"/>
  <c r="M32" i="63"/>
  <c r="K26" i="53"/>
  <c r="L26" i="53" s="1"/>
  <c r="M24" i="59"/>
  <c r="M32" i="60"/>
  <c r="L34" i="52"/>
  <c r="N32" i="59"/>
  <c r="L24" i="60"/>
  <c r="M32" i="61"/>
  <c r="N26" i="51"/>
  <c r="M32" i="62"/>
  <c r="M34" i="51"/>
  <c r="M24" i="61"/>
  <c r="N24" i="63" l="1"/>
  <c r="N34" i="51"/>
  <c r="M26" i="55"/>
  <c r="M24" i="60"/>
  <c r="M34" i="53"/>
  <c r="M26" i="53"/>
  <c r="M26" i="52"/>
  <c r="M26" i="56"/>
  <c r="N26" i="56" s="1"/>
  <c r="M34" i="55"/>
  <c r="O34" i="51"/>
  <c r="M26" i="54"/>
  <c r="M34" i="54"/>
  <c r="M24" i="62"/>
  <c r="N32" i="63"/>
  <c r="M34" i="56"/>
  <c r="N34" i="56" s="1"/>
  <c r="M34" i="52"/>
  <c r="N24" i="61"/>
  <c r="O32" i="59"/>
  <c r="N24" i="59"/>
  <c r="O24" i="63" l="1"/>
  <c r="N26" i="55"/>
  <c r="O26" i="51"/>
  <c r="N26" i="53"/>
  <c r="N26" i="54"/>
  <c r="O26" i="54" s="1"/>
  <c r="O32" i="63"/>
  <c r="O24" i="61"/>
  <c r="N34" i="55"/>
  <c r="N34" i="53"/>
  <c r="N32" i="61"/>
  <c r="O32" i="61" s="1"/>
  <c r="N34" i="54"/>
  <c r="O34" i="54" s="1"/>
  <c r="N32" i="62"/>
  <c r="O26" i="56"/>
  <c r="N24" i="58"/>
  <c r="O24" i="58" s="1"/>
  <c r="N32" i="58"/>
  <c r="O32" i="58" s="1"/>
  <c r="N26" i="52"/>
  <c r="O24" i="59"/>
  <c r="O34" i="55" l="1"/>
  <c r="O26" i="55"/>
  <c r="O34" i="53"/>
  <c r="O26" i="53"/>
  <c r="N24" i="62"/>
  <c r="O24" i="62" s="1"/>
  <c r="N32" i="60"/>
  <c r="O32" i="60" s="1"/>
  <c r="N24" i="60"/>
  <c r="O24" i="60" s="1"/>
  <c r="O26" i="52"/>
  <c r="O32" i="62"/>
  <c r="O34" i="56"/>
  <c r="N34" i="52"/>
  <c r="O34" i="52" s="1"/>
  <c r="M53" i="50" l="1"/>
  <c r="K53" i="50"/>
  <c r="I53" i="50"/>
  <c r="G53" i="50"/>
  <c r="E53" i="50"/>
  <c r="C53" i="50"/>
  <c r="N49" i="50"/>
  <c r="N51" i="50" s="1"/>
  <c r="M49" i="50"/>
  <c r="L49" i="50"/>
  <c r="K49" i="50"/>
  <c r="J49" i="50"/>
  <c r="J51" i="50" s="1"/>
  <c r="I49" i="50"/>
  <c r="H49" i="50"/>
  <c r="G49" i="50"/>
  <c r="F49" i="50"/>
  <c r="F51" i="50" s="1"/>
  <c r="E49" i="50"/>
  <c r="D49" i="50"/>
  <c r="N41" i="50"/>
  <c r="M41" i="50"/>
  <c r="L41" i="50"/>
  <c r="K41" i="50"/>
  <c r="J41" i="50"/>
  <c r="I41" i="50"/>
  <c r="H41" i="50"/>
  <c r="G41" i="50"/>
  <c r="F41" i="50"/>
  <c r="E41" i="50"/>
  <c r="D41" i="50"/>
  <c r="C41" i="50"/>
  <c r="O41" i="50" s="1"/>
  <c r="H39" i="50"/>
  <c r="G39" i="50"/>
  <c r="N33" i="50"/>
  <c r="N53" i="50" s="1"/>
  <c r="M33" i="50"/>
  <c r="L33" i="50"/>
  <c r="L53" i="50" s="1"/>
  <c r="K33" i="50"/>
  <c r="J33" i="50"/>
  <c r="J53" i="50" s="1"/>
  <c r="I33" i="50"/>
  <c r="G33" i="50"/>
  <c r="F33" i="50"/>
  <c r="F53" i="50" s="1"/>
  <c r="E33" i="50"/>
  <c r="D33" i="50"/>
  <c r="D53" i="50" s="1"/>
  <c r="C33" i="50"/>
  <c r="H31" i="50"/>
  <c r="H33" i="50" s="1"/>
  <c r="H53" i="50" s="1"/>
  <c r="G31" i="50"/>
  <c r="O25" i="50"/>
  <c r="M21" i="50"/>
  <c r="I21" i="50"/>
  <c r="E21" i="50"/>
  <c r="N19" i="50"/>
  <c r="M19" i="50"/>
  <c r="L19" i="50"/>
  <c r="K19" i="50"/>
  <c r="J19" i="50"/>
  <c r="I19" i="50"/>
  <c r="H19" i="50"/>
  <c r="F19" i="50"/>
  <c r="E19" i="50"/>
  <c r="D19" i="50"/>
  <c r="C19" i="50"/>
  <c r="H18" i="50"/>
  <c r="G18" i="50"/>
  <c r="G19" i="50" s="1"/>
  <c r="N15" i="50"/>
  <c r="N21" i="50" s="1"/>
  <c r="M15" i="50"/>
  <c r="L15" i="50"/>
  <c r="L21" i="50" s="1"/>
  <c r="K15" i="50"/>
  <c r="K21" i="50" s="1"/>
  <c r="K23" i="50" s="1"/>
  <c r="J15" i="50"/>
  <c r="J21" i="50" s="1"/>
  <c r="I15" i="50"/>
  <c r="H15" i="50"/>
  <c r="G15" i="50"/>
  <c r="G21" i="50" s="1"/>
  <c r="G23" i="50" s="1"/>
  <c r="F15" i="50"/>
  <c r="F21" i="50" s="1"/>
  <c r="E15" i="50"/>
  <c r="D15" i="50"/>
  <c r="D21" i="50" s="1"/>
  <c r="C15" i="50"/>
  <c r="O15" i="50" s="1"/>
  <c r="N11" i="50"/>
  <c r="N23" i="50" s="1"/>
  <c r="M11" i="50"/>
  <c r="L11" i="50"/>
  <c r="L23" i="50" s="1"/>
  <c r="L51" i="50" s="1"/>
  <c r="K11" i="50"/>
  <c r="J11" i="50"/>
  <c r="J23" i="50" s="1"/>
  <c r="I11" i="50"/>
  <c r="H11" i="50"/>
  <c r="G11" i="50"/>
  <c r="F11" i="50"/>
  <c r="F23" i="50" s="1"/>
  <c r="E11" i="50"/>
  <c r="D11" i="50"/>
  <c r="D23" i="50" s="1"/>
  <c r="D51" i="50" s="1"/>
  <c r="C11" i="50"/>
  <c r="F7" i="50"/>
  <c r="G7" i="50" s="1"/>
  <c r="H7" i="50" s="1"/>
  <c r="I7" i="50" s="1"/>
  <c r="J7" i="50" s="1"/>
  <c r="K7" i="50" s="1"/>
  <c r="L7" i="50" s="1"/>
  <c r="M7" i="50" s="1"/>
  <c r="N7" i="50" s="1"/>
  <c r="E7" i="50"/>
  <c r="D7" i="50"/>
  <c r="N61" i="49"/>
  <c r="L61" i="49"/>
  <c r="J61" i="49"/>
  <c r="F61" i="49"/>
  <c r="D61" i="49"/>
  <c r="N57" i="49"/>
  <c r="M57" i="49"/>
  <c r="L57" i="49"/>
  <c r="K57" i="49"/>
  <c r="K59" i="49" s="1"/>
  <c r="J57" i="49"/>
  <c r="I57" i="49"/>
  <c r="H57" i="49"/>
  <c r="G57" i="49"/>
  <c r="F57" i="49"/>
  <c r="E57" i="49"/>
  <c r="D57" i="49"/>
  <c r="N49" i="49"/>
  <c r="M49" i="49"/>
  <c r="L49" i="49"/>
  <c r="K49" i="49"/>
  <c r="J49" i="49"/>
  <c r="I49" i="49"/>
  <c r="G49" i="49"/>
  <c r="F49" i="49"/>
  <c r="E49" i="49"/>
  <c r="D49" i="49"/>
  <c r="C49" i="49"/>
  <c r="H47" i="49"/>
  <c r="H49" i="49" s="1"/>
  <c r="G47" i="49"/>
  <c r="N41" i="49"/>
  <c r="M41" i="49"/>
  <c r="M61" i="49" s="1"/>
  <c r="L41" i="49"/>
  <c r="K41" i="49"/>
  <c r="K61" i="49" s="1"/>
  <c r="J41" i="49"/>
  <c r="I41" i="49"/>
  <c r="I61" i="49" s="1"/>
  <c r="G41" i="49"/>
  <c r="G61" i="49" s="1"/>
  <c r="F41" i="49"/>
  <c r="E41" i="49"/>
  <c r="E61" i="49" s="1"/>
  <c r="D41" i="49"/>
  <c r="C41" i="49"/>
  <c r="C61" i="49" s="1"/>
  <c r="H39" i="49"/>
  <c r="H41" i="49" s="1"/>
  <c r="H61" i="49" s="1"/>
  <c r="G39" i="49"/>
  <c r="O33" i="49"/>
  <c r="M31" i="49"/>
  <c r="M59" i="49" s="1"/>
  <c r="I31" i="49"/>
  <c r="I59" i="49" s="1"/>
  <c r="E31" i="49"/>
  <c r="E59" i="49" s="1"/>
  <c r="N29" i="49"/>
  <c r="H29" i="49"/>
  <c r="F29" i="49"/>
  <c r="N27" i="49"/>
  <c r="M27" i="49"/>
  <c r="L27" i="49"/>
  <c r="K27" i="49"/>
  <c r="J27" i="49"/>
  <c r="I27" i="49"/>
  <c r="H27" i="49"/>
  <c r="F27" i="49"/>
  <c r="E27" i="49"/>
  <c r="D27" i="49"/>
  <c r="C27" i="49"/>
  <c r="H26" i="49"/>
  <c r="G26" i="49"/>
  <c r="G27" i="49" s="1"/>
  <c r="O27" i="49" s="1"/>
  <c r="N23" i="49"/>
  <c r="L23" i="49"/>
  <c r="K23" i="49"/>
  <c r="J23" i="49"/>
  <c r="H23" i="49"/>
  <c r="G23" i="49"/>
  <c r="F23" i="49"/>
  <c r="D23" i="49"/>
  <c r="C23" i="49"/>
  <c r="M23" i="49"/>
  <c r="I23" i="49"/>
  <c r="E23" i="49"/>
  <c r="N19" i="49"/>
  <c r="M19" i="49"/>
  <c r="L19" i="49"/>
  <c r="K19" i="49"/>
  <c r="J19" i="49"/>
  <c r="I19" i="49"/>
  <c r="H19" i="49"/>
  <c r="F19" i="49"/>
  <c r="E19" i="49"/>
  <c r="D19" i="49"/>
  <c r="C19" i="49"/>
  <c r="H18" i="49"/>
  <c r="G18" i="49"/>
  <c r="G19" i="49" s="1"/>
  <c r="O19" i="49" s="1"/>
  <c r="N15" i="49"/>
  <c r="L15" i="49"/>
  <c r="L29" i="49" s="1"/>
  <c r="K15" i="49"/>
  <c r="K29" i="49" s="1"/>
  <c r="K31" i="49" s="1"/>
  <c r="J15" i="49"/>
  <c r="J29" i="49" s="1"/>
  <c r="H15" i="49"/>
  <c r="G15" i="49"/>
  <c r="F15" i="49"/>
  <c r="D15" i="49"/>
  <c r="D29" i="49" s="1"/>
  <c r="C15" i="49"/>
  <c r="C29" i="49" s="1"/>
  <c r="M15" i="49"/>
  <c r="M29" i="49" s="1"/>
  <c r="I15" i="49"/>
  <c r="I29" i="49" s="1"/>
  <c r="E15" i="49"/>
  <c r="E29" i="49" s="1"/>
  <c r="M11" i="49"/>
  <c r="L11" i="49"/>
  <c r="L31" i="49" s="1"/>
  <c r="L59" i="49" s="1"/>
  <c r="K11" i="49"/>
  <c r="I11" i="49"/>
  <c r="H11" i="49"/>
  <c r="H31" i="49" s="1"/>
  <c r="H59" i="49" s="1"/>
  <c r="G11" i="49"/>
  <c r="E11" i="49"/>
  <c r="D11" i="49"/>
  <c r="C11" i="49"/>
  <c r="C31" i="49" s="1"/>
  <c r="N11" i="49"/>
  <c r="N31" i="49" s="1"/>
  <c r="J11" i="49"/>
  <c r="F11" i="49"/>
  <c r="F31" i="49" s="1"/>
  <c r="E7" i="49"/>
  <c r="F7" i="49" s="1"/>
  <c r="G7" i="49" s="1"/>
  <c r="H7" i="49" s="1"/>
  <c r="I7" i="49" s="1"/>
  <c r="J7" i="49" s="1"/>
  <c r="K7" i="49" s="1"/>
  <c r="L7" i="49" s="1"/>
  <c r="M7" i="49" s="1"/>
  <c r="N7" i="49" s="1"/>
  <c r="D7" i="49"/>
  <c r="M53" i="48"/>
  <c r="C53" i="48"/>
  <c r="N49" i="48"/>
  <c r="L49" i="48"/>
  <c r="J49" i="48"/>
  <c r="H49" i="48"/>
  <c r="F49" i="48"/>
  <c r="D49" i="48"/>
  <c r="M49" i="48"/>
  <c r="M41" i="48"/>
  <c r="K41" i="48"/>
  <c r="E41" i="48"/>
  <c r="C41" i="48"/>
  <c r="N41" i="48"/>
  <c r="L41" i="48"/>
  <c r="J41" i="48"/>
  <c r="D41" i="48"/>
  <c r="M33" i="48"/>
  <c r="K33" i="48"/>
  <c r="E33" i="48"/>
  <c r="C33" i="48"/>
  <c r="N33" i="48"/>
  <c r="N53" i="48" s="1"/>
  <c r="L33" i="48"/>
  <c r="L53" i="48" s="1"/>
  <c r="J33" i="48"/>
  <c r="J53" i="48" s="1"/>
  <c r="D33" i="48"/>
  <c r="D53" i="48" s="1"/>
  <c r="O25" i="48"/>
  <c r="N19" i="48"/>
  <c r="M19" i="48"/>
  <c r="L19" i="48"/>
  <c r="K19" i="48"/>
  <c r="J19" i="48"/>
  <c r="F19" i="48"/>
  <c r="E19" i="48"/>
  <c r="D19" i="48"/>
  <c r="G18" i="48"/>
  <c r="G19" i="48" s="1"/>
  <c r="C19" i="48"/>
  <c r="L15" i="48"/>
  <c r="L21" i="48" s="1"/>
  <c r="H15" i="48"/>
  <c r="D15" i="48"/>
  <c r="N15" i="48"/>
  <c r="N21" i="48" s="1"/>
  <c r="M15" i="48"/>
  <c r="M21" i="48" s="1"/>
  <c r="K15" i="48"/>
  <c r="K21" i="48" s="1"/>
  <c r="J15" i="48"/>
  <c r="J21" i="48" s="1"/>
  <c r="I15" i="48"/>
  <c r="G15" i="48"/>
  <c r="G21" i="48" s="1"/>
  <c r="H18" i="48"/>
  <c r="H19" i="48" s="1"/>
  <c r="E15" i="48"/>
  <c r="E21" i="48" s="1"/>
  <c r="C15" i="48"/>
  <c r="M11" i="48"/>
  <c r="I11" i="48"/>
  <c r="G11" i="48"/>
  <c r="E11" i="48"/>
  <c r="L11" i="48"/>
  <c r="L23" i="48" s="1"/>
  <c r="K11" i="48"/>
  <c r="K23" i="48" s="1"/>
  <c r="J11" i="48"/>
  <c r="H11" i="48"/>
  <c r="F11" i="48"/>
  <c r="D11" i="48"/>
  <c r="C11" i="48"/>
  <c r="N9" i="48"/>
  <c r="N11" i="48" s="1"/>
  <c r="D7" i="48"/>
  <c r="E7" i="48" s="1"/>
  <c r="F7" i="48" s="1"/>
  <c r="G7" i="48" s="1"/>
  <c r="H7" i="48" s="1"/>
  <c r="I7" i="48" s="1"/>
  <c r="J7" i="48" s="1"/>
  <c r="K7" i="48" s="1"/>
  <c r="L7" i="48" s="1"/>
  <c r="M7" i="48" s="1"/>
  <c r="N7" i="48" s="1"/>
  <c r="M49" i="47"/>
  <c r="I49" i="47"/>
  <c r="E49" i="47"/>
  <c r="N41" i="47"/>
  <c r="L41" i="47"/>
  <c r="J41" i="47"/>
  <c r="H41" i="47"/>
  <c r="F41" i="47"/>
  <c r="D41" i="47"/>
  <c r="I39" i="47"/>
  <c r="H39" i="47"/>
  <c r="G39" i="47"/>
  <c r="M41" i="47"/>
  <c r="K41" i="47"/>
  <c r="I41" i="47"/>
  <c r="G41" i="47"/>
  <c r="E41" i="47"/>
  <c r="C41" i="47"/>
  <c r="O41" i="47" s="1"/>
  <c r="N33" i="47"/>
  <c r="L33" i="47"/>
  <c r="J33" i="47"/>
  <c r="H33" i="47"/>
  <c r="F33" i="47"/>
  <c r="D33" i="47"/>
  <c r="I31" i="47"/>
  <c r="H31" i="47"/>
  <c r="G31" i="47"/>
  <c r="M33" i="47"/>
  <c r="K33" i="47"/>
  <c r="I33" i="47"/>
  <c r="G33" i="47"/>
  <c r="E33" i="47"/>
  <c r="C33" i="47"/>
  <c r="H21" i="47"/>
  <c r="N19" i="47"/>
  <c r="M19" i="47"/>
  <c r="L19" i="47"/>
  <c r="K19" i="47"/>
  <c r="J19" i="47"/>
  <c r="G19" i="47"/>
  <c r="F19" i="47"/>
  <c r="E19" i="47"/>
  <c r="D19" i="47"/>
  <c r="C19" i="47"/>
  <c r="O19" i="47" s="1"/>
  <c r="H18" i="47"/>
  <c r="H19" i="47" s="1"/>
  <c r="G18" i="47"/>
  <c r="M15" i="47"/>
  <c r="M21" i="47" s="1"/>
  <c r="I15" i="47"/>
  <c r="E15" i="47"/>
  <c r="N15" i="47"/>
  <c r="N21" i="47" s="1"/>
  <c r="L15" i="47"/>
  <c r="L21" i="47" s="1"/>
  <c r="K15" i="47"/>
  <c r="K21" i="47" s="1"/>
  <c r="K23" i="47" s="1"/>
  <c r="J15" i="47"/>
  <c r="J21" i="47" s="1"/>
  <c r="H15" i="47"/>
  <c r="G15" i="47"/>
  <c r="G21" i="47" s="1"/>
  <c r="G23" i="47" s="1"/>
  <c r="I18" i="47"/>
  <c r="I19" i="47" s="1"/>
  <c r="D15" i="47"/>
  <c r="D21" i="47" s="1"/>
  <c r="C15" i="47"/>
  <c r="N11" i="47"/>
  <c r="F11" i="47"/>
  <c r="M11" i="47"/>
  <c r="M23" i="47" s="1"/>
  <c r="M51" i="47" s="1"/>
  <c r="L11" i="47"/>
  <c r="K11" i="47"/>
  <c r="J11" i="47"/>
  <c r="J23" i="47" s="1"/>
  <c r="I11" i="47"/>
  <c r="H11" i="47"/>
  <c r="H23" i="47" s="1"/>
  <c r="G11" i="47"/>
  <c r="E11" i="47"/>
  <c r="D11" i="47"/>
  <c r="C11" i="47"/>
  <c r="F7" i="47"/>
  <c r="G7" i="47" s="1"/>
  <c r="H7" i="47" s="1"/>
  <c r="I7" i="47" s="1"/>
  <c r="J7" i="47" s="1"/>
  <c r="K7" i="47" s="1"/>
  <c r="L7" i="47" s="1"/>
  <c r="M7" i="47" s="1"/>
  <c r="N7" i="47" s="1"/>
  <c r="D7" i="47"/>
  <c r="E7" i="47" s="1"/>
  <c r="D23" i="48" l="1"/>
  <c r="D51" i="48" s="1"/>
  <c r="I23" i="47"/>
  <c r="I51" i="47" s="1"/>
  <c r="C21" i="47"/>
  <c r="N53" i="47"/>
  <c r="O11" i="48"/>
  <c r="K53" i="48"/>
  <c r="D23" i="47"/>
  <c r="L23" i="47"/>
  <c r="L51" i="48"/>
  <c r="F23" i="47"/>
  <c r="E23" i="48"/>
  <c r="M23" i="48"/>
  <c r="H21" i="48"/>
  <c r="H23" i="48" s="1"/>
  <c r="H51" i="48" s="1"/>
  <c r="O19" i="48"/>
  <c r="J31" i="49"/>
  <c r="G31" i="49"/>
  <c r="C53" i="47"/>
  <c r="O33" i="47"/>
  <c r="K53" i="47"/>
  <c r="L49" i="47"/>
  <c r="H49" i="47"/>
  <c r="D49" i="47"/>
  <c r="N49" i="47"/>
  <c r="N51" i="47" s="1"/>
  <c r="J49" i="47"/>
  <c r="F49" i="47"/>
  <c r="F51" i="47" s="1"/>
  <c r="K49" i="47"/>
  <c r="K51" i="47" s="1"/>
  <c r="G23" i="48"/>
  <c r="C59" i="49"/>
  <c r="F59" i="49"/>
  <c r="J59" i="49"/>
  <c r="N59" i="49"/>
  <c r="N23" i="47"/>
  <c r="I21" i="47"/>
  <c r="E21" i="47"/>
  <c r="E23" i="47" s="1"/>
  <c r="E51" i="47" s="1"/>
  <c r="N23" i="48"/>
  <c r="N51" i="48" s="1"/>
  <c r="J23" i="48"/>
  <c r="J51" i="48" s="1"/>
  <c r="C21" i="48"/>
  <c r="D21" i="48"/>
  <c r="F33" i="48"/>
  <c r="F53" i="48" s="1"/>
  <c r="I31" i="48"/>
  <c r="I33" i="48" s="1"/>
  <c r="I53" i="48" s="1"/>
  <c r="G31" i="48"/>
  <c r="G33" i="48" s="1"/>
  <c r="H31" i="48"/>
  <c r="H33" i="48" s="1"/>
  <c r="H53" i="48" s="1"/>
  <c r="D31" i="49"/>
  <c r="D59" i="49" s="1"/>
  <c r="O11" i="49"/>
  <c r="G29" i="49"/>
  <c r="G59" i="49"/>
  <c r="O11" i="47"/>
  <c r="O25" i="47"/>
  <c r="E53" i="47"/>
  <c r="I53" i="47"/>
  <c r="M53" i="47"/>
  <c r="G49" i="47"/>
  <c r="G51" i="47" s="1"/>
  <c r="F15" i="48"/>
  <c r="F21" i="48" s="1"/>
  <c r="F23" i="48" s="1"/>
  <c r="F51" i="48" s="1"/>
  <c r="I18" i="48"/>
  <c r="I19" i="48" s="1"/>
  <c r="I21" i="48" s="1"/>
  <c r="I23" i="48" s="1"/>
  <c r="F41" i="48"/>
  <c r="O41" i="48" s="1"/>
  <c r="I39" i="48"/>
  <c r="I41" i="48" s="1"/>
  <c r="G39" i="48"/>
  <c r="G41" i="48" s="1"/>
  <c r="H39" i="48"/>
  <c r="H41" i="48" s="1"/>
  <c r="O41" i="49"/>
  <c r="O53" i="50"/>
  <c r="H21" i="50"/>
  <c r="H23" i="50" s="1"/>
  <c r="H51" i="50" s="1"/>
  <c r="O19" i="50"/>
  <c r="G51" i="50"/>
  <c r="K51" i="50"/>
  <c r="F15" i="47"/>
  <c r="F21" i="47" s="1"/>
  <c r="M51" i="48"/>
  <c r="O29" i="49"/>
  <c r="O23" i="49"/>
  <c r="E23" i="50"/>
  <c r="E51" i="50" s="1"/>
  <c r="I23" i="50"/>
  <c r="I51" i="50" s="1"/>
  <c r="M23" i="50"/>
  <c r="M51" i="50" s="1"/>
  <c r="C21" i="50"/>
  <c r="O61" i="49"/>
  <c r="O49" i="49"/>
  <c r="O11" i="50"/>
  <c r="O33" i="50"/>
  <c r="G49" i="48"/>
  <c r="G51" i="48" s="1"/>
  <c r="K49" i="48"/>
  <c r="K51" i="48" s="1"/>
  <c r="E49" i="48"/>
  <c r="I49" i="48"/>
  <c r="O15" i="49"/>
  <c r="K10" i="46"/>
  <c r="O21" i="48" l="1"/>
  <c r="H51" i="47"/>
  <c r="H53" i="47"/>
  <c r="J51" i="47"/>
  <c r="J53" i="47"/>
  <c r="L51" i="47"/>
  <c r="F53" i="47"/>
  <c r="O53" i="47" s="1"/>
  <c r="D43" i="49"/>
  <c r="E43" i="49" s="1"/>
  <c r="F43" i="49" s="1"/>
  <c r="G43" i="49" s="1"/>
  <c r="H43" i="49" s="1"/>
  <c r="I43" i="49" s="1"/>
  <c r="J43" i="49" s="1"/>
  <c r="K43" i="49" s="1"/>
  <c r="L43" i="49" s="1"/>
  <c r="M43" i="49" s="1"/>
  <c r="N43" i="49" s="1"/>
  <c r="D35" i="49"/>
  <c r="E35" i="49" s="1"/>
  <c r="F35" i="49" s="1"/>
  <c r="G35" i="49" s="1"/>
  <c r="H35" i="49" s="1"/>
  <c r="I35" i="49" s="1"/>
  <c r="J35" i="49" s="1"/>
  <c r="K35" i="49" s="1"/>
  <c r="L35" i="49" s="1"/>
  <c r="M35" i="49" s="1"/>
  <c r="N35" i="49" s="1"/>
  <c r="O59" i="49"/>
  <c r="I51" i="48"/>
  <c r="O33" i="48"/>
  <c r="L53" i="47"/>
  <c r="C23" i="48"/>
  <c r="O15" i="47"/>
  <c r="E51" i="48"/>
  <c r="E53" i="48"/>
  <c r="C23" i="50"/>
  <c r="O21" i="50"/>
  <c r="G53" i="48"/>
  <c r="O15" i="48"/>
  <c r="O31" i="49"/>
  <c r="D51" i="47"/>
  <c r="G53" i="47"/>
  <c r="D53" i="47"/>
  <c r="O21" i="47"/>
  <c r="C23" i="47"/>
  <c r="A4" i="46"/>
  <c r="O23" i="47" l="1"/>
  <c r="C51" i="47"/>
  <c r="C51" i="50"/>
  <c r="O23" i="50"/>
  <c r="O23" i="48"/>
  <c r="C51" i="48"/>
  <c r="O53" i="48"/>
  <c r="A2" i="46"/>
  <c r="A4" i="45"/>
  <c r="A2" i="45"/>
  <c r="N8" i="44"/>
  <c r="A4" i="44"/>
  <c r="A2" i="44"/>
  <c r="L40" i="46"/>
  <c r="Q35" i="44" s="1"/>
  <c r="K40" i="46"/>
  <c r="L38" i="46"/>
  <c r="K38" i="46"/>
  <c r="K35" i="46"/>
  <c r="K34" i="46"/>
  <c r="D36" i="46"/>
  <c r="K32" i="46"/>
  <c r="E30" i="46"/>
  <c r="K28" i="46"/>
  <c r="H27" i="46"/>
  <c r="K27" i="46" s="1"/>
  <c r="F30" i="46"/>
  <c r="K25" i="46"/>
  <c r="K24" i="46"/>
  <c r="D30" i="46"/>
  <c r="K21" i="46"/>
  <c r="K19" i="46"/>
  <c r="H20" i="46"/>
  <c r="K18" i="46"/>
  <c r="K17" i="46"/>
  <c r="K15" i="46"/>
  <c r="H16" i="46"/>
  <c r="K13" i="46"/>
  <c r="H14" i="46"/>
  <c r="F22" i="46"/>
  <c r="A13" i="46"/>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H10" i="46"/>
  <c r="A10" i="46"/>
  <c r="A11" i="46" s="1"/>
  <c r="A12" i="46" s="1"/>
  <c r="F11" i="46"/>
  <c r="A81" i="45"/>
  <c r="D80" i="45"/>
  <c r="B18" i="45" s="1"/>
  <c r="A80" i="45"/>
  <c r="D79" i="45"/>
  <c r="B17" i="45" s="1"/>
  <c r="A79" i="45"/>
  <c r="A78" i="45"/>
  <c r="A77" i="45"/>
  <c r="D76" i="45"/>
  <c r="B14" i="45" s="1"/>
  <c r="A76" i="45"/>
  <c r="D75" i="45"/>
  <c r="B13" i="45" s="1"/>
  <c r="A75" i="45"/>
  <c r="A74" i="45"/>
  <c r="A73" i="45"/>
  <c r="C82" i="45"/>
  <c r="D72" i="45"/>
  <c r="B10" i="45" s="1"/>
  <c r="A72" i="45"/>
  <c r="D71" i="45"/>
  <c r="B9" i="45" s="1"/>
  <c r="A71" i="45"/>
  <c r="A70" i="45"/>
  <c r="G60" i="45"/>
  <c r="G58" i="45"/>
  <c r="G56" i="45"/>
  <c r="G53" i="45"/>
  <c r="M27" i="45"/>
  <c r="G48" i="45"/>
  <c r="F48" i="45"/>
  <c r="F47" i="45"/>
  <c r="G47" i="45" s="1"/>
  <c r="G45" i="45"/>
  <c r="F42" i="45"/>
  <c r="G41" i="45"/>
  <c r="G40" i="45"/>
  <c r="G38" i="45"/>
  <c r="F36" i="45"/>
  <c r="G35" i="45"/>
  <c r="G34" i="45"/>
  <c r="M29" i="45"/>
  <c r="K29" i="45"/>
  <c r="J29" i="45"/>
  <c r="I29" i="45"/>
  <c r="F29" i="45"/>
  <c r="D29" i="45"/>
  <c r="C29" i="45"/>
  <c r="K27" i="45"/>
  <c r="J27" i="45"/>
  <c r="I27" i="45"/>
  <c r="F27" i="45"/>
  <c r="D27" i="45"/>
  <c r="C27" i="45"/>
  <c r="D14" i="45"/>
  <c r="D10" i="45"/>
  <c r="P35" i="44"/>
  <c r="N35" i="44"/>
  <c r="Q33" i="44"/>
  <c r="P33" i="44"/>
  <c r="R33" i="44" s="1"/>
  <c r="N33" i="44"/>
  <c r="K31" i="44"/>
  <c r="H31" i="44"/>
  <c r="G31" i="44"/>
  <c r="C31" i="44"/>
  <c r="P30" i="44"/>
  <c r="N30" i="44"/>
  <c r="M31" i="44"/>
  <c r="L31" i="44"/>
  <c r="J31" i="44"/>
  <c r="I31" i="44"/>
  <c r="F31" i="44"/>
  <c r="E31" i="44"/>
  <c r="D31" i="44"/>
  <c r="P27" i="44"/>
  <c r="N27" i="44"/>
  <c r="L25" i="44"/>
  <c r="P24" i="44"/>
  <c r="N24" i="44"/>
  <c r="P23" i="44"/>
  <c r="E25" i="44"/>
  <c r="D25" i="44"/>
  <c r="P22" i="44"/>
  <c r="N22" i="44"/>
  <c r="M25" i="44"/>
  <c r="P21" i="44"/>
  <c r="K25" i="44"/>
  <c r="J25" i="44"/>
  <c r="I25" i="44"/>
  <c r="H25" i="44"/>
  <c r="G25" i="44"/>
  <c r="F25" i="44"/>
  <c r="C25" i="44"/>
  <c r="P18" i="44"/>
  <c r="N18" i="44"/>
  <c r="P17" i="44"/>
  <c r="P16" i="44"/>
  <c r="N16" i="44"/>
  <c r="P15" i="44"/>
  <c r="P14" i="44"/>
  <c r="N14" i="44"/>
  <c r="P13" i="44"/>
  <c r="I19" i="44"/>
  <c r="E19" i="44"/>
  <c r="P12" i="44"/>
  <c r="P19" i="44" s="1"/>
  <c r="M19" i="44"/>
  <c r="L19" i="44"/>
  <c r="K19" i="44"/>
  <c r="H19" i="44"/>
  <c r="G19" i="44"/>
  <c r="D19" i="44"/>
  <c r="C19" i="44"/>
  <c r="A10" i="44"/>
  <c r="A11" i="44" s="1"/>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P9" i="44"/>
  <c r="N9" i="44"/>
  <c r="A9" i="44"/>
  <c r="P8" i="44"/>
  <c r="M10" i="44"/>
  <c r="M37" i="44" s="1"/>
  <c r="L10" i="44"/>
  <c r="L37" i="44" s="1"/>
  <c r="K10" i="44"/>
  <c r="J10" i="44"/>
  <c r="I10" i="44"/>
  <c r="H10" i="44"/>
  <c r="H37" i="44" s="1"/>
  <c r="G10" i="44"/>
  <c r="E10" i="44"/>
  <c r="D10" i="44"/>
  <c r="D37" i="44" s="1"/>
  <c r="C10" i="44"/>
  <c r="Q7" i="44"/>
  <c r="P7" i="44"/>
  <c r="O51" i="50" l="1"/>
  <c r="D27" i="50"/>
  <c r="E27" i="50" s="1"/>
  <c r="F27" i="50" s="1"/>
  <c r="G27" i="50" s="1"/>
  <c r="H27" i="50" s="1"/>
  <c r="I27" i="50" s="1"/>
  <c r="J27" i="50" s="1"/>
  <c r="K27" i="50" s="1"/>
  <c r="L27" i="50" s="1"/>
  <c r="M27" i="50" s="1"/>
  <c r="N27" i="50" s="1"/>
  <c r="D35" i="50"/>
  <c r="E35" i="50" s="1"/>
  <c r="F35" i="50" s="1"/>
  <c r="G35" i="50" s="1"/>
  <c r="H35" i="50" s="1"/>
  <c r="I35" i="50" s="1"/>
  <c r="J35" i="50" s="1"/>
  <c r="K35" i="50" s="1"/>
  <c r="L35" i="50" s="1"/>
  <c r="M35" i="50" s="1"/>
  <c r="N35" i="50" s="1"/>
  <c r="O51" i="48"/>
  <c r="D35" i="48"/>
  <c r="E35" i="48" s="1"/>
  <c r="F35" i="48" s="1"/>
  <c r="G35" i="48" s="1"/>
  <c r="H35" i="48" s="1"/>
  <c r="I35" i="48" s="1"/>
  <c r="J35" i="48" s="1"/>
  <c r="K35" i="48" s="1"/>
  <c r="L35" i="48" s="1"/>
  <c r="M35" i="48" s="1"/>
  <c r="N35" i="48" s="1"/>
  <c r="D27" i="48"/>
  <c r="E27" i="48" s="1"/>
  <c r="F27" i="48" s="1"/>
  <c r="G27" i="48" s="1"/>
  <c r="H27" i="48" s="1"/>
  <c r="I27" i="48" s="1"/>
  <c r="J27" i="48" s="1"/>
  <c r="K27" i="48" s="1"/>
  <c r="L27" i="48" s="1"/>
  <c r="M27" i="48" s="1"/>
  <c r="N27" i="48" s="1"/>
  <c r="D27" i="47"/>
  <c r="E27" i="47" s="1"/>
  <c r="F27" i="47" s="1"/>
  <c r="G27" i="47" s="1"/>
  <c r="H27" i="47" s="1"/>
  <c r="I27" i="47" s="1"/>
  <c r="J27" i="47" s="1"/>
  <c r="K27" i="47" s="1"/>
  <c r="L27" i="47" s="1"/>
  <c r="M27" i="47" s="1"/>
  <c r="N27" i="47" s="1"/>
  <c r="D35" i="47"/>
  <c r="E35" i="47" s="1"/>
  <c r="F35" i="47" s="1"/>
  <c r="G35" i="47" s="1"/>
  <c r="H35" i="47" s="1"/>
  <c r="I35" i="47" s="1"/>
  <c r="J35" i="47" s="1"/>
  <c r="K35" i="47" s="1"/>
  <c r="L35" i="47" s="1"/>
  <c r="M35" i="47" s="1"/>
  <c r="N35" i="47" s="1"/>
  <c r="O51" i="47"/>
  <c r="R35" i="44"/>
  <c r="U35" i="44" s="1"/>
  <c r="L10" i="45"/>
  <c r="O10" i="45" s="1"/>
  <c r="G36" i="45"/>
  <c r="L14" i="45"/>
  <c r="O14" i="45" s="1"/>
  <c r="L17" i="45"/>
  <c r="O17" i="45" s="1"/>
  <c r="F49" i="45"/>
  <c r="E37" i="44"/>
  <c r="I37" i="44"/>
  <c r="U33" i="44"/>
  <c r="T33" i="44"/>
  <c r="L18" i="45"/>
  <c r="O18" i="45" s="1"/>
  <c r="H18" i="45"/>
  <c r="D18" i="45"/>
  <c r="K18" i="45"/>
  <c r="G18" i="45"/>
  <c r="C18" i="45"/>
  <c r="I18" i="45"/>
  <c r="F18" i="45"/>
  <c r="E18" i="45"/>
  <c r="J18" i="45"/>
  <c r="M18" i="45"/>
  <c r="N10" i="44"/>
  <c r="M9" i="45"/>
  <c r="I9" i="45"/>
  <c r="E9" i="45"/>
  <c r="L9" i="45"/>
  <c r="O9" i="45" s="1"/>
  <c r="H9" i="45"/>
  <c r="D9" i="45"/>
  <c r="K9" i="45"/>
  <c r="C9" i="45"/>
  <c r="F9" i="45"/>
  <c r="J9" i="45"/>
  <c r="G9" i="45"/>
  <c r="M13" i="45"/>
  <c r="I13" i="45"/>
  <c r="E13" i="45"/>
  <c r="L13" i="45"/>
  <c r="O13" i="45" s="1"/>
  <c r="H13" i="45"/>
  <c r="D13" i="45"/>
  <c r="K13" i="45"/>
  <c r="C13" i="45"/>
  <c r="G13" i="45"/>
  <c r="F13" i="45"/>
  <c r="J13" i="45"/>
  <c r="C37" i="44"/>
  <c r="G37" i="44"/>
  <c r="K37" i="44"/>
  <c r="F10" i="44"/>
  <c r="N21" i="44"/>
  <c r="N25" i="44" s="1"/>
  <c r="K14" i="45"/>
  <c r="G14" i="45"/>
  <c r="C14" i="45"/>
  <c r="J14" i="45"/>
  <c r="F14" i="45"/>
  <c r="K36" i="46"/>
  <c r="N23" i="44"/>
  <c r="E10" i="45"/>
  <c r="M10" i="45"/>
  <c r="E14" i="45"/>
  <c r="M14" i="45"/>
  <c r="F43" i="45"/>
  <c r="F63" i="45" s="1"/>
  <c r="F46" i="45"/>
  <c r="G29" i="45"/>
  <c r="G27" i="45"/>
  <c r="J17" i="45"/>
  <c r="F17" i="45"/>
  <c r="M17" i="45"/>
  <c r="I17" i="45"/>
  <c r="E17" i="45"/>
  <c r="K17" i="45"/>
  <c r="C17" i="45"/>
  <c r="H17" i="45"/>
  <c r="K14" i="46"/>
  <c r="P25" i="44"/>
  <c r="P29" i="44"/>
  <c r="H10" i="45"/>
  <c r="H14" i="45"/>
  <c r="D17" i="45"/>
  <c r="G46" i="45"/>
  <c r="L29" i="45"/>
  <c r="O29" i="45" s="1"/>
  <c r="L27" i="45"/>
  <c r="O27" i="45" s="1"/>
  <c r="E27" i="45"/>
  <c r="G57" i="45"/>
  <c r="F61" i="45"/>
  <c r="E29" i="45"/>
  <c r="D22" i="46"/>
  <c r="K10" i="45"/>
  <c r="G10" i="45"/>
  <c r="C10" i="45"/>
  <c r="J10" i="45"/>
  <c r="F10" i="45"/>
  <c r="F42" i="46"/>
  <c r="K16" i="46"/>
  <c r="K22" i="46" s="1"/>
  <c r="P10" i="44"/>
  <c r="N29" i="44"/>
  <c r="N31" i="44" s="1"/>
  <c r="F19" i="44"/>
  <c r="J19" i="44"/>
  <c r="J37" i="44" s="1"/>
  <c r="N12" i="44"/>
  <c r="N13" i="44"/>
  <c r="N15" i="44"/>
  <c r="N17" i="44"/>
  <c r="I10" i="45"/>
  <c r="I14" i="45"/>
  <c r="G17" i="45"/>
  <c r="K9" i="46"/>
  <c r="K11" i="46" s="1"/>
  <c r="D11" i="46"/>
  <c r="K20" i="46"/>
  <c r="E22" i="46"/>
  <c r="E42" i="46" s="1"/>
  <c r="B82" i="45"/>
  <c r="D70" i="45"/>
  <c r="D74" i="45"/>
  <c r="B12" i="45" s="1"/>
  <c r="D78" i="45"/>
  <c r="B16" i="45" s="1"/>
  <c r="K29" i="46"/>
  <c r="K30" i="46" s="1"/>
  <c r="F36" i="46"/>
  <c r="H29" i="45"/>
  <c r="G59" i="45"/>
  <c r="G61" i="45" s="1"/>
  <c r="H27" i="45"/>
  <c r="D73" i="45"/>
  <c r="B11" i="45" s="1"/>
  <c r="D77" i="45"/>
  <c r="B15" i="45" s="1"/>
  <c r="D81" i="45"/>
  <c r="B19" i="45" s="1"/>
  <c r="K26" i="46"/>
  <c r="T35" i="44" l="1"/>
  <c r="N27" i="45"/>
  <c r="F50" i="45"/>
  <c r="F64" i="45" s="1"/>
  <c r="J19" i="45"/>
  <c r="F19" i="45"/>
  <c r="M19" i="45"/>
  <c r="I19" i="45"/>
  <c r="E19" i="45"/>
  <c r="G19" i="45"/>
  <c r="L19" i="45"/>
  <c r="O19" i="45" s="1"/>
  <c r="D19" i="45"/>
  <c r="C19" i="45"/>
  <c r="H19" i="45"/>
  <c r="K19" i="45"/>
  <c r="D84" i="45"/>
  <c r="D82" i="45"/>
  <c r="B8" i="45"/>
  <c r="J15" i="45"/>
  <c r="F15" i="45"/>
  <c r="M15" i="45"/>
  <c r="I15" i="45"/>
  <c r="E15" i="45"/>
  <c r="G15" i="45"/>
  <c r="L15" i="45"/>
  <c r="O15" i="45" s="1"/>
  <c r="D15" i="45"/>
  <c r="K15" i="45"/>
  <c r="H15" i="45"/>
  <c r="C15" i="45"/>
  <c r="D42" i="46"/>
  <c r="N10" i="45"/>
  <c r="N29" i="45"/>
  <c r="P31" i="44"/>
  <c r="F37" i="44"/>
  <c r="M11" i="45"/>
  <c r="I11" i="45"/>
  <c r="E11" i="45"/>
  <c r="L11" i="45"/>
  <c r="O11" i="45" s="1"/>
  <c r="H11" i="45"/>
  <c r="D11" i="45"/>
  <c r="G11" i="45"/>
  <c r="J11" i="45"/>
  <c r="F11" i="45"/>
  <c r="K11" i="45"/>
  <c r="C11" i="45"/>
  <c r="L16" i="45"/>
  <c r="O16" i="45" s="1"/>
  <c r="H16" i="45"/>
  <c r="D16" i="45"/>
  <c r="K16" i="45"/>
  <c r="G16" i="45"/>
  <c r="C16" i="45"/>
  <c r="M16" i="45"/>
  <c r="E16" i="45"/>
  <c r="J16" i="45"/>
  <c r="I16" i="45"/>
  <c r="F16" i="45"/>
  <c r="N19" i="44"/>
  <c r="N37" i="44" s="1"/>
  <c r="P37" i="44"/>
  <c r="N18" i="45"/>
  <c r="K12" i="45"/>
  <c r="G12" i="45"/>
  <c r="C12" i="45"/>
  <c r="J12" i="45"/>
  <c r="F12" i="45"/>
  <c r="M12" i="45"/>
  <c r="E12" i="45"/>
  <c r="H12" i="45"/>
  <c r="L12" i="45"/>
  <c r="O12" i="45" s="1"/>
  <c r="D12" i="45"/>
  <c r="I12" i="45"/>
  <c r="K42" i="46"/>
  <c r="N17" i="45"/>
  <c r="N14" i="45"/>
  <c r="N13" i="45"/>
  <c r="N9" i="45"/>
  <c r="N11" i="45" l="1"/>
  <c r="N19" i="45"/>
  <c r="N16" i="45"/>
  <c r="N15" i="45"/>
  <c r="K8" i="45"/>
  <c r="K21" i="45" s="1"/>
  <c r="G8" i="45"/>
  <c r="G21" i="45" s="1"/>
  <c r="C8" i="45"/>
  <c r="B21" i="45"/>
  <c r="B23" i="45" s="1"/>
  <c r="J8" i="45"/>
  <c r="J21" i="45" s="1"/>
  <c r="F8" i="45"/>
  <c r="F21" i="45" s="1"/>
  <c r="M8" i="45"/>
  <c r="M21" i="45" s="1"/>
  <c r="E8" i="45"/>
  <c r="E21" i="45" s="1"/>
  <c r="L8" i="45"/>
  <c r="D8" i="45"/>
  <c r="D21" i="45" s="1"/>
  <c r="I8" i="45"/>
  <c r="I21" i="45" s="1"/>
  <c r="H8" i="45"/>
  <c r="H21" i="45" s="1"/>
  <c r="N12" i="45"/>
  <c r="D25" i="45" l="1"/>
  <c r="D23" i="45"/>
  <c r="M25" i="45"/>
  <c r="M23" i="45"/>
  <c r="C21" i="45"/>
  <c r="N8" i="45"/>
  <c r="L21" i="45"/>
  <c r="O8" i="45"/>
  <c r="F23" i="45"/>
  <c r="F25" i="45"/>
  <c r="G25" i="45"/>
  <c r="G23" i="45"/>
  <c r="H25" i="45"/>
  <c r="H23" i="45"/>
  <c r="J23" i="45"/>
  <c r="J25" i="45"/>
  <c r="K23" i="45"/>
  <c r="K25" i="45"/>
  <c r="I25" i="45"/>
  <c r="I23" i="45"/>
  <c r="E25" i="45"/>
  <c r="E23" i="45"/>
  <c r="O21" i="45" l="1"/>
  <c r="O25" i="45" s="1"/>
  <c r="L25" i="45"/>
  <c r="L23" i="45"/>
  <c r="O23" i="45" s="1"/>
  <c r="N21" i="45"/>
  <c r="C23" i="45"/>
  <c r="C25" i="45"/>
  <c r="N23" i="45" l="1"/>
  <c r="N25" i="45"/>
  <c r="H57" i="41" l="1"/>
  <c r="G57" i="41"/>
  <c r="H49" i="41"/>
  <c r="G49" i="41"/>
  <c r="H42" i="41"/>
  <c r="G42" i="41"/>
  <c r="H35" i="41"/>
  <c r="G35" i="41"/>
  <c r="H27" i="41"/>
  <c r="G27" i="41"/>
  <c r="H19" i="41"/>
  <c r="G19" i="41"/>
  <c r="H11" i="41"/>
  <c r="G11" i="41"/>
  <c r="A4" i="28"/>
  <c r="A2" i="28"/>
  <c r="A4" i="29"/>
  <c r="A2" i="29"/>
  <c r="A4" i="41"/>
  <c r="A2" i="41"/>
  <c r="A4" i="32"/>
  <c r="A2" i="32"/>
  <c r="A4" i="31"/>
  <c r="A2" i="31"/>
  <c r="A4" i="19"/>
  <c r="A2" i="19"/>
  <c r="A4" i="18"/>
  <c r="A2" i="18"/>
  <c r="A4" i="6"/>
  <c r="A2" i="6"/>
  <c r="A4" i="5"/>
  <c r="A2" i="5"/>
  <c r="A4" i="12"/>
  <c r="A2" i="12"/>
  <c r="A4" i="3"/>
  <c r="A2" i="3"/>
  <c r="A4" i="2"/>
  <c r="A2" i="2"/>
  <c r="E15" i="6"/>
  <c r="D15" i="6"/>
  <c r="E11" i="6"/>
  <c r="D11" i="6"/>
  <c r="H13" i="5"/>
  <c r="G13" i="5"/>
  <c r="F13" i="5"/>
  <c r="E13" i="5"/>
  <c r="D13" i="5"/>
  <c r="H11" i="5"/>
  <c r="G11" i="5"/>
  <c r="F11" i="5"/>
  <c r="E11" i="5"/>
  <c r="D11" i="5"/>
  <c r="N35" i="43"/>
  <c r="N33" i="43"/>
  <c r="L31" i="43"/>
  <c r="H31" i="43"/>
  <c r="D31" i="43"/>
  <c r="M31" i="43"/>
  <c r="I31" i="43"/>
  <c r="E31" i="43"/>
  <c r="K31" i="43"/>
  <c r="J31" i="43"/>
  <c r="G31" i="43"/>
  <c r="C31" i="43"/>
  <c r="N27" i="43"/>
  <c r="N24" i="43"/>
  <c r="N23" i="43"/>
  <c r="N22" i="43"/>
  <c r="M25" i="43"/>
  <c r="K25" i="43"/>
  <c r="J25" i="43"/>
  <c r="I25" i="43"/>
  <c r="G25" i="43"/>
  <c r="N21" i="43"/>
  <c r="N25" i="43" s="1"/>
  <c r="E25" i="43"/>
  <c r="C25" i="43"/>
  <c r="H19" i="43"/>
  <c r="D19" i="43"/>
  <c r="N18" i="43"/>
  <c r="N17" i="43"/>
  <c r="L19" i="43"/>
  <c r="N15" i="43"/>
  <c r="M19" i="43"/>
  <c r="I19" i="43"/>
  <c r="K19" i="43"/>
  <c r="G19" i="43"/>
  <c r="N12" i="43"/>
  <c r="C19" i="43"/>
  <c r="M10" i="43"/>
  <c r="I10" i="43"/>
  <c r="I37" i="43" s="1"/>
  <c r="E10" i="43"/>
  <c r="J10" i="43"/>
  <c r="F10" i="43"/>
  <c r="A9" i="43"/>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L10" i="43"/>
  <c r="K10" i="43"/>
  <c r="K37" i="43" s="1"/>
  <c r="H10" i="43"/>
  <c r="G10" i="43"/>
  <c r="G37" i="43" s="1"/>
  <c r="D10" i="43"/>
  <c r="C10" i="43"/>
  <c r="C37" i="43" s="1"/>
  <c r="F31" i="43" l="1"/>
  <c r="N29" i="43"/>
  <c r="N31" i="43" s="1"/>
  <c r="D37" i="43"/>
  <c r="H37" i="43"/>
  <c r="E19" i="43"/>
  <c r="E37" i="43" s="1"/>
  <c r="N14" i="43"/>
  <c r="D25" i="43"/>
  <c r="H25" i="43"/>
  <c r="L25" i="43"/>
  <c r="L37" i="43" s="1"/>
  <c r="M37" i="43"/>
  <c r="F19" i="43"/>
  <c r="J19" i="43"/>
  <c r="N13" i="43"/>
  <c r="N19" i="43" s="1"/>
  <c r="N16" i="43"/>
  <c r="F25" i="43"/>
  <c r="F37" i="43"/>
  <c r="J37" i="43"/>
  <c r="N9" i="43"/>
  <c r="N30" i="43"/>
  <c r="N8" i="43"/>
  <c r="N10" i="43" s="1"/>
  <c r="N37" i="43" l="1"/>
  <c r="E162" i="41" l="1"/>
  <c r="E140" i="41"/>
  <c r="E132" i="41"/>
  <c r="E124" i="41"/>
  <c r="E109" i="41"/>
  <c r="J12" i="31" s="1"/>
  <c r="E87" i="41"/>
  <c r="E79" i="41"/>
  <c r="E71" i="41"/>
  <c r="E56" i="41"/>
  <c r="E34" i="41"/>
  <c r="E26" i="41"/>
  <c r="E18" i="41"/>
  <c r="H270" i="41" l="1"/>
  <c r="G270" i="41"/>
  <c r="F270" i="41"/>
  <c r="D270" i="41"/>
  <c r="D271" i="41" s="1"/>
  <c r="E266" i="41" s="1"/>
  <c r="F262" i="41"/>
  <c r="H262" i="41"/>
  <c r="G262" i="41"/>
  <c r="D262" i="41"/>
  <c r="D263" i="41" s="1"/>
  <c r="F254" i="41"/>
  <c r="H254" i="41"/>
  <c r="G254" i="41"/>
  <c r="D254" i="41"/>
  <c r="D255" i="41" s="1"/>
  <c r="F246" i="41"/>
  <c r="H246" i="41"/>
  <c r="G246" i="41"/>
  <c r="D246" i="41"/>
  <c r="D247" i="41" s="1"/>
  <c r="F238" i="41"/>
  <c r="H238" i="41"/>
  <c r="G238" i="41"/>
  <c r="D238" i="41"/>
  <c r="D239" i="41" s="1"/>
  <c r="F230" i="41"/>
  <c r="H230" i="41"/>
  <c r="G230" i="41"/>
  <c r="D230" i="41"/>
  <c r="D231" i="41" s="1"/>
  <c r="F222" i="41"/>
  <c r="H222" i="41"/>
  <c r="G222" i="41"/>
  <c r="D222" i="41"/>
  <c r="D223" i="41" s="1"/>
  <c r="F214" i="41"/>
  <c r="H214" i="41"/>
  <c r="G214" i="41"/>
  <c r="E214" i="41"/>
  <c r="D214" i="41"/>
  <c r="D215" i="41" s="1"/>
  <c r="E211" i="41" s="1"/>
  <c r="E215" i="41" s="1"/>
  <c r="F211" i="41" s="1"/>
  <c r="F215" i="41" s="1"/>
  <c r="G211" i="41" s="1"/>
  <c r="E207" i="41"/>
  <c r="H207" i="41"/>
  <c r="G207" i="41"/>
  <c r="F207" i="41"/>
  <c r="D207" i="41"/>
  <c r="D208" i="41" s="1"/>
  <c r="E204" i="41" s="1"/>
  <c r="E208" i="41" s="1"/>
  <c r="F204" i="41" s="1"/>
  <c r="H200" i="41"/>
  <c r="D200" i="41"/>
  <c r="D201" i="41" s="1"/>
  <c r="E197" i="41" s="1"/>
  <c r="G200" i="41"/>
  <c r="F200" i="41"/>
  <c r="E200" i="41"/>
  <c r="G193" i="41"/>
  <c r="D193" i="41"/>
  <c r="D194" i="41" s="1"/>
  <c r="E190" i="41" s="1"/>
  <c r="H193" i="41"/>
  <c r="F193" i="41"/>
  <c r="E193" i="41"/>
  <c r="H186" i="41"/>
  <c r="F186" i="41"/>
  <c r="G186" i="41"/>
  <c r="E186" i="41"/>
  <c r="D186" i="41"/>
  <c r="D187" i="41" s="1"/>
  <c r="E183" i="41" s="1"/>
  <c r="H179" i="41"/>
  <c r="F179" i="41"/>
  <c r="D179" i="41"/>
  <c r="D180" i="41" s="1"/>
  <c r="E176" i="41" s="1"/>
  <c r="G179" i="41"/>
  <c r="E179" i="41"/>
  <c r="G172" i="41"/>
  <c r="E172" i="41"/>
  <c r="H172" i="41"/>
  <c r="F172" i="41"/>
  <c r="D172" i="41"/>
  <c r="D173" i="41" s="1"/>
  <c r="E169" i="41" s="1"/>
  <c r="H111" i="41"/>
  <c r="G111" i="41"/>
  <c r="F111" i="41"/>
  <c r="E111" i="41"/>
  <c r="D111" i="41"/>
  <c r="D112" i="41" s="1"/>
  <c r="E107" i="41" s="1"/>
  <c r="E112" i="41" s="1"/>
  <c r="F107" i="41" s="1"/>
  <c r="F112" i="41" s="1"/>
  <c r="G107" i="41" s="1"/>
  <c r="G112" i="41" s="1"/>
  <c r="H107" i="41" s="1"/>
  <c r="H112" i="41" s="1"/>
  <c r="H103" i="41"/>
  <c r="D103" i="41"/>
  <c r="D104" i="41" s="1"/>
  <c r="G103" i="41"/>
  <c r="F103" i="41"/>
  <c r="E103" i="41"/>
  <c r="G96" i="41"/>
  <c r="E96" i="41"/>
  <c r="H96" i="41"/>
  <c r="F96" i="41"/>
  <c r="D96" i="41"/>
  <c r="D97" i="41" s="1"/>
  <c r="G89" i="41"/>
  <c r="D89" i="41"/>
  <c r="D90" i="41" s="1"/>
  <c r="H89" i="41"/>
  <c r="F89" i="41"/>
  <c r="E89" i="41"/>
  <c r="G81" i="41"/>
  <c r="D81" i="41"/>
  <c r="D82" i="41" s="1"/>
  <c r="H81" i="41"/>
  <c r="F81" i="41"/>
  <c r="E81" i="41"/>
  <c r="H73" i="41"/>
  <c r="G73" i="41"/>
  <c r="D73" i="41"/>
  <c r="D74" i="41" s="1"/>
  <c r="F73" i="41"/>
  <c r="E73" i="41"/>
  <c r="G65" i="41"/>
  <c r="E65" i="41"/>
  <c r="D65" i="41"/>
  <c r="D66" i="41" s="1"/>
  <c r="H65" i="41"/>
  <c r="F65" i="41"/>
  <c r="F58" i="41"/>
  <c r="D58" i="41"/>
  <c r="D59" i="41" s="1"/>
  <c r="E54" i="41" s="1"/>
  <c r="H58" i="41"/>
  <c r="G58" i="41"/>
  <c r="E58" i="41"/>
  <c r="F50" i="41"/>
  <c r="D50" i="41"/>
  <c r="D51" i="41" s="1"/>
  <c r="E47" i="41" s="1"/>
  <c r="E51" i="41" s="1"/>
  <c r="F47" i="41" s="1"/>
  <c r="F51" i="41" s="1"/>
  <c r="G47" i="41" s="1"/>
  <c r="H50" i="41"/>
  <c r="G50" i="41"/>
  <c r="E50" i="41"/>
  <c r="E43" i="41"/>
  <c r="H43" i="41"/>
  <c r="G43" i="41"/>
  <c r="F43" i="41"/>
  <c r="D43" i="41"/>
  <c r="D44" i="41" s="1"/>
  <c r="E40" i="41" s="1"/>
  <c r="E44" i="41" s="1"/>
  <c r="F40" i="41" s="1"/>
  <c r="H36" i="41"/>
  <c r="G36" i="41"/>
  <c r="E36" i="41"/>
  <c r="D36" i="41"/>
  <c r="D37" i="41" s="1"/>
  <c r="E32" i="41" s="1"/>
  <c r="E37" i="41" s="1"/>
  <c r="F32" i="41" s="1"/>
  <c r="F36" i="41"/>
  <c r="H28" i="41"/>
  <c r="G28" i="41"/>
  <c r="E28" i="41"/>
  <c r="D28" i="41"/>
  <c r="D29" i="41" s="1"/>
  <c r="E24" i="41" s="1"/>
  <c r="F28" i="41"/>
  <c r="H20" i="41"/>
  <c r="G20" i="41"/>
  <c r="E20" i="41"/>
  <c r="D20" i="41"/>
  <c r="D21" i="41" s="1"/>
  <c r="E16" i="41" s="1"/>
  <c r="F20" i="41"/>
  <c r="H12" i="41"/>
  <c r="G12" i="41"/>
  <c r="E12" i="41"/>
  <c r="D12" i="41"/>
  <c r="F12" i="41"/>
  <c r="E6" i="41"/>
  <c r="F6" i="41" s="1"/>
  <c r="G6" i="41" s="1"/>
  <c r="H6" i="41" s="1"/>
  <c r="D13" i="41" l="1"/>
  <c r="E187" i="41"/>
  <c r="F183" i="41" s="1"/>
  <c r="F187" i="41" s="1"/>
  <c r="G183" i="41" s="1"/>
  <c r="G187" i="41" s="1"/>
  <c r="H183" i="41" s="1"/>
  <c r="H187" i="41" s="1"/>
  <c r="E62" i="41"/>
  <c r="E66" i="41" s="1"/>
  <c r="F62" i="41" s="1"/>
  <c r="D12" i="31"/>
  <c r="E85" i="41"/>
  <c r="G12" i="31"/>
  <c r="E226" i="41"/>
  <c r="E69" i="41"/>
  <c r="E12" i="31"/>
  <c r="E234" i="41"/>
  <c r="E258" i="41"/>
  <c r="G51" i="41"/>
  <c r="H47" i="41" s="1"/>
  <c r="H51" i="41" s="1"/>
  <c r="I10" i="31" s="1"/>
  <c r="E93" i="41"/>
  <c r="E97" i="41" s="1"/>
  <c r="F93" i="41" s="1"/>
  <c r="F97" i="41" s="1"/>
  <c r="G93" i="41" s="1"/>
  <c r="G97" i="41" s="1"/>
  <c r="H93" i="41" s="1"/>
  <c r="H97" i="41" s="1"/>
  <c r="H12" i="31"/>
  <c r="E100" i="41"/>
  <c r="E104" i="41" s="1"/>
  <c r="F100" i="41" s="1"/>
  <c r="F104" i="41" s="1"/>
  <c r="G100" i="41" s="1"/>
  <c r="G104" i="41" s="1"/>
  <c r="H100" i="41" s="1"/>
  <c r="H104" i="41" s="1"/>
  <c r="I12" i="31"/>
  <c r="E242" i="41"/>
  <c r="E250" i="41"/>
  <c r="E77" i="41"/>
  <c r="F12" i="31"/>
  <c r="E218" i="41"/>
  <c r="E21" i="41"/>
  <c r="F16" i="41" s="1"/>
  <c r="F21" i="41" s="1"/>
  <c r="G16" i="41" s="1"/>
  <c r="G21" i="41" s="1"/>
  <c r="H16" i="41" s="1"/>
  <c r="H21" i="41" s="1"/>
  <c r="E10" i="31" s="1"/>
  <c r="E29" i="41"/>
  <c r="F24" i="41" s="1"/>
  <c r="F29" i="41" s="1"/>
  <c r="G24" i="41" s="1"/>
  <c r="G29" i="41" s="1"/>
  <c r="H24" i="41" s="1"/>
  <c r="H29" i="41" s="1"/>
  <c r="F10" i="31" s="1"/>
  <c r="G215" i="41"/>
  <c r="H211" i="41" s="1"/>
  <c r="H215" i="41" s="1"/>
  <c r="F66" i="41"/>
  <c r="G62" i="41" s="1"/>
  <c r="G66" i="41" s="1"/>
  <c r="H62" i="41" s="1"/>
  <c r="H66" i="41" s="1"/>
  <c r="E173" i="41"/>
  <c r="F169" i="41" s="1"/>
  <c r="F173" i="41" s="1"/>
  <c r="G169" i="41" s="1"/>
  <c r="G173" i="41" s="1"/>
  <c r="H169" i="41" s="1"/>
  <c r="H173" i="41" s="1"/>
  <c r="E59" i="41"/>
  <c r="F54" i="41" s="1"/>
  <c r="F59" i="41" s="1"/>
  <c r="G54" i="41" s="1"/>
  <c r="G59" i="41" s="1"/>
  <c r="H54" i="41" s="1"/>
  <c r="H59" i="41" s="1"/>
  <c r="J10" i="31" s="1"/>
  <c r="E180" i="41"/>
  <c r="F176" i="41" s="1"/>
  <c r="F180" i="41" s="1"/>
  <c r="G176" i="41" s="1"/>
  <c r="G180" i="41" s="1"/>
  <c r="H176" i="41" s="1"/>
  <c r="H180" i="41" s="1"/>
  <c r="F44" i="41"/>
  <c r="G40" i="41" s="1"/>
  <c r="G44" i="41" s="1"/>
  <c r="H40" i="41" s="1"/>
  <c r="H44" i="41" s="1"/>
  <c r="H10" i="31" s="1"/>
  <c r="F37" i="41"/>
  <c r="G32" i="41" s="1"/>
  <c r="G37" i="41" s="1"/>
  <c r="H32" i="41" s="1"/>
  <c r="H37" i="41" s="1"/>
  <c r="G10" i="31" s="1"/>
  <c r="D326" i="41"/>
  <c r="E82" i="41"/>
  <c r="F77" i="41" s="1"/>
  <c r="F82" i="41" s="1"/>
  <c r="G77" i="41" s="1"/>
  <c r="G82" i="41" s="1"/>
  <c r="H77" i="41" s="1"/>
  <c r="H82" i="41" s="1"/>
  <c r="E201" i="41"/>
  <c r="F197" i="41" s="1"/>
  <c r="F201" i="41" s="1"/>
  <c r="G197" i="41" s="1"/>
  <c r="G201" i="41" s="1"/>
  <c r="H197" i="41" s="1"/>
  <c r="H201" i="41" s="1"/>
  <c r="E194" i="41"/>
  <c r="F190" i="41" s="1"/>
  <c r="F194" i="41" s="1"/>
  <c r="G190" i="41" s="1"/>
  <c r="G194" i="41" s="1"/>
  <c r="H190" i="41" s="1"/>
  <c r="H194" i="41" s="1"/>
  <c r="E90" i="41"/>
  <c r="F85" i="41" s="1"/>
  <c r="F90" i="41" s="1"/>
  <c r="G85" i="41" s="1"/>
  <c r="G90" i="41" s="1"/>
  <c r="H85" i="41" s="1"/>
  <c r="H90" i="41" s="1"/>
  <c r="E74" i="41"/>
  <c r="F69" i="41" s="1"/>
  <c r="F74" i="41" s="1"/>
  <c r="G69" i="41" s="1"/>
  <c r="G74" i="41" s="1"/>
  <c r="H69" i="41" s="1"/>
  <c r="H74" i="41" s="1"/>
  <c r="F208" i="41"/>
  <c r="G204" i="41" s="1"/>
  <c r="G208" i="41" s="1"/>
  <c r="H204" i="41" s="1"/>
  <c r="H208" i="41" s="1"/>
  <c r="E9" i="41" l="1"/>
  <c r="E13" i="41"/>
  <c r="E326" i="41" l="1"/>
  <c r="F9" i="41"/>
  <c r="F13" i="41" l="1"/>
  <c r="F326" i="41" l="1"/>
  <c r="G9" i="41"/>
  <c r="G13" i="41" l="1"/>
  <c r="G326" i="41" l="1"/>
  <c r="H9" i="41"/>
  <c r="H13" i="41" l="1"/>
  <c r="D10" i="31" l="1"/>
  <c r="H326" i="41"/>
  <c r="E319" i="41" l="1"/>
  <c r="F319" i="41"/>
  <c r="D319" i="41" l="1"/>
  <c r="D320" i="41" s="1"/>
  <c r="E316" i="41" l="1"/>
  <c r="E320" i="41" s="1"/>
  <c r="F316" i="41" s="1"/>
  <c r="F320" i="41" s="1"/>
  <c r="G316" i="41" s="1"/>
  <c r="J14" i="32"/>
  <c r="G319" i="41"/>
  <c r="G320" i="41" s="1"/>
  <c r="H316" i="41" s="1"/>
  <c r="H319" i="41"/>
  <c r="H320" i="41" l="1"/>
  <c r="E164" i="41" l="1"/>
  <c r="D164" i="41"/>
  <c r="D165" i="41" s="1"/>
  <c r="E160" i="41" l="1"/>
  <c r="J14" i="31"/>
  <c r="E165" i="41"/>
  <c r="F160" i="41" s="1"/>
  <c r="F164" i="41"/>
  <c r="E298" i="41"/>
  <c r="E284" i="41"/>
  <c r="E312" i="41"/>
  <c r="E277" i="41"/>
  <c r="F165" i="41" l="1"/>
  <c r="G160" i="41" s="1"/>
  <c r="E126" i="41"/>
  <c r="E142" i="41"/>
  <c r="G164" i="41"/>
  <c r="D312" i="41"/>
  <c r="D313" i="41" s="1"/>
  <c r="E149" i="41"/>
  <c r="F118" i="41"/>
  <c r="D284" i="41"/>
  <c r="D285" i="41" s="1"/>
  <c r="E156" i="41"/>
  <c r="E305" i="41"/>
  <c r="E118" i="41"/>
  <c r="D118" i="41"/>
  <c r="D277" i="41"/>
  <c r="D278" i="41" s="1"/>
  <c r="E281" i="41" l="1"/>
  <c r="E285" i="41" s="1"/>
  <c r="F281" i="41" s="1"/>
  <c r="E14" i="32"/>
  <c r="E274" i="41"/>
  <c r="E278" i="41" s="1"/>
  <c r="F274" i="41" s="1"/>
  <c r="D14" i="32"/>
  <c r="E309" i="41"/>
  <c r="E313" i="41" s="1"/>
  <c r="F309" i="41" s="1"/>
  <c r="I14" i="32"/>
  <c r="F284" i="41"/>
  <c r="D119" i="41"/>
  <c r="F277" i="41"/>
  <c r="D298" i="41"/>
  <c r="D299" i="41" s="1"/>
  <c r="F298" i="41"/>
  <c r="G165" i="41"/>
  <c r="H160" i="41" s="1"/>
  <c r="E134" i="41"/>
  <c r="D291" i="41"/>
  <c r="D292" i="41" s="1"/>
  <c r="D142" i="41"/>
  <c r="D143" i="41" s="1"/>
  <c r="E291" i="41"/>
  <c r="D156" i="41"/>
  <c r="D157" i="41" s="1"/>
  <c r="F149" i="41"/>
  <c r="H164" i="41"/>
  <c r="D126" i="41"/>
  <c r="D127" i="41" s="1"/>
  <c r="D134" i="41"/>
  <c r="D135" i="41" s="1"/>
  <c r="F156" i="41"/>
  <c r="D149" i="41"/>
  <c r="D150" i="41" s="1"/>
  <c r="D14" i="31" l="1"/>
  <c r="F285" i="41"/>
  <c r="G281" i="41" s="1"/>
  <c r="E146" i="41"/>
  <c r="E150" i="41" s="1"/>
  <c r="F146" i="41" s="1"/>
  <c r="F150" i="41" s="1"/>
  <c r="G146" i="41" s="1"/>
  <c r="H14" i="31"/>
  <c r="E138" i="41"/>
  <c r="E143" i="41" s="1"/>
  <c r="F138" i="41" s="1"/>
  <c r="G14" i="31"/>
  <c r="E288" i="41"/>
  <c r="F14" i="32"/>
  <c r="E295" i="41"/>
  <c r="E299" i="41" s="1"/>
  <c r="F295" i="41" s="1"/>
  <c r="F299" i="41" s="1"/>
  <c r="G295" i="41" s="1"/>
  <c r="G14" i="32"/>
  <c r="E130" i="41"/>
  <c r="E135" i="41" s="1"/>
  <c r="F130" i="41" s="1"/>
  <c r="F14" i="31"/>
  <c r="E153" i="41"/>
  <c r="E157" i="41" s="1"/>
  <c r="F153" i="41" s="1"/>
  <c r="F157" i="41" s="1"/>
  <c r="G153" i="41" s="1"/>
  <c r="I14" i="31"/>
  <c r="F278" i="41"/>
  <c r="G274" i="41" s="1"/>
  <c r="E122" i="41"/>
  <c r="E127" i="41" s="1"/>
  <c r="F122" i="41" s="1"/>
  <c r="E14" i="31"/>
  <c r="E292" i="41"/>
  <c r="F288" i="41" s="1"/>
  <c r="F305" i="41"/>
  <c r="H165" i="41"/>
  <c r="G298" i="41"/>
  <c r="F312" i="41"/>
  <c r="F313" i="41" s="1"/>
  <c r="G309" i="41" s="1"/>
  <c r="G284" i="41"/>
  <c r="F291" i="41"/>
  <c r="E115" i="41"/>
  <c r="D305" i="41"/>
  <c r="D306" i="41" s="1"/>
  <c r="D325" i="41" s="1"/>
  <c r="F142" i="41"/>
  <c r="F134" i="41"/>
  <c r="F135" i="41" s="1"/>
  <c r="G130" i="41" s="1"/>
  <c r="G126" i="41"/>
  <c r="G156" i="41"/>
  <c r="H118" i="41"/>
  <c r="D324" i="41" l="1"/>
  <c r="F292" i="41"/>
  <c r="G288" i="41" s="1"/>
  <c r="F143" i="41"/>
  <c r="G138" i="41" s="1"/>
  <c r="G285" i="41"/>
  <c r="H281" i="41" s="1"/>
  <c r="E302" i="41"/>
  <c r="E306" i="41" s="1"/>
  <c r="F302" i="41" s="1"/>
  <c r="F306" i="41" s="1"/>
  <c r="G302" i="41" s="1"/>
  <c r="H14" i="32"/>
  <c r="G299" i="41"/>
  <c r="H295" i="41" s="1"/>
  <c r="G305" i="41"/>
  <c r="H312" i="41"/>
  <c r="E119" i="41"/>
  <c r="G291" i="41"/>
  <c r="G312" i="41"/>
  <c r="G313" i="41" s="1"/>
  <c r="H309" i="41" s="1"/>
  <c r="F126" i="41"/>
  <c r="F324" i="41" s="1"/>
  <c r="H298" i="41"/>
  <c r="G157" i="41"/>
  <c r="H153" i="41" s="1"/>
  <c r="H284" i="41"/>
  <c r="H285" i="41" s="1"/>
  <c r="G142" i="41"/>
  <c r="G134" i="41"/>
  <c r="G135" i="41" s="1"/>
  <c r="H130" i="41" s="1"/>
  <c r="G118" i="41"/>
  <c r="H126" i="41"/>
  <c r="G277" i="41"/>
  <c r="G278" i="41" s="1"/>
  <c r="H274" i="41" s="1"/>
  <c r="G149" i="41"/>
  <c r="G150" i="41" s="1"/>
  <c r="H146" i="41" s="1"/>
  <c r="H142" i="41"/>
  <c r="H277" i="41"/>
  <c r="G143" i="41" l="1"/>
  <c r="H138" i="41" s="1"/>
  <c r="G324" i="41"/>
  <c r="G292" i="41"/>
  <c r="H288" i="41" s="1"/>
  <c r="E323" i="41"/>
  <c r="H299" i="41"/>
  <c r="G306" i="41"/>
  <c r="H302" i="41" s="1"/>
  <c r="H278" i="41"/>
  <c r="D327" i="41"/>
  <c r="F115" i="41"/>
  <c r="H305" i="41"/>
  <c r="H306" i="41" s="1"/>
  <c r="H143" i="41"/>
  <c r="H291" i="41"/>
  <c r="H313" i="41"/>
  <c r="F127" i="41"/>
  <c r="G122" i="41" s="1"/>
  <c r="G127" i="41" s="1"/>
  <c r="H122" i="41" s="1"/>
  <c r="H127" i="41" s="1"/>
  <c r="H156" i="41"/>
  <c r="H157" i="41" s="1"/>
  <c r="H134" i="41"/>
  <c r="H149" i="41"/>
  <c r="H150" i="41" s="1"/>
  <c r="H292" i="41" l="1"/>
  <c r="H135" i="41"/>
  <c r="H324" i="41"/>
  <c r="F119" i="41"/>
  <c r="G115" i="41" l="1"/>
  <c r="G119" i="41" l="1"/>
  <c r="H115" i="41" l="1"/>
  <c r="H119" i="41" l="1"/>
  <c r="A29" i="12" l="1"/>
  <c r="A30" i="12"/>
  <c r="A31" i="12" s="1"/>
  <c r="C19" i="22" l="1"/>
  <c r="C18" i="22"/>
  <c r="C17" i="22"/>
  <c r="C16" i="22"/>
  <c r="C13" i="22"/>
  <c r="C12" i="22"/>
  <c r="C11" i="22"/>
  <c r="C10" i="22"/>
  <c r="M60" i="40"/>
  <c r="L60" i="40"/>
  <c r="K60" i="40"/>
  <c r="J60" i="40"/>
  <c r="I60" i="40"/>
  <c r="H60" i="40"/>
  <c r="G60" i="40"/>
  <c r="F60" i="40"/>
  <c r="E60" i="40"/>
  <c r="D60" i="40"/>
  <c r="C60" i="40"/>
  <c r="B60" i="40"/>
  <c r="N60" i="40" s="1"/>
  <c r="M59" i="40"/>
  <c r="L59" i="40"/>
  <c r="K59" i="40"/>
  <c r="J59" i="40"/>
  <c r="I59" i="40"/>
  <c r="H59" i="40"/>
  <c r="G59" i="40"/>
  <c r="F59" i="40"/>
  <c r="E59" i="40"/>
  <c r="D59" i="40"/>
  <c r="C59" i="40"/>
  <c r="B59" i="40"/>
  <c r="N59" i="40" s="1"/>
  <c r="M58" i="40"/>
  <c r="L58" i="40"/>
  <c r="K58" i="40"/>
  <c r="J58" i="40"/>
  <c r="I58" i="40"/>
  <c r="H58" i="40"/>
  <c r="G58" i="40"/>
  <c r="F58" i="40"/>
  <c r="E58" i="40"/>
  <c r="D58" i="40"/>
  <c r="C58" i="40"/>
  <c r="B58" i="40"/>
  <c r="N58" i="40" s="1"/>
  <c r="M57" i="40"/>
  <c r="L57" i="40"/>
  <c r="K57" i="40"/>
  <c r="J57" i="40"/>
  <c r="I57" i="40"/>
  <c r="H57" i="40"/>
  <c r="G57" i="40"/>
  <c r="F57" i="40"/>
  <c r="E57" i="40"/>
  <c r="D57" i="40"/>
  <c r="C57" i="40"/>
  <c r="B57" i="40"/>
  <c r="N57" i="40" s="1"/>
  <c r="N54" i="40"/>
  <c r="N48" i="40"/>
  <c r="N47" i="40"/>
  <c r="N46"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9" i="40"/>
  <c r="N18" i="40"/>
  <c r="N17" i="40"/>
  <c r="N16" i="40"/>
  <c r="N15" i="40"/>
  <c r="N14" i="40"/>
  <c r="N13" i="40"/>
  <c r="N12" i="40"/>
  <c r="N11" i="40"/>
  <c r="N10" i="40"/>
  <c r="N9" i="40"/>
  <c r="N8" i="40"/>
  <c r="D14" i="19" l="1"/>
  <c r="D12" i="19"/>
  <c r="H12" i="19"/>
  <c r="G12" i="19"/>
  <c r="F12" i="19"/>
  <c r="E12" i="19"/>
  <c r="P30" i="39"/>
  <c r="Q29" i="39"/>
  <c r="O29" i="39"/>
  <c r="N29" i="39"/>
  <c r="M29" i="39"/>
  <c r="L29" i="39"/>
  <c r="K29" i="39"/>
  <c r="J29" i="39"/>
  <c r="I29" i="39"/>
  <c r="H29" i="39"/>
  <c r="G29" i="39"/>
  <c r="F29" i="39"/>
  <c r="E29" i="39"/>
  <c r="C29" i="39"/>
  <c r="Q28" i="39"/>
  <c r="Q30" i="39" s="1"/>
  <c r="O28" i="39"/>
  <c r="O30" i="39" s="1"/>
  <c r="N28" i="39"/>
  <c r="N30" i="39" s="1"/>
  <c r="M28" i="39"/>
  <c r="M30" i="39" s="1"/>
  <c r="L28" i="39"/>
  <c r="L30" i="39" s="1"/>
  <c r="K28" i="39"/>
  <c r="K30" i="39" s="1"/>
  <c r="J28" i="39"/>
  <c r="J30" i="39" s="1"/>
  <c r="I28" i="39"/>
  <c r="I30" i="39" s="1"/>
  <c r="K11" i="36" s="1"/>
  <c r="H28" i="39"/>
  <c r="H30" i="39" s="1"/>
  <c r="J11" i="36" s="1"/>
  <c r="J16" i="36" s="1"/>
  <c r="E252" i="41" s="1"/>
  <c r="G28" i="39"/>
  <c r="G30" i="39" s="1"/>
  <c r="F28" i="39"/>
  <c r="C28" i="39" s="1"/>
  <c r="E28" i="39"/>
  <c r="E30" i="39" s="1"/>
  <c r="O25" i="39"/>
  <c r="K25" i="39"/>
  <c r="P24" i="39"/>
  <c r="O24" i="39"/>
  <c r="N24" i="39"/>
  <c r="L24" i="39"/>
  <c r="K24" i="39"/>
  <c r="J24" i="39"/>
  <c r="H24" i="39"/>
  <c r="G24" i="39"/>
  <c r="F24" i="39"/>
  <c r="A21" i="39"/>
  <c r="A22" i="39" s="1"/>
  <c r="A23" i="39" s="1"/>
  <c r="A24" i="39" s="1"/>
  <c r="A25" i="39" s="1"/>
  <c r="A26" i="39" s="1"/>
  <c r="A27" i="39" s="1"/>
  <c r="A28" i="39" s="1"/>
  <c r="A29" i="39" s="1"/>
  <c r="A30" i="39" s="1"/>
  <c r="C17" i="39"/>
  <c r="C15" i="39"/>
  <c r="A15" i="39"/>
  <c r="A16" i="39" s="1"/>
  <c r="A17" i="39" s="1"/>
  <c r="A18" i="39" s="1"/>
  <c r="A19" i="39" s="1"/>
  <c r="A20" i="39" s="1"/>
  <c r="Q11" i="39"/>
  <c r="Q24" i="39" s="1"/>
  <c r="P11" i="39"/>
  <c r="P23" i="39" s="1"/>
  <c r="P25" i="39" s="1"/>
  <c r="O11" i="39"/>
  <c r="O23" i="39" s="1"/>
  <c r="N11" i="39"/>
  <c r="N23" i="39" s="1"/>
  <c r="N25" i="39" s="1"/>
  <c r="M11" i="39"/>
  <c r="L11" i="39"/>
  <c r="L23" i="39" s="1"/>
  <c r="L25" i="39" s="1"/>
  <c r="K11" i="39"/>
  <c r="K23" i="39" s="1"/>
  <c r="J11" i="39"/>
  <c r="J23" i="39" s="1"/>
  <c r="I11" i="39"/>
  <c r="H11" i="39"/>
  <c r="H23" i="39" s="1"/>
  <c r="H25" i="39" s="1"/>
  <c r="G11" i="39"/>
  <c r="G23" i="39" s="1"/>
  <c r="G25" i="39" s="1"/>
  <c r="F11" i="39"/>
  <c r="F23" i="39" s="1"/>
  <c r="F25" i="39" s="1"/>
  <c r="E11" i="39"/>
  <c r="A10" i="39"/>
  <c r="A11" i="39" s="1"/>
  <c r="A12" i="39" s="1"/>
  <c r="A13" i="39" s="1"/>
  <c r="A14" i="39" s="1"/>
  <c r="M42" i="38"/>
  <c r="L42" i="38"/>
  <c r="K42" i="38"/>
  <c r="J42" i="38"/>
  <c r="I42" i="38"/>
  <c r="H42" i="38"/>
  <c r="G42" i="38"/>
  <c r="F42" i="38"/>
  <c r="E42" i="38"/>
  <c r="D42" i="38"/>
  <c r="C42" i="38"/>
  <c r="B42" i="38"/>
  <c r="N40" i="38"/>
  <c r="N39" i="38"/>
  <c r="N38" i="38"/>
  <c r="N42" i="38" s="1"/>
  <c r="M37" i="38"/>
  <c r="L37" i="38"/>
  <c r="K37" i="38"/>
  <c r="J37" i="38"/>
  <c r="I37" i="38"/>
  <c r="H37" i="38"/>
  <c r="G37" i="38"/>
  <c r="F37" i="38"/>
  <c r="E37" i="38"/>
  <c r="D37" i="38"/>
  <c r="C37" i="38"/>
  <c r="B37" i="38"/>
  <c r="L32" i="38"/>
  <c r="N30" i="38"/>
  <c r="N29" i="38"/>
  <c r="N28" i="38"/>
  <c r="N27" i="38"/>
  <c r="N25" i="38"/>
  <c r="M25" i="38"/>
  <c r="L25" i="38"/>
  <c r="K25" i="38"/>
  <c r="J25" i="38"/>
  <c r="I25" i="38"/>
  <c r="H25" i="38"/>
  <c r="G25" i="38"/>
  <c r="F25" i="38"/>
  <c r="E25" i="38"/>
  <c r="D25" i="38"/>
  <c r="C25" i="38"/>
  <c r="B25" i="38"/>
  <c r="N24" i="38"/>
  <c r="N23" i="38"/>
  <c r="M21" i="38"/>
  <c r="L21" i="38"/>
  <c r="K21" i="38"/>
  <c r="J21" i="38"/>
  <c r="I21" i="38"/>
  <c r="H21" i="38"/>
  <c r="G21" i="38"/>
  <c r="F21" i="38"/>
  <c r="E21" i="38"/>
  <c r="D21" i="38"/>
  <c r="D32" i="38" s="1"/>
  <c r="C21" i="38"/>
  <c r="B21" i="38"/>
  <c r="N20" i="38"/>
  <c r="N19" i="38"/>
  <c r="M17" i="38"/>
  <c r="L17" i="38"/>
  <c r="M12" i="37" s="1"/>
  <c r="M30" i="37" s="1"/>
  <c r="K17" i="38"/>
  <c r="L12" i="37" s="1"/>
  <c r="L30" i="37" s="1"/>
  <c r="J17" i="38"/>
  <c r="I17" i="38"/>
  <c r="H17" i="38"/>
  <c r="I12" i="37" s="1"/>
  <c r="I30" i="37" s="1"/>
  <c r="G17" i="38"/>
  <c r="F17" i="38"/>
  <c r="E17" i="38"/>
  <c r="D17" i="38"/>
  <c r="E12" i="37" s="1"/>
  <c r="E30" i="37" s="1"/>
  <c r="C17" i="38"/>
  <c r="B17" i="38"/>
  <c r="N17" i="38" s="1"/>
  <c r="N16" i="38"/>
  <c r="N15" i="38"/>
  <c r="M13" i="38"/>
  <c r="L13" i="38"/>
  <c r="K13" i="38"/>
  <c r="L11" i="37" s="1"/>
  <c r="J13" i="38"/>
  <c r="K11" i="37" s="1"/>
  <c r="K29" i="37" s="1"/>
  <c r="I13" i="38"/>
  <c r="H13" i="38"/>
  <c r="G13" i="38"/>
  <c r="H11" i="37" s="1"/>
  <c r="H29" i="37" s="1"/>
  <c r="F13" i="38"/>
  <c r="G11" i="37" s="1"/>
  <c r="G29" i="37" s="1"/>
  <c r="E13" i="38"/>
  <c r="D13" i="38"/>
  <c r="C13" i="38"/>
  <c r="D11" i="37" s="1"/>
  <c r="B13" i="38"/>
  <c r="C11" i="37" s="1"/>
  <c r="N12" i="38"/>
  <c r="N11" i="38"/>
  <c r="M9" i="38"/>
  <c r="M32" i="38" s="1"/>
  <c r="L9" i="38"/>
  <c r="K9" i="38"/>
  <c r="J9" i="38"/>
  <c r="I9" i="38"/>
  <c r="I32" i="38" s="1"/>
  <c r="H9" i="38"/>
  <c r="G9" i="38"/>
  <c r="F9" i="38"/>
  <c r="E9" i="38"/>
  <c r="E32" i="38" s="1"/>
  <c r="D9" i="38"/>
  <c r="C9" i="38"/>
  <c r="B9" i="38"/>
  <c r="N8" i="38"/>
  <c r="L35" i="37"/>
  <c r="H35" i="37"/>
  <c r="E35" i="37"/>
  <c r="D35" i="37"/>
  <c r="N34" i="37"/>
  <c r="K34" i="37"/>
  <c r="J34" i="37"/>
  <c r="F34" i="37"/>
  <c r="M33" i="37"/>
  <c r="L33" i="37"/>
  <c r="I33" i="37"/>
  <c r="H33" i="37"/>
  <c r="E33" i="37"/>
  <c r="D33" i="37"/>
  <c r="N32" i="37"/>
  <c r="K32" i="37"/>
  <c r="J32" i="37"/>
  <c r="G32" i="37"/>
  <c r="F32" i="37"/>
  <c r="C32" i="37"/>
  <c r="L31" i="37"/>
  <c r="H31" i="37"/>
  <c r="E31" i="37"/>
  <c r="D31" i="37"/>
  <c r="N30" i="37"/>
  <c r="K30" i="37"/>
  <c r="J30" i="37"/>
  <c r="G30" i="37"/>
  <c r="F30" i="37"/>
  <c r="L29" i="37"/>
  <c r="D29" i="37"/>
  <c r="N17" i="37"/>
  <c r="N35" i="37" s="1"/>
  <c r="M17" i="37"/>
  <c r="M35" i="37" s="1"/>
  <c r="L17" i="37"/>
  <c r="K17" i="37"/>
  <c r="K35" i="37" s="1"/>
  <c r="J17" i="37"/>
  <c r="J35" i="37" s="1"/>
  <c r="I17" i="37"/>
  <c r="I35" i="37" s="1"/>
  <c r="H17" i="37"/>
  <c r="G17" i="37"/>
  <c r="G35" i="37" s="1"/>
  <c r="F17" i="37"/>
  <c r="F35" i="37" s="1"/>
  <c r="E17" i="37"/>
  <c r="D17" i="37"/>
  <c r="C17" i="37"/>
  <c r="C35" i="37" s="1"/>
  <c r="N16" i="37"/>
  <c r="M16" i="37"/>
  <c r="M34" i="37" s="1"/>
  <c r="L16" i="37"/>
  <c r="L34" i="37" s="1"/>
  <c r="K16" i="37"/>
  <c r="J16" i="37"/>
  <c r="I16" i="37"/>
  <c r="I34" i="37" s="1"/>
  <c r="H16" i="37"/>
  <c r="H34" i="37" s="1"/>
  <c r="G16" i="37"/>
  <c r="G34" i="37" s="1"/>
  <c r="F16" i="37"/>
  <c r="E16" i="37"/>
  <c r="E34" i="37" s="1"/>
  <c r="D16" i="37"/>
  <c r="D34" i="37" s="1"/>
  <c r="C16" i="37"/>
  <c r="C34" i="37" s="1"/>
  <c r="O34" i="37" s="1"/>
  <c r="N15" i="37"/>
  <c r="N33" i="37" s="1"/>
  <c r="M15" i="37"/>
  <c r="L15" i="37"/>
  <c r="K15" i="37"/>
  <c r="K33" i="37" s="1"/>
  <c r="J15" i="37"/>
  <c r="J33" i="37" s="1"/>
  <c r="I15" i="37"/>
  <c r="H15" i="37"/>
  <c r="G15" i="37"/>
  <c r="G33" i="37" s="1"/>
  <c r="F15" i="37"/>
  <c r="F33" i="37" s="1"/>
  <c r="E15" i="37"/>
  <c r="D15" i="37"/>
  <c r="C15" i="37"/>
  <c r="C33" i="37" s="1"/>
  <c r="N14" i="37"/>
  <c r="M14" i="37"/>
  <c r="M32" i="37" s="1"/>
  <c r="L14" i="37"/>
  <c r="L32" i="37" s="1"/>
  <c r="K14" i="37"/>
  <c r="J14" i="37"/>
  <c r="I14" i="37"/>
  <c r="I32" i="37" s="1"/>
  <c r="H14" i="37"/>
  <c r="H32" i="37" s="1"/>
  <c r="G14" i="37"/>
  <c r="F14" i="37"/>
  <c r="E14" i="37"/>
  <c r="E32" i="37" s="1"/>
  <c r="D14" i="37"/>
  <c r="D32" i="37" s="1"/>
  <c r="O32" i="37" s="1"/>
  <c r="C14" i="37"/>
  <c r="O14" i="37" s="1"/>
  <c r="N13" i="37"/>
  <c r="N31" i="37" s="1"/>
  <c r="M13" i="37"/>
  <c r="M31" i="37" s="1"/>
  <c r="L13" i="37"/>
  <c r="K13" i="37"/>
  <c r="K31" i="37" s="1"/>
  <c r="J13" i="37"/>
  <c r="J31" i="37" s="1"/>
  <c r="I13" i="37"/>
  <c r="I31" i="37" s="1"/>
  <c r="H13" i="37"/>
  <c r="G13" i="37"/>
  <c r="G31" i="37" s="1"/>
  <c r="F13" i="37"/>
  <c r="F31" i="37" s="1"/>
  <c r="E13" i="37"/>
  <c r="D13" i="37"/>
  <c r="C13" i="37"/>
  <c r="C31" i="37" s="1"/>
  <c r="N12" i="37"/>
  <c r="K12" i="37"/>
  <c r="J12" i="37"/>
  <c r="H12" i="37"/>
  <c r="H30" i="37" s="1"/>
  <c r="G12" i="37"/>
  <c r="F12" i="37"/>
  <c r="D12" i="37"/>
  <c r="D30" i="37" s="1"/>
  <c r="C12" i="37"/>
  <c r="C30" i="37" s="1"/>
  <c r="O30" i="37" s="1"/>
  <c r="N11" i="37"/>
  <c r="N29" i="37" s="1"/>
  <c r="M11" i="37"/>
  <c r="M29" i="37" s="1"/>
  <c r="J11" i="37"/>
  <c r="J29" i="37" s="1"/>
  <c r="I11" i="37"/>
  <c r="I29" i="37" s="1"/>
  <c r="F11" i="37"/>
  <c r="F29" i="37" s="1"/>
  <c r="E11" i="37"/>
  <c r="E29" i="37" s="1"/>
  <c r="A10" i="37"/>
  <c r="A11" i="37" s="1"/>
  <c r="A12" i="37" s="1"/>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G7" i="37"/>
  <c r="H7" i="37" s="1"/>
  <c r="I7" i="37" s="1"/>
  <c r="J7" i="37" s="1"/>
  <c r="K7" i="37" s="1"/>
  <c r="L7" i="37" s="1"/>
  <c r="M7" i="37" s="1"/>
  <c r="N7" i="37" s="1"/>
  <c r="D7" i="37"/>
  <c r="E7" i="37" s="1"/>
  <c r="F7" i="37" s="1"/>
  <c r="D21" i="36"/>
  <c r="J23" i="36" s="1"/>
  <c r="K16" i="36"/>
  <c r="E260" i="41" s="1"/>
  <c r="A13" i="36"/>
  <c r="A14" i="36" s="1"/>
  <c r="A15" i="36" s="1"/>
  <c r="A16" i="36" s="1"/>
  <c r="A17" i="36" s="1"/>
  <c r="A18" i="36" s="1"/>
  <c r="A19" i="36" s="1"/>
  <c r="A20" i="36" s="1"/>
  <c r="A21" i="36" s="1"/>
  <c r="A22" i="36" s="1"/>
  <c r="A23" i="36" s="1"/>
  <c r="A12" i="36"/>
  <c r="I11" i="36"/>
  <c r="I16" i="36" s="1"/>
  <c r="E268" i="41" s="1"/>
  <c r="H11" i="36"/>
  <c r="E11" i="36"/>
  <c r="A11" i="36"/>
  <c r="D39" i="35"/>
  <c r="D35" i="35"/>
  <c r="D31" i="35"/>
  <c r="A13" i="35"/>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11" i="35"/>
  <c r="A12" i="35" s="1"/>
  <c r="K23" i="36" l="1"/>
  <c r="H23" i="36"/>
  <c r="E262" i="41"/>
  <c r="E263" i="41" s="1"/>
  <c r="F258" i="41" s="1"/>
  <c r="F263" i="41" s="1"/>
  <c r="G258" i="41" s="1"/>
  <c r="G263" i="41" s="1"/>
  <c r="H258" i="41" s="1"/>
  <c r="H263" i="41" s="1"/>
  <c r="I12" i="32"/>
  <c r="J12" i="32"/>
  <c r="E270" i="41"/>
  <c r="E271" i="41" s="1"/>
  <c r="F266" i="41" s="1"/>
  <c r="F271" i="41" s="1"/>
  <c r="G266" i="41" s="1"/>
  <c r="G271" i="41" s="1"/>
  <c r="H266" i="41" s="1"/>
  <c r="H271" i="41" s="1"/>
  <c r="E254" i="41"/>
  <c r="E255" i="41" s="1"/>
  <c r="F250" i="41" s="1"/>
  <c r="F255" i="41" s="1"/>
  <c r="G250" i="41" s="1"/>
  <c r="G255" i="41" s="1"/>
  <c r="H250" i="41" s="1"/>
  <c r="H255" i="41" s="1"/>
  <c r="H12" i="32"/>
  <c r="E16" i="36"/>
  <c r="E220" i="41" s="1"/>
  <c r="D11" i="36"/>
  <c r="O12" i="37"/>
  <c r="E24" i="39"/>
  <c r="C11" i="39"/>
  <c r="E23" i="39"/>
  <c r="I24" i="39"/>
  <c r="I23" i="39"/>
  <c r="I25" i="39" s="1"/>
  <c r="M24" i="39"/>
  <c r="M23" i="39"/>
  <c r="M25" i="39" s="1"/>
  <c r="Q23" i="39"/>
  <c r="Q25" i="39" s="1"/>
  <c r="H16" i="36"/>
  <c r="E244" i="41" s="1"/>
  <c r="O33" i="37"/>
  <c r="G11" i="35" s="1"/>
  <c r="O16" i="37"/>
  <c r="F30" i="39"/>
  <c r="F11" i="36" s="1"/>
  <c r="F16" i="36" s="1"/>
  <c r="E228" i="41" s="1"/>
  <c r="C29" i="37"/>
  <c r="O29" i="37" s="1"/>
  <c r="E11" i="35" s="1"/>
  <c r="O11" i="37"/>
  <c r="N13" i="38"/>
  <c r="C45" i="38"/>
  <c r="G45" i="38"/>
  <c r="K45" i="38"/>
  <c r="D45" i="38"/>
  <c r="L45" i="38"/>
  <c r="J25" i="39"/>
  <c r="G11" i="36"/>
  <c r="B32" i="38"/>
  <c r="B45" i="38" s="1"/>
  <c r="F32" i="38"/>
  <c r="F45" i="38" s="1"/>
  <c r="J32" i="38"/>
  <c r="J45" i="38" s="1"/>
  <c r="N9" i="38"/>
  <c r="N21" i="38"/>
  <c r="E45" i="38"/>
  <c r="I45" i="38"/>
  <c r="M45" i="38"/>
  <c r="O31" i="37"/>
  <c r="F11" i="35" s="1"/>
  <c r="O35" i="37"/>
  <c r="H11" i="35" s="1"/>
  <c r="C32" i="38"/>
  <c r="G32" i="38"/>
  <c r="K32" i="38"/>
  <c r="H32" i="38"/>
  <c r="H45" i="38" s="1"/>
  <c r="C30" i="39"/>
  <c r="E23" i="36"/>
  <c r="I23" i="36"/>
  <c r="O13" i="37"/>
  <c r="O15" i="37"/>
  <c r="O17" i="37"/>
  <c r="F23" i="36"/>
  <c r="E222" i="41" l="1"/>
  <c r="D12" i="32"/>
  <c r="E246" i="41"/>
  <c r="E247" i="41" s="1"/>
  <c r="F242" i="41" s="1"/>
  <c r="F247" i="41" s="1"/>
  <c r="G242" i="41" s="1"/>
  <c r="G247" i="41" s="1"/>
  <c r="H242" i="41" s="1"/>
  <c r="H247" i="41" s="1"/>
  <c r="G12" i="32"/>
  <c r="E230" i="41"/>
  <c r="E231" i="41" s="1"/>
  <c r="F226" i="41" s="1"/>
  <c r="F231" i="41" s="1"/>
  <c r="G226" i="41" s="1"/>
  <c r="G231" i="41" s="1"/>
  <c r="H226" i="41" s="1"/>
  <c r="H231" i="41" s="1"/>
  <c r="E12" i="32"/>
  <c r="F13" i="35"/>
  <c r="H13" i="35"/>
  <c r="C23" i="39"/>
  <c r="E25" i="39"/>
  <c r="C25" i="39" s="1"/>
  <c r="N32" i="38"/>
  <c r="N45" i="38" s="1"/>
  <c r="E13" i="35"/>
  <c r="D11" i="35"/>
  <c r="G13" i="35" s="1"/>
  <c r="C24" i="39"/>
  <c r="G16" i="36"/>
  <c r="E236" i="41" s="1"/>
  <c r="G23" i="36"/>
  <c r="D23" i="36" s="1"/>
  <c r="E238" i="41" l="1"/>
  <c r="E239" i="41" s="1"/>
  <c r="F234" i="41" s="1"/>
  <c r="F239" i="41" s="1"/>
  <c r="G234" i="41" s="1"/>
  <c r="G239" i="41" s="1"/>
  <c r="H234" i="41" s="1"/>
  <c r="H239" i="41" s="1"/>
  <c r="F12" i="32"/>
  <c r="D16" i="36"/>
  <c r="E223" i="41"/>
  <c r="E324" i="41"/>
  <c r="G22" i="35"/>
  <c r="G33" i="35"/>
  <c r="G26" i="35"/>
  <c r="G18" i="35"/>
  <c r="G41" i="35"/>
  <c r="G37" i="35"/>
  <c r="E26" i="35"/>
  <c r="D13" i="35"/>
  <c r="E22" i="35"/>
  <c r="E18" i="35"/>
  <c r="E41" i="35"/>
  <c r="E33" i="35"/>
  <c r="E37" i="35"/>
  <c r="H26" i="35"/>
  <c r="H18" i="35"/>
  <c r="H22" i="35"/>
  <c r="H33" i="35"/>
  <c r="H37" i="35"/>
  <c r="H41" i="35"/>
  <c r="F26" i="35"/>
  <c r="F22" i="35"/>
  <c r="F41" i="35"/>
  <c r="F18" i="35"/>
  <c r="F33" i="35"/>
  <c r="F37" i="35"/>
  <c r="F218" i="41" l="1"/>
  <c r="E325" i="41"/>
  <c r="E327" i="41" s="1"/>
  <c r="D33" i="35"/>
  <c r="D26" i="35"/>
  <c r="D18" i="35"/>
  <c r="D41" i="35"/>
  <c r="D37" i="35"/>
  <c r="D22" i="35"/>
  <c r="F223" i="41" l="1"/>
  <c r="F323" i="41"/>
  <c r="E12" i="3"/>
  <c r="J24" i="32"/>
  <c r="J16" i="3" s="1"/>
  <c r="H24" i="32"/>
  <c r="H16" i="3" s="1"/>
  <c r="F24" i="32"/>
  <c r="F16" i="3" s="1"/>
  <c r="D24" i="32"/>
  <c r="D16" i="3" s="1"/>
  <c r="H22" i="32"/>
  <c r="H14" i="3" s="1"/>
  <c r="G22" i="32"/>
  <c r="G14" i="3" s="1"/>
  <c r="D22" i="32"/>
  <c r="D14" i="3" s="1"/>
  <c r="J20" i="32"/>
  <c r="J12" i="3" s="1"/>
  <c r="H20" i="32"/>
  <c r="F20" i="32"/>
  <c r="D20" i="32"/>
  <c r="J18" i="32"/>
  <c r="J22" i="32" s="1"/>
  <c r="J14" i="3" s="1"/>
  <c r="I18" i="32"/>
  <c r="I20" i="32" s="1"/>
  <c r="I12" i="3" s="1"/>
  <c r="H18" i="32"/>
  <c r="G18" i="32"/>
  <c r="G24" i="32" s="1"/>
  <c r="G16" i="3" s="1"/>
  <c r="F18" i="32"/>
  <c r="F22" i="32" s="1"/>
  <c r="F14" i="3" s="1"/>
  <c r="E18" i="32"/>
  <c r="E20" i="32" s="1"/>
  <c r="D18" i="32"/>
  <c r="J16" i="32"/>
  <c r="I16" i="32"/>
  <c r="H16" i="32"/>
  <c r="G16" i="32"/>
  <c r="F16" i="32"/>
  <c r="E16" i="32"/>
  <c r="D16" i="32"/>
  <c r="A11" i="32"/>
  <c r="A12" i="32" s="1"/>
  <c r="A13" i="32" s="1"/>
  <c r="A14" i="32" s="1"/>
  <c r="A15" i="32" s="1"/>
  <c r="A16" i="32" s="1"/>
  <c r="A17" i="32" s="1"/>
  <c r="A18" i="32" s="1"/>
  <c r="A19" i="32" s="1"/>
  <c r="A20" i="32" s="1"/>
  <c r="A21" i="32" s="1"/>
  <c r="A22" i="32" s="1"/>
  <c r="A23" i="32" s="1"/>
  <c r="A24" i="32" s="1"/>
  <c r="A25" i="32" s="1"/>
  <c r="A26" i="32" s="1"/>
  <c r="A10" i="32"/>
  <c r="E18" i="31"/>
  <c r="E20" i="31" s="1"/>
  <c r="E12" i="1" s="1"/>
  <c r="F18" i="31"/>
  <c r="F20" i="31" s="1"/>
  <c r="F12" i="1" s="1"/>
  <c r="G18" i="31"/>
  <c r="H18" i="31"/>
  <c r="H20" i="31" s="1"/>
  <c r="D12" i="2" s="1"/>
  <c r="I18" i="31"/>
  <c r="I22" i="31" s="1"/>
  <c r="E14" i="2" s="1"/>
  <c r="J18" i="31"/>
  <c r="J20" i="31" s="1"/>
  <c r="H12" i="1" s="1"/>
  <c r="D18" i="31"/>
  <c r="H16" i="31"/>
  <c r="I16" i="31"/>
  <c r="J16" i="31"/>
  <c r="H22" i="31"/>
  <c r="D14" i="2" s="1"/>
  <c r="H24" i="31"/>
  <c r="D16" i="2" s="1"/>
  <c r="I24" i="31"/>
  <c r="E16" i="2" s="1"/>
  <c r="E24" i="31"/>
  <c r="E16" i="1" s="1"/>
  <c r="G22" i="31"/>
  <c r="G14" i="1" s="1"/>
  <c r="D22" i="31"/>
  <c r="D14" i="1" s="1"/>
  <c r="G24" i="31"/>
  <c r="G16" i="1" s="1"/>
  <c r="D24" i="31"/>
  <c r="D16" i="1" s="1"/>
  <c r="E16" i="31"/>
  <c r="G20" i="31"/>
  <c r="G12" i="1" s="1"/>
  <c r="D20" i="31"/>
  <c r="D12" i="1" s="1"/>
  <c r="A10" i="31"/>
  <c r="A11" i="31" s="1"/>
  <c r="A12" i="31" s="1"/>
  <c r="A13" i="31" s="1"/>
  <c r="A14" i="31" s="1"/>
  <c r="A15" i="31" s="1"/>
  <c r="A16" i="31" s="1"/>
  <c r="A17" i="31" s="1"/>
  <c r="A18" i="31" s="1"/>
  <c r="A19" i="31" s="1"/>
  <c r="A20" i="31" s="1"/>
  <c r="A21" i="31" s="1"/>
  <c r="A22" i="31" s="1"/>
  <c r="A23" i="31" s="1"/>
  <c r="A24" i="31" s="1"/>
  <c r="A25" i="31" s="1"/>
  <c r="A26" i="31" s="1"/>
  <c r="D26" i="32" l="1"/>
  <c r="G218" i="41"/>
  <c r="F325" i="41"/>
  <c r="F327" i="41" s="1"/>
  <c r="H26" i="32"/>
  <c r="F26" i="32"/>
  <c r="H12" i="3"/>
  <c r="F12" i="3"/>
  <c r="D12" i="3"/>
  <c r="J26" i="32"/>
  <c r="E22" i="32"/>
  <c r="E14" i="3" s="1"/>
  <c r="I22" i="32"/>
  <c r="G20" i="32"/>
  <c r="E24" i="32"/>
  <c r="E16" i="3" s="1"/>
  <c r="I24" i="32"/>
  <c r="I16" i="3" s="1"/>
  <c r="F22" i="31"/>
  <c r="F24" i="31"/>
  <c r="F16" i="1" s="1"/>
  <c r="J22" i="31"/>
  <c r="I20" i="31"/>
  <c r="G26" i="31"/>
  <c r="J24" i="31"/>
  <c r="H16" i="1" s="1"/>
  <c r="H26" i="31"/>
  <c r="D26" i="31"/>
  <c r="G16" i="31"/>
  <c r="E22" i="31"/>
  <c r="E14" i="1" s="1"/>
  <c r="F16" i="31"/>
  <c r="D16" i="31"/>
  <c r="G223" i="41" l="1"/>
  <c r="G323" i="41"/>
  <c r="E26" i="32"/>
  <c r="I26" i="32"/>
  <c r="I14" i="3"/>
  <c r="G26" i="32"/>
  <c r="G12" i="3"/>
  <c r="J26" i="31"/>
  <c r="H14" i="1"/>
  <c r="F26" i="31"/>
  <c r="F14" i="1"/>
  <c r="E26" i="31"/>
  <c r="I26" i="31"/>
  <c r="E12" i="2"/>
  <c r="E67" i="29"/>
  <c r="D67" i="29"/>
  <c r="E58" i="29"/>
  <c r="D58" i="29"/>
  <c r="E49" i="29"/>
  <c r="D49" i="29"/>
  <c r="E40" i="29"/>
  <c r="D40" i="29"/>
  <c r="E31" i="29"/>
  <c r="D31" i="29"/>
  <c r="E22" i="29"/>
  <c r="D22" i="29"/>
  <c r="E13" i="29"/>
  <c r="D13" i="29"/>
  <c r="E18" i="30"/>
  <c r="E20" i="30" s="1"/>
  <c r="E21" i="30" s="1"/>
  <c r="E22" i="30" s="1"/>
  <c r="E16" i="30"/>
  <c r="B16" i="30"/>
  <c r="H218" i="41" l="1"/>
  <c r="G325" i="41"/>
  <c r="G327" i="41" s="1"/>
  <c r="E63" i="29"/>
  <c r="D63" i="29"/>
  <c r="E54" i="29"/>
  <c r="E56" i="29" s="1"/>
  <c r="E60" i="29" s="1"/>
  <c r="D54" i="29"/>
  <c r="D56" i="29" s="1"/>
  <c r="D60" i="29" s="1"/>
  <c r="E45" i="29"/>
  <c r="D45" i="29"/>
  <c r="E36" i="29"/>
  <c r="D36" i="29"/>
  <c r="E27" i="29"/>
  <c r="D27" i="29"/>
  <c r="E18" i="29"/>
  <c r="D18" i="29"/>
  <c r="E9" i="29"/>
  <c r="D9" i="29"/>
  <c r="A43" i="29"/>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E65" i="29"/>
  <c r="E69" i="29" s="1"/>
  <c r="D65" i="29"/>
  <c r="D69" i="29" s="1"/>
  <c r="E47" i="29"/>
  <c r="E51" i="29" s="1"/>
  <c r="D47" i="29"/>
  <c r="D51" i="29" s="1"/>
  <c r="J22" i="3"/>
  <c r="I22" i="3"/>
  <c r="H22" i="3"/>
  <c r="G22" i="3"/>
  <c r="F22" i="3"/>
  <c r="E22" i="3"/>
  <c r="D22" i="3"/>
  <c r="E22" i="2"/>
  <c r="D22" i="2"/>
  <c r="H22" i="1"/>
  <c r="G22" i="1"/>
  <c r="F22" i="1"/>
  <c r="E22" i="1"/>
  <c r="D22" i="1"/>
  <c r="C48" i="28"/>
  <c r="D48" i="28"/>
  <c r="E48" i="28"/>
  <c r="F48" i="28"/>
  <c r="G48" i="28"/>
  <c r="H48" i="28"/>
  <c r="I48" i="28"/>
  <c r="J48" i="28"/>
  <c r="K48" i="28"/>
  <c r="L48" i="28"/>
  <c r="M48" i="28"/>
  <c r="N48" i="28"/>
  <c r="O48" i="28"/>
  <c r="B48" i="28"/>
  <c r="C22" i="28"/>
  <c r="D22" i="28"/>
  <c r="E22" i="28"/>
  <c r="F22" i="28"/>
  <c r="G22" i="28"/>
  <c r="H22" i="28"/>
  <c r="I22" i="28"/>
  <c r="J22" i="28"/>
  <c r="K22" i="28"/>
  <c r="L22" i="28"/>
  <c r="M22" i="28"/>
  <c r="N22" i="28"/>
  <c r="O22" i="28"/>
  <c r="B22" i="28"/>
  <c r="H223" i="41" l="1"/>
  <c r="H325" i="41" s="1"/>
  <c r="H327" i="41" s="1"/>
  <c r="H323" i="41"/>
  <c r="E38" i="29"/>
  <c r="E42" i="29" s="1"/>
  <c r="D38" i="29"/>
  <c r="D42" i="29" s="1"/>
  <c r="E29" i="29"/>
  <c r="E33" i="29" s="1"/>
  <c r="D29" i="29"/>
  <c r="D33" i="29" s="1"/>
  <c r="E20" i="29"/>
  <c r="E24" i="29" s="1"/>
  <c r="D20" i="29"/>
  <c r="D24" i="29" s="1"/>
  <c r="A10" i="29"/>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E11" i="29"/>
  <c r="E15" i="29" s="1"/>
  <c r="D11" i="29"/>
  <c r="D15" i="29" s="1"/>
  <c r="A9" i="29"/>
  <c r="E7" i="29"/>
  <c r="P48" i="28"/>
  <c r="C49" i="28"/>
  <c r="D49" i="28"/>
  <c r="E49" i="28"/>
  <c r="F49" i="28"/>
  <c r="G49" i="28"/>
  <c r="H49" i="28"/>
  <c r="I49" i="28"/>
  <c r="J49" i="28"/>
  <c r="K49" i="28"/>
  <c r="L49" i="28"/>
  <c r="M49" i="28"/>
  <c r="N49" i="28"/>
  <c r="O49" i="28"/>
  <c r="B49" i="28"/>
  <c r="C23" i="28"/>
  <c r="D23" i="28"/>
  <c r="E23" i="28"/>
  <c r="F23" i="28"/>
  <c r="G23" i="28"/>
  <c r="H23" i="28"/>
  <c r="I23" i="28"/>
  <c r="J23" i="28"/>
  <c r="K23" i="28"/>
  <c r="L23" i="28"/>
  <c r="M23" i="28"/>
  <c r="N23" i="28"/>
  <c r="O23" i="28"/>
  <c r="B23" i="28"/>
  <c r="P22" i="28"/>
  <c r="O46" i="28"/>
  <c r="N46" i="28"/>
  <c r="M46" i="28"/>
  <c r="L46" i="28"/>
  <c r="K46" i="28"/>
  <c r="J46" i="28"/>
  <c r="I46" i="28"/>
  <c r="H46" i="28"/>
  <c r="G46" i="28"/>
  <c r="F46" i="28"/>
  <c r="E46" i="28"/>
  <c r="D46" i="28"/>
  <c r="C46" i="28"/>
  <c r="B46" i="28"/>
  <c r="P45" i="28"/>
  <c r="P44" i="28"/>
  <c r="P43" i="28"/>
  <c r="P42" i="28"/>
  <c r="P41" i="28"/>
  <c r="P40" i="28"/>
  <c r="P39" i="28"/>
  <c r="P38" i="28"/>
  <c r="P37" i="28"/>
  <c r="P36" i="28"/>
  <c r="P35" i="28"/>
  <c r="P34" i="28"/>
  <c r="B33" i="28"/>
  <c r="P32" i="28"/>
  <c r="P29" i="28"/>
  <c r="P28" i="28"/>
  <c r="B27" i="28"/>
  <c r="P26" i="28"/>
  <c r="O20" i="28"/>
  <c r="N20" i="28"/>
  <c r="M20" i="28"/>
  <c r="L20" i="28"/>
  <c r="K20" i="28"/>
  <c r="J20" i="28"/>
  <c r="I20" i="28"/>
  <c r="H20" i="28"/>
  <c r="G20" i="28"/>
  <c r="F20" i="28"/>
  <c r="E20" i="28"/>
  <c r="D20" i="28"/>
  <c r="C20" i="28"/>
  <c r="B20" i="28"/>
  <c r="P19" i="28"/>
  <c r="P18" i="28"/>
  <c r="P17" i="28"/>
  <c r="P16" i="28"/>
  <c r="P15" i="28"/>
  <c r="P14" i="28"/>
  <c r="P13" i="28"/>
  <c r="P12" i="28"/>
  <c r="P11" i="28"/>
  <c r="P10" i="28"/>
  <c r="P9" i="28"/>
  <c r="P8" i="28"/>
  <c r="C7" i="28"/>
  <c r="C33" i="28" s="1"/>
  <c r="P46" i="28" l="1"/>
  <c r="P49" i="28"/>
  <c r="P23" i="28"/>
  <c r="P20" i="28"/>
  <c r="C27" i="28"/>
  <c r="D7" i="28"/>
  <c r="E7" i="28" l="1"/>
  <c r="D27" i="28"/>
  <c r="D33" i="28"/>
  <c r="E27" i="28" l="1"/>
  <c r="F7" i="28"/>
  <c r="E33" i="28"/>
  <c r="F33" i="28" l="1"/>
  <c r="G7" i="28"/>
  <c r="F27" i="28"/>
  <c r="G33" i="28" l="1"/>
  <c r="H7" i="28"/>
  <c r="G27" i="28"/>
  <c r="I7" i="28" l="1"/>
  <c r="H27" i="28"/>
  <c r="H33" i="28"/>
  <c r="I27" i="28" l="1"/>
  <c r="I33" i="28"/>
  <c r="J7" i="28"/>
  <c r="J27" i="28" l="1"/>
  <c r="J33" i="28"/>
  <c r="K7" i="28"/>
  <c r="K33" i="28" l="1"/>
  <c r="L7" i="28"/>
  <c r="K27" i="28"/>
  <c r="M7" i="28" l="1"/>
  <c r="L27" i="28"/>
  <c r="L33" i="28"/>
  <c r="M27" i="28" l="1"/>
  <c r="N7" i="28"/>
  <c r="M33" i="28"/>
  <c r="N33" i="28" l="1"/>
  <c r="O7" i="28"/>
  <c r="N27" i="28"/>
  <c r="O33" i="28" l="1"/>
  <c r="O27" i="28"/>
  <c r="H15" i="5" l="1"/>
  <c r="H21" i="5"/>
  <c r="J20" i="3"/>
  <c r="J24" i="3" s="1"/>
  <c r="H25" i="5" s="1"/>
  <c r="H20" i="3"/>
  <c r="H24" i="3" s="1"/>
  <c r="D27" i="6" s="1"/>
  <c r="I20" i="3"/>
  <c r="I24" i="3" s="1"/>
  <c r="E27" i="6" s="1"/>
  <c r="E35" i="27" l="1"/>
  <c r="E32" i="27"/>
  <c r="E39" i="27" s="1"/>
  <c r="D32" i="27"/>
  <c r="E14" i="27"/>
  <c r="E24" i="27" s="1"/>
  <c r="E25" i="27" s="1"/>
  <c r="E26" i="27" s="1"/>
  <c r="E27" i="27" s="1"/>
  <c r="E28" i="27" s="1"/>
  <c r="D14" i="27"/>
  <c r="D24" i="27" s="1"/>
  <c r="C14" i="27"/>
  <c r="A11" i="27"/>
  <c r="A12" i="27" s="1"/>
  <c r="A13" i="27" s="1"/>
  <c r="A14" i="27" s="1"/>
  <c r="A10" i="27"/>
  <c r="E31" i="26"/>
  <c r="D31" i="26"/>
  <c r="E24" i="26"/>
  <c r="D24" i="26"/>
  <c r="E21" i="26"/>
  <c r="E20" i="26"/>
  <c r="E19" i="26"/>
  <c r="E18" i="26"/>
  <c r="E17" i="26"/>
  <c r="E14" i="26"/>
  <c r="D14" i="26"/>
  <c r="C14" i="26"/>
  <c r="A14" i="26"/>
  <c r="A10" i="26"/>
  <c r="A11" i="26" s="1"/>
  <c r="A12" i="26" s="1"/>
  <c r="A13" i="26" s="1"/>
  <c r="A9" i="22"/>
  <c r="A10" i="22" s="1"/>
  <c r="A11" i="22" s="1"/>
  <c r="A12" i="22" s="1"/>
  <c r="A13" i="22" s="1"/>
  <c r="A14" i="22" s="1"/>
  <c r="A15" i="22" s="1"/>
  <c r="A16" i="22" s="1"/>
  <c r="A17" i="22" s="1"/>
  <c r="A18" i="22" s="1"/>
  <c r="A19" i="22" s="1"/>
  <c r="A20" i="22" s="1"/>
  <c r="A21" i="22" s="1"/>
  <c r="A22" i="22" s="1"/>
  <c r="A23" i="22" s="1"/>
  <c r="A24" i="22" s="1"/>
  <c r="A25" i="22" s="1"/>
  <c r="A11" i="19"/>
  <c r="A12" i="19" s="1"/>
  <c r="A13" i="19" s="1"/>
  <c r="A14" i="19" s="1"/>
  <c r="A15" i="19" s="1"/>
  <c r="A16" i="19" s="1"/>
  <c r="A17" i="19" s="1"/>
  <c r="A18" i="19" s="1"/>
  <c r="A15" i="18"/>
  <c r="A16" i="18" s="1"/>
  <c r="A17" i="18" s="1"/>
  <c r="A18" i="18" s="1"/>
  <c r="A14" i="18"/>
  <c r="A13" i="18"/>
  <c r="A11" i="18"/>
  <c r="A12" i="18" s="1"/>
  <c r="A21" i="12"/>
  <c r="A22" i="12" s="1"/>
  <c r="A23" i="12" s="1"/>
  <c r="A24" i="12" s="1"/>
  <c r="A25" i="12" s="1"/>
  <c r="A26" i="12" s="1"/>
  <c r="A27" i="12" s="1"/>
  <c r="A28" i="12" s="1"/>
  <c r="A14" i="12"/>
  <c r="A15" i="12" s="1"/>
  <c r="A16" i="12" s="1"/>
  <c r="A17" i="12" s="1"/>
  <c r="A18" i="12" s="1"/>
  <c r="A19" i="12" s="1"/>
  <c r="A20" i="12" s="1"/>
  <c r="A11" i="12"/>
  <c r="A12" i="12" s="1"/>
  <c r="A13" i="12" s="1"/>
  <c r="E15" i="5"/>
  <c r="A12" i="6"/>
  <c r="A13" i="6" s="1"/>
  <c r="G21" i="5"/>
  <c r="F21" i="5"/>
  <c r="E21" i="5"/>
  <c r="D21" i="5"/>
  <c r="A13" i="5"/>
  <c r="A14" i="5" s="1"/>
  <c r="A15" i="5" s="1"/>
  <c r="A16" i="5" s="1"/>
  <c r="A17" i="5" s="1"/>
  <c r="A12" i="5"/>
  <c r="D15" i="5"/>
  <c r="A15" i="3"/>
  <c r="A16" i="3" s="1"/>
  <c r="A17" i="3" s="1"/>
  <c r="A18" i="3" s="1"/>
  <c r="A19" i="3" s="1"/>
  <c r="A20" i="3" s="1"/>
  <c r="A14" i="3"/>
  <c r="A13" i="3"/>
  <c r="A12" i="3"/>
  <c r="A12" i="2"/>
  <c r="A13" i="1"/>
  <c r="A14" i="1" s="1"/>
  <c r="A15" i="1" s="1"/>
  <c r="A16" i="1" s="1"/>
  <c r="A12" i="1"/>
  <c r="C21" i="5" l="1"/>
  <c r="A18" i="5"/>
  <c r="A19" i="5" s="1"/>
  <c r="A20" i="5" s="1"/>
  <c r="A21" i="5" s="1"/>
  <c r="A22" i="5" s="1"/>
  <c r="A23" i="5" s="1"/>
  <c r="A17" i="1"/>
  <c r="A18" i="1" s="1"/>
  <c r="A19" i="1" s="1"/>
  <c r="A20" i="1" s="1"/>
  <c r="C24" i="3"/>
  <c r="D19" i="6"/>
  <c r="D17" i="6"/>
  <c r="C30" i="3"/>
  <c r="A21" i="3"/>
  <c r="A22" i="3" s="1"/>
  <c r="A23" i="3" s="1"/>
  <c r="A24" i="3" s="1"/>
  <c r="A25" i="3" s="1"/>
  <c r="A26" i="3" s="1"/>
  <c r="A27" i="3" s="1"/>
  <c r="A28" i="3" s="1"/>
  <c r="A29" i="3" s="1"/>
  <c r="A30" i="3" s="1"/>
  <c r="C15" i="5"/>
  <c r="A13" i="2"/>
  <c r="A14" i="2" s="1"/>
  <c r="A15" i="2" s="1"/>
  <c r="A16" i="2" s="1"/>
  <c r="A17" i="2" s="1"/>
  <c r="A18" i="2" s="1"/>
  <c r="A19" i="2" s="1"/>
  <c r="A20" i="2" s="1"/>
  <c r="E19" i="6"/>
  <c r="E17" i="6"/>
  <c r="A14" i="6"/>
  <c r="A15" i="6" s="1"/>
  <c r="C17" i="6"/>
  <c r="F15" i="5"/>
  <c r="G15" i="5"/>
  <c r="E34" i="26"/>
  <c r="E25" i="26"/>
  <c r="E35" i="26" s="1"/>
  <c r="C20" i="3"/>
  <c r="C25" i="22"/>
  <c r="H12" i="18" s="1"/>
  <c r="D35" i="27"/>
  <c r="D25" i="27"/>
  <c r="A15" i="27"/>
  <c r="A16" i="27" s="1"/>
  <c r="A17" i="27" s="1"/>
  <c r="A18" i="27" s="1"/>
  <c r="A19" i="27" s="1"/>
  <c r="A20" i="27" s="1"/>
  <c r="A21" i="27" s="1"/>
  <c r="A22" i="27" s="1"/>
  <c r="A23" i="27" s="1"/>
  <c r="A24" i="27" s="1"/>
  <c r="C24" i="27"/>
  <c r="E36" i="27"/>
  <c r="A15" i="26"/>
  <c r="A16" i="26" s="1"/>
  <c r="A17" i="26" s="1"/>
  <c r="A18" i="26" s="1"/>
  <c r="A19" i="26" s="1"/>
  <c r="A20" i="26" s="1"/>
  <c r="A21" i="26" s="1"/>
  <c r="A22" i="26" s="1"/>
  <c r="A23" i="26" s="1"/>
  <c r="A24" i="26" s="1"/>
  <c r="D34" i="26"/>
  <c r="D25" i="26"/>
  <c r="E38" i="27"/>
  <c r="E37" i="27"/>
  <c r="C24" i="1" l="1"/>
  <c r="A21" i="1"/>
  <c r="A22" i="1" s="1"/>
  <c r="A23" i="1" s="1"/>
  <c r="A24" i="1" s="1"/>
  <c r="A25" i="1" s="1"/>
  <c r="A26" i="1" s="1"/>
  <c r="A27" i="1" s="1"/>
  <c r="A28" i="1" s="1"/>
  <c r="A29" i="1" s="1"/>
  <c r="A30" i="1" s="1"/>
  <c r="C24" i="26"/>
  <c r="C20" i="1"/>
  <c r="A16" i="6"/>
  <c r="A17" i="6" s="1"/>
  <c r="A18" i="6" s="1"/>
  <c r="A19" i="6" s="1"/>
  <c r="A20" i="6" s="1"/>
  <c r="A21" i="6" s="1"/>
  <c r="A22" i="6" s="1"/>
  <c r="A23" i="6" s="1"/>
  <c r="A24" i="6" s="1"/>
  <c r="A25" i="6" s="1"/>
  <c r="C19" i="6"/>
  <c r="C32" i="3"/>
  <c r="A31" i="3"/>
  <c r="A32" i="3" s="1"/>
  <c r="C27" i="5"/>
  <c r="A24" i="5"/>
  <c r="A25" i="5" s="1"/>
  <c r="A25" i="26"/>
  <c r="C25" i="26"/>
  <c r="D36" i="27"/>
  <c r="D26" i="27"/>
  <c r="A21" i="2"/>
  <c r="A22" i="2" s="1"/>
  <c r="A23" i="2" s="1"/>
  <c r="A24" i="2" s="1"/>
  <c r="A25" i="2" s="1"/>
  <c r="A26" i="2" s="1"/>
  <c r="A27" i="2" s="1"/>
  <c r="A28" i="2" s="1"/>
  <c r="A29" i="2" s="1"/>
  <c r="A30" i="2" s="1"/>
  <c r="C30" i="1"/>
  <c r="D35" i="26"/>
  <c r="D26" i="26"/>
  <c r="C25" i="27"/>
  <c r="A25" i="27"/>
  <c r="E26" i="26"/>
  <c r="C20" i="2"/>
  <c r="C24" i="2" l="1"/>
  <c r="C30" i="2"/>
  <c r="E36" i="26"/>
  <c r="C23" i="22"/>
  <c r="F12" i="18" s="1"/>
  <c r="E27" i="26"/>
  <c r="E37" i="26" s="1"/>
  <c r="D37" i="27"/>
  <c r="D27" i="27"/>
  <c r="D36" i="26"/>
  <c r="C22" i="22"/>
  <c r="E12" i="18" s="1"/>
  <c r="D27" i="26"/>
  <c r="D37" i="26" s="1"/>
  <c r="C32" i="2"/>
  <c r="A31" i="2"/>
  <c r="A32" i="2" s="1"/>
  <c r="A26" i="26"/>
  <c r="C26" i="26"/>
  <c r="A26" i="27"/>
  <c r="C26" i="27"/>
  <c r="A26" i="5"/>
  <c r="A27" i="5" s="1"/>
  <c r="C29" i="6"/>
  <c r="A26" i="6"/>
  <c r="A27" i="6" s="1"/>
  <c r="A31" i="1"/>
  <c r="A32" i="1" s="1"/>
  <c r="C32" i="1"/>
  <c r="E14" i="19" l="1"/>
  <c r="H14" i="19"/>
  <c r="A28" i="5"/>
  <c r="A29" i="5" s="1"/>
  <c r="C29" i="5"/>
  <c r="D38" i="27"/>
  <c r="D28" i="27"/>
  <c r="D39" i="27" s="1"/>
  <c r="C24" i="22"/>
  <c r="G12" i="18" s="1"/>
  <c r="C31" i="6"/>
  <c r="A28" i="6"/>
  <c r="A29" i="6" s="1"/>
  <c r="C27" i="27"/>
  <c r="A27" i="27"/>
  <c r="A27" i="26"/>
  <c r="C27" i="26"/>
  <c r="F14" i="19"/>
  <c r="G14" i="19"/>
  <c r="D12" i="18" l="1"/>
  <c r="G14" i="18" s="1"/>
  <c r="G18" i="18" s="1"/>
  <c r="D18" i="2" s="1"/>
  <c r="A28" i="26"/>
  <c r="A29" i="26" s="1"/>
  <c r="A30" i="6"/>
  <c r="A31" i="6" s="1"/>
  <c r="C33" i="6"/>
  <c r="A30" i="5"/>
  <c r="A31" i="5" s="1"/>
  <c r="A32" i="5" s="1"/>
  <c r="A33" i="5" s="1"/>
  <c r="A34" i="5" s="1"/>
  <c r="A35" i="5" s="1"/>
  <c r="C31" i="5"/>
  <c r="C28" i="27"/>
  <c r="A28" i="27"/>
  <c r="H14" i="18" l="1"/>
  <c r="H18" i="18" s="1"/>
  <c r="E18" i="2" s="1"/>
  <c r="F14" i="18"/>
  <c r="F18" i="18" s="1"/>
  <c r="D16" i="19" s="1"/>
  <c r="H18" i="19" s="1"/>
  <c r="H18" i="1" s="1"/>
  <c r="H20" i="1" s="1"/>
  <c r="H24" i="1" s="1"/>
  <c r="H23" i="5" s="1"/>
  <c r="E14" i="18"/>
  <c r="E18" i="18" s="1"/>
  <c r="D18" i="1" s="1"/>
  <c r="A36" i="5"/>
  <c r="A37" i="5" s="1"/>
  <c r="C39" i="5"/>
  <c r="A29" i="27"/>
  <c r="A30" i="27" s="1"/>
  <c r="C31" i="26"/>
  <c r="A30" i="26"/>
  <c r="A31" i="26" s="1"/>
  <c r="D14" i="18"/>
  <c r="A32" i="6"/>
  <c r="A33" i="6" s="1"/>
  <c r="C35" i="6"/>
  <c r="D18" i="18" l="1"/>
  <c r="E18" i="19"/>
  <c r="E18" i="1" s="1"/>
  <c r="H27" i="5"/>
  <c r="H29" i="5" s="1"/>
  <c r="H31" i="5" s="1"/>
  <c r="F18" i="19"/>
  <c r="F18" i="1" s="1"/>
  <c r="G18" i="19"/>
  <c r="G18" i="1" s="1"/>
  <c r="A34" i="6"/>
  <c r="A35" i="6" s="1"/>
  <c r="A36" i="6" s="1"/>
  <c r="A37" i="6" s="1"/>
  <c r="A38" i="6" s="1"/>
  <c r="A39" i="6" s="1"/>
  <c r="A40" i="6" s="1"/>
  <c r="A41" i="6" s="1"/>
  <c r="C37" i="6"/>
  <c r="A32" i="26"/>
  <c r="A33" i="26" s="1"/>
  <c r="A34" i="26" s="1"/>
  <c r="A35" i="26" s="1"/>
  <c r="A36" i="26" s="1"/>
  <c r="A37" i="26" s="1"/>
  <c r="A38" i="26" s="1"/>
  <c r="A39" i="26" s="1"/>
  <c r="A40" i="26" s="1"/>
  <c r="C34" i="26"/>
  <c r="C35" i="26"/>
  <c r="C36" i="26"/>
  <c r="C37" i="26"/>
  <c r="C32" i="27"/>
  <c r="A31" i="27"/>
  <c r="A32" i="27" s="1"/>
  <c r="A38" i="5"/>
  <c r="A39" i="5" s="1"/>
  <c r="C41" i="5"/>
  <c r="H33" i="5" l="1"/>
  <c r="H35" i="5" s="1"/>
  <c r="H39" i="5" s="1"/>
  <c r="H26" i="1" s="1"/>
  <c r="D18" i="19"/>
  <c r="A40" i="5"/>
  <c r="A41" i="5" s="1"/>
  <c r="A42" i="5" s="1"/>
  <c r="A43" i="5" s="1"/>
  <c r="A33" i="27"/>
  <c r="A34" i="27" s="1"/>
  <c r="A35" i="27" s="1"/>
  <c r="A36" i="27" s="1"/>
  <c r="A37" i="27" s="1"/>
  <c r="A38" i="27" s="1"/>
  <c r="A39" i="27" s="1"/>
  <c r="A40" i="27" s="1"/>
  <c r="A41" i="27" s="1"/>
  <c r="C35" i="27"/>
  <c r="C36" i="27"/>
  <c r="C37" i="27"/>
  <c r="C38" i="27"/>
  <c r="C39" i="27"/>
  <c r="A42" i="6"/>
  <c r="A43" i="6" s="1"/>
  <c r="C45" i="6"/>
  <c r="H37" i="5" l="1"/>
  <c r="H41" i="5" s="1"/>
  <c r="J26" i="3" s="1"/>
  <c r="J28" i="3" s="1"/>
  <c r="J30" i="3" s="1"/>
  <c r="J32" i="3" s="1"/>
  <c r="H28" i="1"/>
  <c r="H30" i="1" s="1"/>
  <c r="H32" i="1" s="1"/>
  <c r="G31" i="12"/>
  <c r="A44" i="6"/>
  <c r="A45" i="6" s="1"/>
  <c r="A46" i="6" s="1"/>
  <c r="A47" i="6" s="1"/>
  <c r="C47" i="6"/>
  <c r="C43" i="5"/>
  <c r="H31" i="12" l="1"/>
  <c r="E31" i="12" s="1"/>
  <c r="H43" i="5"/>
  <c r="I34" i="46" l="1"/>
  <c r="L34" i="46" s="1"/>
  <c r="I35" i="46"/>
  <c r="L35" i="46" s="1"/>
  <c r="Q30" i="44" s="1"/>
  <c r="R30" i="44" s="1"/>
  <c r="J31" i="12"/>
  <c r="D20" i="3"/>
  <c r="D24" i="3" s="1"/>
  <c r="Q29" i="44" l="1"/>
  <c r="L36" i="46"/>
  <c r="T30" i="44"/>
  <c r="U30" i="44"/>
  <c r="D25" i="5"/>
  <c r="Q31" i="44" l="1"/>
  <c r="R29" i="44"/>
  <c r="F20" i="3"/>
  <c r="F24" i="3" s="1"/>
  <c r="U29" i="44" l="1"/>
  <c r="T29" i="44"/>
  <c r="T31" i="44" s="1"/>
  <c r="R31" i="44"/>
  <c r="U31" i="44" s="1"/>
  <c r="E20" i="2"/>
  <c r="E24" i="2" s="1"/>
  <c r="F25" i="5"/>
  <c r="E31" i="6" l="1"/>
  <c r="E35" i="6" s="1"/>
  <c r="D20" i="2"/>
  <c r="D24" i="2" s="1"/>
  <c r="E25" i="6"/>
  <c r="E20" i="3"/>
  <c r="E24" i="3" s="1"/>
  <c r="G20" i="1"/>
  <c r="G24" i="1" s="1"/>
  <c r="E25" i="5" l="1"/>
  <c r="D25" i="6"/>
  <c r="E29" i="6"/>
  <c r="E33" i="6" s="1"/>
  <c r="E37" i="6" s="1"/>
  <c r="E39" i="6" s="1"/>
  <c r="G23" i="5"/>
  <c r="G20" i="3"/>
  <c r="G24" i="3" s="1"/>
  <c r="F20" i="1"/>
  <c r="F24" i="1" s="1"/>
  <c r="E41" i="6" l="1"/>
  <c r="E45" i="6" s="1"/>
  <c r="E26" i="2" s="1"/>
  <c r="G27" i="12" s="1"/>
  <c r="E27" i="12" s="1"/>
  <c r="E43" i="6"/>
  <c r="E47" i="6" s="1"/>
  <c r="G25" i="5"/>
  <c r="F23" i="5"/>
  <c r="D29" i="6"/>
  <c r="D33" i="6" s="1"/>
  <c r="I27" i="46" l="1"/>
  <c r="L27" i="46" s="1"/>
  <c r="I26" i="46"/>
  <c r="L26" i="46" s="1"/>
  <c r="E28" i="2"/>
  <c r="E30" i="2" s="1"/>
  <c r="E32" i="2" s="1"/>
  <c r="I26" i="3"/>
  <c r="F27" i="5"/>
  <c r="F29" i="5" s="1"/>
  <c r="F31" i="5" s="1"/>
  <c r="F33" i="5" s="1"/>
  <c r="G27" i="5"/>
  <c r="G29" i="5" s="1"/>
  <c r="G31" i="5" s="1"/>
  <c r="D31" i="6"/>
  <c r="D35" i="6" s="1"/>
  <c r="D37" i="6" s="1"/>
  <c r="J27" i="12"/>
  <c r="D41" i="6" l="1"/>
  <c r="D45" i="6" s="1"/>
  <c r="D26" i="2" s="1"/>
  <c r="D28" i="2" s="1"/>
  <c r="D30" i="2" s="1"/>
  <c r="D32" i="2" s="1"/>
  <c r="D39" i="6"/>
  <c r="D43" i="6" s="1"/>
  <c r="D47" i="6" s="1"/>
  <c r="H26" i="3" s="1"/>
  <c r="G33" i="5"/>
  <c r="G37" i="5" s="1"/>
  <c r="G41" i="5" s="1"/>
  <c r="G26" i="3" s="1"/>
  <c r="H20" i="12" s="1"/>
  <c r="I28" i="3"/>
  <c r="I30" i="3" s="1"/>
  <c r="I32" i="3" s="1"/>
  <c r="H28" i="12"/>
  <c r="E28" i="12" s="1"/>
  <c r="F35" i="5"/>
  <c r="F39" i="5" s="1"/>
  <c r="F37" i="5"/>
  <c r="F41" i="5" s="1"/>
  <c r="F26" i="3" s="1"/>
  <c r="G23" i="12"/>
  <c r="E23" i="12" s="1"/>
  <c r="I25" i="46" l="1"/>
  <c r="L25" i="46" s="1"/>
  <c r="Q22" i="44" s="1"/>
  <c r="R22" i="44" s="1"/>
  <c r="I24" i="46"/>
  <c r="L24" i="46" s="1"/>
  <c r="I20" i="46"/>
  <c r="L20" i="46" s="1"/>
  <c r="I19" i="46"/>
  <c r="L19" i="46" s="1"/>
  <c r="G35" i="5"/>
  <c r="G39" i="5" s="1"/>
  <c r="G26" i="1" s="1"/>
  <c r="H28" i="3"/>
  <c r="H30" i="3" s="1"/>
  <c r="H32" i="3" s="1"/>
  <c r="H24" i="12"/>
  <c r="E24" i="12" s="1"/>
  <c r="F43" i="5"/>
  <c r="F26" i="1"/>
  <c r="F28" i="1" s="1"/>
  <c r="F30" i="1" s="1"/>
  <c r="F32" i="1" s="1"/>
  <c r="F28" i="3"/>
  <c r="F30" i="3" s="1"/>
  <c r="F32" i="3" s="1"/>
  <c r="H17" i="12"/>
  <c r="J28" i="12"/>
  <c r="G43" i="5"/>
  <c r="G28" i="3"/>
  <c r="G30" i="3" s="1"/>
  <c r="G32" i="3" s="1"/>
  <c r="J23" i="12"/>
  <c r="Q21" i="44" l="1"/>
  <c r="T22" i="44"/>
  <c r="U22" i="44"/>
  <c r="I17" i="46"/>
  <c r="L17" i="46" s="1"/>
  <c r="I18" i="46"/>
  <c r="L18" i="46" s="1"/>
  <c r="Q17" i="44" s="1"/>
  <c r="R17" i="44" s="1"/>
  <c r="G28" i="1"/>
  <c r="G30" i="1" s="1"/>
  <c r="G32" i="1" s="1"/>
  <c r="G20" i="12"/>
  <c r="E20" i="12" s="1"/>
  <c r="I32" i="46" s="1"/>
  <c r="L32" i="46" s="1"/>
  <c r="Q27" i="44" s="1"/>
  <c r="R27" i="44" s="1"/>
  <c r="G17" i="12"/>
  <c r="E17" i="12" s="1"/>
  <c r="J24" i="12"/>
  <c r="I21" i="46" l="1"/>
  <c r="L21" i="46" s="1"/>
  <c r="Q18" i="44" s="1"/>
  <c r="R18" i="44" s="1"/>
  <c r="I10" i="46"/>
  <c r="L10" i="46" s="1"/>
  <c r="Q9" i="44" s="1"/>
  <c r="R9" i="44" s="1"/>
  <c r="I15" i="46"/>
  <c r="L15" i="46" s="1"/>
  <c r="Q14" i="44" s="1"/>
  <c r="R14" i="44" s="1"/>
  <c r="I16" i="46"/>
  <c r="L16" i="46" s="1"/>
  <c r="Q15" i="44" s="1"/>
  <c r="R15" i="44" s="1"/>
  <c r="I29" i="46"/>
  <c r="L29" i="46" s="1"/>
  <c r="Q24" i="44" s="1"/>
  <c r="R24" i="44" s="1"/>
  <c r="I28" i="46"/>
  <c r="L28" i="46" s="1"/>
  <c r="U27" i="44"/>
  <c r="T27" i="44"/>
  <c r="R21" i="44"/>
  <c r="T17" i="44"/>
  <c r="U17" i="44"/>
  <c r="Q16" i="44"/>
  <c r="J20" i="12"/>
  <c r="J17" i="12"/>
  <c r="U24" i="44" l="1"/>
  <c r="T24" i="44"/>
  <c r="T15" i="44"/>
  <c r="U15" i="44"/>
  <c r="U14" i="44"/>
  <c r="T14" i="44"/>
  <c r="Q23" i="44"/>
  <c r="L30" i="46"/>
  <c r="U9" i="44"/>
  <c r="T9" i="44"/>
  <c r="U18" i="44"/>
  <c r="T18" i="44"/>
  <c r="U21" i="44"/>
  <c r="T21" i="44"/>
  <c r="R16" i="44"/>
  <c r="D20" i="1"/>
  <c r="D24" i="1" s="1"/>
  <c r="R23" i="44" l="1"/>
  <c r="Q25" i="44"/>
  <c r="U16" i="44"/>
  <c r="T16" i="44"/>
  <c r="D23" i="5"/>
  <c r="D35" i="5" s="1"/>
  <c r="T23" i="44" l="1"/>
  <c r="T25" i="44" s="1"/>
  <c r="U23" i="44"/>
  <c r="R25" i="44"/>
  <c r="U25" i="44" s="1"/>
  <c r="E20" i="1"/>
  <c r="E24" i="1" s="1"/>
  <c r="D27" i="5"/>
  <c r="D29" i="5" s="1"/>
  <c r="D31" i="5" s="1"/>
  <c r="D33" i="5" s="1"/>
  <c r="D37" i="5" l="1"/>
  <c r="D41" i="5" s="1"/>
  <c r="D26" i="3" s="1"/>
  <c r="D39" i="5"/>
  <c r="E23" i="5"/>
  <c r="H11" i="12" l="1"/>
  <c r="D28" i="3"/>
  <c r="D30" i="3" s="1"/>
  <c r="D32" i="3" s="1"/>
  <c r="D43" i="5"/>
  <c r="D26" i="1"/>
  <c r="G11" i="12" s="1"/>
  <c r="E27" i="5"/>
  <c r="E29" i="5" s="1"/>
  <c r="E31" i="5" s="1"/>
  <c r="E33" i="5" s="1"/>
  <c r="E11" i="12" l="1"/>
  <c r="E35" i="5"/>
  <c r="E39" i="5" s="1"/>
  <c r="E26" i="1" s="1"/>
  <c r="E37" i="5"/>
  <c r="E41" i="5" s="1"/>
  <c r="E26" i="3" s="1"/>
  <c r="D28" i="1"/>
  <c r="D30" i="1" s="1"/>
  <c r="D32" i="1" s="1"/>
  <c r="G49" i="45" l="1"/>
  <c r="G50" i="45" s="1"/>
  <c r="G64" i="45" s="1"/>
  <c r="G42" i="45"/>
  <c r="I9" i="46"/>
  <c r="L9" i="46" s="1"/>
  <c r="J11" i="12"/>
  <c r="E43" i="5"/>
  <c r="H14" i="12"/>
  <c r="E28" i="3"/>
  <c r="E30" i="3" s="1"/>
  <c r="E32" i="3" s="1"/>
  <c r="G14" i="12"/>
  <c r="E28" i="1"/>
  <c r="E30" i="1" s="1"/>
  <c r="E32" i="1" s="1"/>
  <c r="L11" i="46" l="1"/>
  <c r="Q8" i="44"/>
  <c r="P29" i="45"/>
  <c r="Q29" i="45" s="1"/>
  <c r="P27" i="45"/>
  <c r="Q27" i="45" s="1"/>
  <c r="P17" i="45"/>
  <c r="Q17" i="45" s="1"/>
  <c r="P13" i="45"/>
  <c r="Q13" i="45" s="1"/>
  <c r="G43" i="45"/>
  <c r="G63" i="45" s="1"/>
  <c r="P10" i="45"/>
  <c r="Q10" i="45" s="1"/>
  <c r="P18" i="45"/>
  <c r="Q18" i="45" s="1"/>
  <c r="P9" i="45"/>
  <c r="Q9" i="45" s="1"/>
  <c r="P14" i="45"/>
  <c r="Q14" i="45" s="1"/>
  <c r="P19" i="45"/>
  <c r="Q19" i="45" s="1"/>
  <c r="P16" i="45"/>
  <c r="Q16" i="45" s="1"/>
  <c r="P12" i="45"/>
  <c r="Q12" i="45" s="1"/>
  <c r="P11" i="45"/>
  <c r="Q11" i="45" s="1"/>
  <c r="P15" i="45"/>
  <c r="Q15" i="45" s="1"/>
  <c r="P8" i="45"/>
  <c r="P23" i="45"/>
  <c r="E14" i="12"/>
  <c r="P21" i="45" l="1"/>
  <c r="P25" i="45" s="1"/>
  <c r="Q8" i="45"/>
  <c r="S15" i="45"/>
  <c r="R15" i="45"/>
  <c r="S19" i="45"/>
  <c r="R19" i="45"/>
  <c r="R10" i="45"/>
  <c r="S10" i="45"/>
  <c r="R27" i="45"/>
  <c r="S27" i="45"/>
  <c r="J14" i="12"/>
  <c r="I14" i="46"/>
  <c r="L14" i="46" s="1"/>
  <c r="Q13" i="44" s="1"/>
  <c r="R13" i="44" s="1"/>
  <c r="I13" i="46"/>
  <c r="L13" i="46" s="1"/>
  <c r="S11" i="45"/>
  <c r="R11" i="45"/>
  <c r="R14" i="45"/>
  <c r="S14" i="45"/>
  <c r="R29" i="45"/>
  <c r="S29" i="45"/>
  <c r="R12" i="45"/>
  <c r="S12" i="45"/>
  <c r="S9" i="45"/>
  <c r="R9" i="45"/>
  <c r="R13" i="45"/>
  <c r="S13" i="45"/>
  <c r="Q10" i="44"/>
  <c r="R8" i="44"/>
  <c r="S16" i="45"/>
  <c r="R16" i="45"/>
  <c r="S18" i="45"/>
  <c r="R18" i="45"/>
  <c r="S17" i="45"/>
  <c r="R17" i="45"/>
  <c r="Q12" i="44" l="1"/>
  <c r="L22" i="46"/>
  <c r="L42" i="46" s="1"/>
  <c r="U13" i="44"/>
  <c r="T13" i="44"/>
  <c r="R10" i="44"/>
  <c r="U8" i="44"/>
  <c r="T8" i="44"/>
  <c r="T10" i="44" s="1"/>
  <c r="S8" i="45"/>
  <c r="Q21" i="45"/>
  <c r="R8" i="45"/>
  <c r="R21" i="45" s="1"/>
  <c r="Q23" i="45" l="1"/>
  <c r="S23" i="45" s="1"/>
  <c r="S21" i="45"/>
  <c r="Q25" i="45"/>
  <c r="U10" i="44"/>
  <c r="R12" i="44"/>
  <c r="Q19" i="44"/>
  <c r="Q37" i="44" s="1"/>
  <c r="R23" i="45"/>
  <c r="R25" i="45"/>
  <c r="T12" i="44" l="1"/>
  <c r="T19" i="44" s="1"/>
  <c r="T37" i="44" s="1"/>
  <c r="U12" i="44"/>
  <c r="R19" i="44"/>
  <c r="U19" i="44" l="1"/>
  <c r="R37" i="44"/>
  <c r="U37" i="44" s="1"/>
</calcChain>
</file>

<file path=xl/sharedStrings.xml><?xml version="1.0" encoding="utf-8"?>
<sst xmlns="http://schemas.openxmlformats.org/spreadsheetml/2006/main" count="1949" uniqueCount="683">
  <si>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</si>
  <si>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</si>
  <si>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</si>
  <si>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</si>
  <si>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</si>
  <si>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</si>
  <si>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</si>
  <si>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</si>
  <si>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</si>
  <si>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</si>
  <si>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</si>
  <si>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</si>
  <si>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</si>
  <si>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</si>
  <si>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</si>
  <si>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</si>
  <si>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</si>
  <si>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</si>
  <si>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</si>
  <si>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</si>
  <si>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</si>
  <si>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</si>
  <si>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</si>
  <si>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</si>
  <si>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</si>
  <si>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</si>
  <si>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</si>
  <si>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</si>
  <si>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</si>
  <si>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</si>
  <si>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Current Schedule 142 Delivery Margin Amortization Rate ($/kWh)</t>
  </si>
  <si>
    <t>Tariff</t>
  </si>
  <si>
    <t>Current Schedule 142 Fixed Power Cost Amortization Rate ($/kWh)</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</si>
  <si>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</si>
  <si>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</si>
  <si>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</si>
  <si>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</si>
  <si>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</si>
  <si>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</si>
  <si>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</si>
  <si>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</si>
  <si>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</si>
  <si>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</si>
  <si>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</si>
  <si>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</si>
  <si>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</si>
  <si>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Plus: Current Schedule 142 Delivery Margin Amortization Rate ($/KW)</t>
  </si>
  <si>
    <t>Plus: Current Schedule 142 Fixed Power Cost Amortization Rate ($/kWh)</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</si>
  <si>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</si>
  <si>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</si>
  <si>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</si>
  <si>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</si>
  <si>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</si>
  <si>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</si>
  <si>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</si>
  <si>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</si>
  <si>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Line No.</t>
  </si>
  <si>
    <t>Estimated Annual Proforma Base Revenue</t>
  </si>
  <si>
    <t>Schedule 95
PCORC</t>
  </si>
  <si>
    <t>Schedule 95A
Federal Incentive Credit</t>
  </si>
  <si>
    <t>Schedule 120
Conservation</t>
  </si>
  <si>
    <t>Schedule 129
Low Income</t>
  </si>
  <si>
    <t>Schedule 132
Merger Credit</t>
  </si>
  <si>
    <t>Schedule 137
RECS</t>
  </si>
  <si>
    <t>Schedule 140
Property Tax</t>
  </si>
  <si>
    <t>Schedule 142
Decoupling</t>
  </si>
  <si>
    <t>Schedule 194
BPA Res &amp; Farm Credit</t>
  </si>
  <si>
    <t>(g)</t>
  </si>
  <si>
    <t>(h)</t>
  </si>
  <si>
    <t>(i)</t>
  </si>
  <si>
    <t>(j)</t>
  </si>
  <si>
    <t>(k)</t>
  </si>
  <si>
    <t>(l)</t>
  </si>
  <si>
    <t>(m)</t>
  </si>
  <si>
    <t>(n)</t>
  </si>
  <si>
    <t>(o)</t>
  </si>
  <si>
    <t>7A (Note 1)</t>
  </si>
  <si>
    <t>Residential</t>
  </si>
  <si>
    <t>26 &amp; 26P</t>
  </si>
  <si>
    <t>Total Secondary Voltage</t>
  </si>
  <si>
    <t>Total Primary Voltage</t>
  </si>
  <si>
    <t>Total High Voltage</t>
  </si>
  <si>
    <t>50-59</t>
  </si>
  <si>
    <t>449-459</t>
  </si>
  <si>
    <t>Total</t>
  </si>
  <si>
    <t>Check</t>
  </si>
  <si>
    <t>Actual Customers</t>
  </si>
  <si>
    <t xml:space="preserve">  Schedule 7</t>
  </si>
  <si>
    <t xml:space="preserve">  Schedules 8 &amp; 24</t>
  </si>
  <si>
    <t>Delivery Margin Revenue</t>
  </si>
  <si>
    <t>UE-170033</t>
  </si>
  <si>
    <t>Maximum Net Operating Income</t>
  </si>
  <si>
    <t>Difference</t>
  </si>
  <si>
    <t xml:space="preserve">Total Earnings Sharing </t>
  </si>
  <si>
    <t xml:space="preserve">Delivery Margin Revenue </t>
  </si>
  <si>
    <t>Delivery Margin Earnings Sharing Allocation:</t>
  </si>
  <si>
    <t>Allocation Factors</t>
  </si>
  <si>
    <t>% of (3c)</t>
  </si>
  <si>
    <t>Allocation of Earnings Sharing</t>
  </si>
  <si>
    <t>(7c) x (5)</t>
  </si>
  <si>
    <t>Total Proposed</t>
  </si>
  <si>
    <t>Schedule 142 Rate</t>
  </si>
  <si>
    <t>Schedule 142</t>
  </si>
  <si>
    <t>Delivery Margin</t>
  </si>
  <si>
    <t>Fixed Power Cost</t>
  </si>
  <si>
    <t>Units</t>
  </si>
  <si>
    <t>Adjusting Rates</t>
  </si>
  <si>
    <t>Amortization</t>
  </si>
  <si>
    <t>Schedules 7</t>
  </si>
  <si>
    <t>Energy Charge</t>
  </si>
  <si>
    <t>$/kWh</t>
  </si>
  <si>
    <t>Schedules 8 &amp; 24</t>
  </si>
  <si>
    <t>Schedules 7A, 11, 25, 29, 35 &amp; 43</t>
  </si>
  <si>
    <t>Schedule 12 &amp; 26</t>
  </si>
  <si>
    <t>Demand Charge</t>
  </si>
  <si>
    <t xml:space="preserve">$/KW </t>
  </si>
  <si>
    <t>$kWh</t>
  </si>
  <si>
    <t>Schedule 10 &amp; 31</t>
  </si>
  <si>
    <t>$/KW</t>
  </si>
  <si>
    <t>Sch 142</t>
  </si>
  <si>
    <t>kWh</t>
  </si>
  <si>
    <t>Total Residential</t>
  </si>
  <si>
    <t>KW</t>
  </si>
  <si>
    <t>Lighting</t>
  </si>
  <si>
    <t>Customer Bill</t>
  </si>
  <si>
    <t>Month</t>
  </si>
  <si>
    <t>$ Difference</t>
  </si>
  <si>
    <t>% Difference</t>
  </si>
  <si>
    <t>January</t>
  </si>
  <si>
    <t>February</t>
  </si>
  <si>
    <t>March</t>
  </si>
  <si>
    <t>April</t>
  </si>
  <si>
    <t>May</t>
  </si>
  <si>
    <t>June</t>
  </si>
  <si>
    <t>July</t>
  </si>
  <si>
    <t>August</t>
  </si>
  <si>
    <t>September</t>
  </si>
  <si>
    <t>October</t>
  </si>
  <si>
    <t>November</t>
  </si>
  <si>
    <t>December</t>
  </si>
  <si>
    <t>Annual Total</t>
  </si>
  <si>
    <t>Monthly Average</t>
  </si>
  <si>
    <t>Customer Monthly Charge:</t>
  </si>
  <si>
    <t>per Month</t>
  </si>
  <si>
    <t>Schedule 141 - ERF Rider - 1 Phase Basic Charge</t>
  </si>
  <si>
    <t>Subtotal Base Monthly Charge</t>
  </si>
  <si>
    <t>Energy Charge:</t>
  </si>
  <si>
    <t>Schedule 7 first 600 kWh</t>
  </si>
  <si>
    <t>$ / kWh</t>
  </si>
  <si>
    <t>Schedule 129 - Low Income</t>
  </si>
  <si>
    <t>Schedule 140 - Property Tax Rider</t>
  </si>
  <si>
    <t>Schedule 141 - ERF Rider - First 600 kWh</t>
  </si>
  <si>
    <t>Schedule 142 - Decoupling Rider</t>
  </si>
  <si>
    <t>Subtotal Base First 600 kWh Charge</t>
  </si>
  <si>
    <t>Schedule 7 over 600 kWh</t>
  </si>
  <si>
    <t>Schedule 141 - ERF Rider - Over 600 kWh</t>
  </si>
  <si>
    <t>Subtotal Base Over 600 kWh Charge</t>
  </si>
  <si>
    <t>Schedule 95 - Power Cost Adjustment Clause</t>
  </si>
  <si>
    <t>Schedule 95A - Wind Power Production Credit</t>
  </si>
  <si>
    <t>Schedule 120 - Conservation Rider</t>
  </si>
  <si>
    <t>Schedule 132 - Merger Credit</t>
  </si>
  <si>
    <t>Schedule 133 - Regulatory Asset Tracker</t>
  </si>
  <si>
    <t>Schedule 137 - Renewable Energy Credit</t>
  </si>
  <si>
    <t>Schedule 194 - BPA Exchange Credit</t>
  </si>
  <si>
    <t>Proposed Effective May 1, 2018</t>
  </si>
  <si>
    <t>7A, 8, 11, 24, 25, 29</t>
  </si>
  <si>
    <t>35, 40, 43, 46 &amp; 49</t>
  </si>
  <si>
    <t xml:space="preserve">Volumetric Delivery Margin Revenue </t>
  </si>
  <si>
    <t xml:space="preserve">Non-Residential Group Earnings Sharing </t>
  </si>
  <si>
    <t>Peak Credit Allocation Factors (1)</t>
  </si>
  <si>
    <t>% of (2c)</t>
  </si>
  <si>
    <t>Without Revenue Sensitive Items:</t>
  </si>
  <si>
    <t xml:space="preserve">   Total Fixed Power Cost Deferral @ December 31, 2017</t>
  </si>
  <si>
    <t xml:space="preserve">   Allocation of Deferral</t>
  </si>
  <si>
    <t>(5c) x (2)</t>
  </si>
  <si>
    <t>Conversion Factor</t>
  </si>
  <si>
    <t>With Revenue Sensitive Items:</t>
  </si>
  <si>
    <t>(5c) / (9c)</t>
  </si>
  <si>
    <t>(12c) x (2)</t>
  </si>
  <si>
    <t>(1) Does not total to 100% since a portion is allocated to Firm Resale Customers which is not a decoupled schedule.</t>
  </si>
  <si>
    <t>Allocation Factor</t>
  </si>
  <si>
    <t xml:space="preserve">   Non-Residential Amortization @ December 31, 2017</t>
  </si>
  <si>
    <t xml:space="preserve">   Allocation of Amortization</t>
  </si>
  <si>
    <t>(7c) x (4)</t>
  </si>
  <si>
    <t xml:space="preserve">   Total Non-Residential Deferral @ December 31, 2017</t>
  </si>
  <si>
    <t>(11c) x (4)</t>
  </si>
  <si>
    <t xml:space="preserve">   Total Non-Residential Interest @ December 31, 2017</t>
  </si>
  <si>
    <t xml:space="preserve">   Allocation of Interest</t>
  </si>
  <si>
    <t>(15c) x (4)</t>
  </si>
  <si>
    <t>(7c) / (19c)</t>
  </si>
  <si>
    <t>(22c) x (4)</t>
  </si>
  <si>
    <t>(11c) / (19c)</t>
  </si>
  <si>
    <t>(26c) x (4)</t>
  </si>
  <si>
    <t>(15c) / (19c)</t>
  </si>
  <si>
    <t>(30c) x (4)</t>
  </si>
  <si>
    <t>Development of Margin Revenue</t>
  </si>
  <si>
    <t>CY 2017</t>
  </si>
  <si>
    <t xml:space="preserve">  Schedule 12 &amp; 26</t>
  </si>
  <si>
    <t xml:space="preserve">  Schedule 10 &amp; 31</t>
  </si>
  <si>
    <t>Weather Normalized Volumes (kWh)</t>
  </si>
  <si>
    <t xml:space="preserve">  Schedule 29</t>
  </si>
  <si>
    <t xml:space="preserve">  Schedule 35 </t>
  </si>
  <si>
    <t xml:space="preserve">  Schedule 40</t>
  </si>
  <si>
    <t xml:space="preserve">  Schedule 43</t>
  </si>
  <si>
    <t>Delivery Revenue Per Unit ($/kWh)</t>
  </si>
  <si>
    <t>Delivery Revenue Margin</t>
  </si>
  <si>
    <t>ELECTRIC COST OF SERVICE SUMMARY</t>
  </si>
  <si>
    <t>Adjusted Test Year Twelve Months ended September 2016 @ Proforma Rev Requirement</t>
  </si>
  <si>
    <t>Delivery Costs</t>
  </si>
  <si>
    <t>Description</t>
  </si>
  <si>
    <t>Total Company</t>
  </si>
  <si>
    <t>Residential Sch 7</t>
  </si>
  <si>
    <t>Sec Volt Sch 24 (kW&lt; 50)</t>
  </si>
  <si>
    <t>Sec Volt Sch 25 (kW &gt; 50 &amp; &lt; 350)</t>
  </si>
  <si>
    <t>Sec Volt Sch 26 (kW &gt; 350)</t>
  </si>
  <si>
    <t>Pri Volt Sch 31 (General Service)</t>
  </si>
  <si>
    <t>Pri Volt Sch 35 (Irrigation)</t>
  </si>
  <si>
    <t>Pri Svc 43</t>
  </si>
  <si>
    <t>Campus 40</t>
  </si>
  <si>
    <t>High Volt 46/49</t>
  </si>
  <si>
    <t>Choice/Retail Wheeling PV</t>
  </si>
  <si>
    <t>Choice/Retail Wheeling HV</t>
  </si>
  <si>
    <t>Lighting 50-59</t>
  </si>
  <si>
    <t>Firm Resale Small</t>
  </si>
  <si>
    <t>(p)</t>
  </si>
  <si>
    <t>Demand</t>
  </si>
  <si>
    <t>PC-3</t>
  </si>
  <si>
    <t>NRG</t>
  </si>
  <si>
    <t>DEM</t>
  </si>
  <si>
    <t>Total Revenue Requirement</t>
  </si>
  <si>
    <t>Revenues Other Than Rate Sch. Rev.</t>
  </si>
  <si>
    <t>Fixed PCA Costs</t>
  </si>
  <si>
    <t>Variable PCA Costs</t>
  </si>
  <si>
    <t>Allocate Fixed PCA Costs on PC-3</t>
  </si>
  <si>
    <t>Allocate Variable PCA Costs on PC-3</t>
  </si>
  <si>
    <t>Total PCA Costs</t>
  </si>
  <si>
    <t>Peak Credit Allocation For One Time Allocation of CY2017 Deferred Fixed Power Cost Revenues</t>
  </si>
  <si>
    <t>% Applicable to Energy</t>
  </si>
  <si>
    <t>% Applicable to Demand</t>
  </si>
  <si>
    <t>Total Allocation to Class</t>
  </si>
  <si>
    <t>Decoupling Filing - Revised July 1, 2014</t>
  </si>
  <si>
    <t>Development of Annual Allowed Delivery Revenue Per Customer - Electric</t>
  </si>
  <si>
    <t>Other</t>
  </si>
  <si>
    <t>Non-Residential Schedules*</t>
  </si>
  <si>
    <t>Test Year Allowed Delivery Revenue</t>
  </si>
  <si>
    <t>UE-130137 WP</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</si>
  <si>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</si>
  <si>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</si>
  <si>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</si>
  <si>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</si>
  <si>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</si>
  <si>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</si>
  <si>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</si>
  <si>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</si>
  <si>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</si>
  <si>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</si>
  <si>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</si>
  <si>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</si>
  <si>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Test Year Basic Charge Revenue Per Customer</t>
  </si>
  <si>
    <t>Annual Allowed Volumetric Delivery Revenue Per Customer</t>
  </si>
  <si>
    <t>* Schedules 8,11, 24, 25, 29, 35, 40, 43, 46, 49.</t>
  </si>
  <si>
    <t>** Only if rates from PSE's next general rate case have not yet gone into effect.</t>
  </si>
  <si>
    <t>Decoupling Proposal - Revised July 1, 2014</t>
  </si>
  <si>
    <t>Development of Annual Allowed Delivery Revenue Per Customer - Electric Schedules 12/26 &amp; 10/31</t>
  </si>
  <si>
    <t>Sch 12 &amp; 26</t>
  </si>
  <si>
    <t>Sch 10 &amp; 31</t>
  </si>
  <si>
    <t xml:space="preserve">  - Effective January 1, 2017*</t>
  </si>
  <si>
    <t>* Only if rates from PSE's next general rate case have not yet gone into effect.</t>
  </si>
  <si>
    <t>46 &amp; 49</t>
  </si>
  <si>
    <t>Development of Delivery Margin Amortization Rate</t>
  </si>
  <si>
    <t>2018 Electric Decoupling Filing</t>
  </si>
  <si>
    <t>Estimated Amortization Balance as of April 30, 2018</t>
  </si>
  <si>
    <t>Deferred Balance at End of CY 2017</t>
  </si>
  <si>
    <t>Interest Balance at End of CY 2017</t>
  </si>
  <si>
    <t>CY 2017 Earnings Test Adjustment</t>
  </si>
  <si>
    <t>Development of Fixed Power Cost Amortization Rate</t>
  </si>
  <si>
    <t xml:space="preserve">CY 2017 Normalized Revenues </t>
  </si>
  <si>
    <t>CY 2017 Normalized Sales (kWh)</t>
  </si>
  <si>
    <t>CY 2017 Normalized Sales (KW)</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</si>
  <si>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</si>
  <si>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</si>
  <si>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</si>
  <si>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</si>
  <si>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</si>
  <si>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</si>
  <si>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</si>
  <si>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</si>
  <si>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12ME Apr-19</t>
  </si>
  <si>
    <t>Schedules 46 &amp; 49</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</si>
  <si>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</si>
  <si>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</si>
  <si>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</si>
  <si>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</si>
  <si>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</si>
  <si>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</si>
  <si>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</si>
  <si>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</si>
  <si>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Estimated Amortization through April 2018</t>
  </si>
  <si>
    <t>Source: F2017 Load forecast (8-17-17)</t>
  </si>
  <si>
    <t xml:space="preserve">Schedule 7 Decoupling Refund/Surcharge Amortization </t>
  </si>
  <si>
    <t xml:space="preserve">Schedules 8 &amp; 24 Decoupling Refund/Surcharge Amortization </t>
  </si>
  <si>
    <t>Schedules 7A, 11, 25, 29, 35 &amp; 43 Decoupling Refund/Surcharge Amortization</t>
  </si>
  <si>
    <t xml:space="preserve">Schedule 40 Decoupling Refund/Surcharge Amortization </t>
  </si>
  <si>
    <t xml:space="preserve">Schedules 12 &amp; 26 Decoupling Refund/Surcharge Amortization </t>
  </si>
  <si>
    <t>Schedules 10 &amp; 31 Decoupling Refund/Surcharge Amortization</t>
  </si>
  <si>
    <t xml:space="preserve">Schedules 46 &amp; 49 Decoupling Refund/Surcharge Amortization </t>
  </si>
  <si>
    <t>2017 General Rate Case</t>
  </si>
  <si>
    <t>Electric GRC</t>
  </si>
  <si>
    <t>PUGET SOUND ENERGY-ELECTRIC</t>
  </si>
  <si>
    <t>CONVERSION FACTOR - ELECTRIC</t>
  </si>
  <si>
    <t>FOR THE TWELVE MONTHS ENDED SEPTEMBER 30, 2016</t>
  </si>
  <si>
    <t>COMMISSION BASIS REPORT</t>
  </si>
  <si>
    <t>LINE</t>
  </si>
  <si>
    <t>NO.</t>
  </si>
  <si>
    <t>DESCRIPTION</t>
  </si>
  <si>
    <t>RATE</t>
  </si>
  <si>
    <t>BAD DEBTS</t>
  </si>
  <si>
    <t>ANNUAL FILING FEE</t>
  </si>
  <si>
    <t>SUM OF TAXES OTHER</t>
  </si>
  <si>
    <t>CONVERSION FACTOR EXCLUDING FEDERAL INCOME TAX ( 1 - LINE 5)</t>
  </si>
  <si>
    <t>FEDERAL INCOME TAX ( LINE 7 * 35%)</t>
  </si>
  <si>
    <t xml:space="preserve">CONVERSION FACTOR INCL FEDERAL INCOME TAX ( LINE 5 + LINE 8 ) </t>
  </si>
  <si>
    <t>Exhibit 8</t>
  </si>
  <si>
    <t>Total Deferral &amp; Interest Balance</t>
  </si>
  <si>
    <t>(2) + (4) + (6)</t>
  </si>
  <si>
    <t>(2) / (10)</t>
  </si>
  <si>
    <t>(4) / (10)</t>
  </si>
  <si>
    <t>Interest Balance including Revenue Sensitive Items</t>
  </si>
  <si>
    <t>(6) / (10)</t>
  </si>
  <si>
    <t>Total Balance including Revenue Sensitive Items</t>
  </si>
  <si>
    <t>(12) + (14) + (16)</t>
  </si>
  <si>
    <t>Recovery of Delivery Deferral Balance by Rate Group</t>
  </si>
  <si>
    <t xml:space="preserve">Line  </t>
  </si>
  <si>
    <t>Deferral Balance at End of CY 2017</t>
  </si>
  <si>
    <t>Deferral Balance including Revenue Sensitive Items</t>
  </si>
  <si>
    <t>Normalizing Adjustments to Remove</t>
  </si>
  <si>
    <t>2017 CBR as Filed</t>
  </si>
  <si>
    <t>Temp Normalization</t>
  </si>
  <si>
    <t>Temp Related Power Costs</t>
  </si>
  <si>
    <t>Rate Case Expense</t>
  </si>
  <si>
    <t>Bad Debt</t>
  </si>
  <si>
    <t>Montana Tax</t>
  </si>
  <si>
    <t>Injuries &amp; Damages</t>
  </si>
  <si>
    <t>Storm Normalization</t>
  </si>
  <si>
    <t>2017 Adjusted CBR Earnings Test</t>
  </si>
  <si>
    <t>Rate Base Adjustments</t>
  </si>
  <si>
    <t>Commission basis report pg 3-A thru 3-B</t>
  </si>
  <si>
    <t xml:space="preserve">Restated Rate Base </t>
  </si>
  <si>
    <t>Commission basis report pg 1.01 line b</t>
  </si>
  <si>
    <t>Threshold (only 13 days at 2017 GRC ROR)</t>
  </si>
  <si>
    <t>(Source:  UE-130137/UG-130138 and UE-170033/UG-170034)</t>
  </si>
  <si>
    <t>Line 2 x Line 3</t>
  </si>
  <si>
    <t>Normalizing Adjustments</t>
  </si>
  <si>
    <t>Restated Net Operating Income (Cumulative)</t>
  </si>
  <si>
    <t>Previous Column + Line 5</t>
  </si>
  <si>
    <t>Line 4 - Line 6</t>
  </si>
  <si>
    <t>Excess Earnings (Cumulative)</t>
  </si>
  <si>
    <t>Greater of zero or line 7</t>
  </si>
  <si>
    <t>Earnings Sharing %</t>
  </si>
  <si>
    <t>UE-121697</t>
  </si>
  <si>
    <t>After-Tax Earnings Sharing (Cumulative)</t>
  </si>
  <si>
    <t>Line 8 x Line 9</t>
  </si>
  <si>
    <t>(Source:  UE-170033/UG-170034)</t>
  </si>
  <si>
    <t>Incremental Earnings Sharing for CY 2017 for Cost of Svc</t>
  </si>
  <si>
    <t>Line 10 ÷ Line11, &amp; for adj:  (Line 10 - Previous Line 10) ÷ Line11</t>
  </si>
  <si>
    <t>Actual</t>
  </si>
  <si>
    <t>One-Time Allocation of December 31, 2017 Fixed Power Cost Deferred Balance</t>
  </si>
  <si>
    <t>Development of 12ME December 2017 Margin Revenue</t>
  </si>
  <si>
    <t xml:space="preserve">  Schedules 7A, 11 &amp; 25</t>
  </si>
  <si>
    <t xml:space="preserve">  Schedule 46 &amp; 49</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</si>
  <si>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</si>
  <si>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</si>
  <si>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</si>
  <si>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</si>
  <si>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</si>
  <si>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</si>
  <si>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</si>
  <si>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</si>
  <si>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</si>
  <si>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</si>
  <si>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</si>
  <si>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</si>
  <si>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</si>
  <si>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</si>
  <si>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</si>
  <si>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</si>
  <si>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</si>
  <si>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</si>
  <si>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</si>
  <si>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40</t>
  </si>
  <si>
    <t>Schedule 43</t>
  </si>
  <si>
    <t>Resale 5</t>
  </si>
  <si>
    <t>% Diff from Actual (Total)</t>
  </si>
  <si>
    <t>Rate Schedules Not Sensitive to Temperature</t>
  </si>
  <si>
    <t>High Voltage (46/49)</t>
  </si>
  <si>
    <t>Schedule 35</t>
  </si>
  <si>
    <t>Grand Total</t>
  </si>
  <si>
    <t xml:space="preserve">  Schedules 8, 11, 24, 25, 29, 35, 40, 43, 46 &amp; 49</t>
  </si>
  <si>
    <t>Background Filter:</t>
  </si>
  <si>
    <t xml:space="preserve">Division {Electric} </t>
  </si>
  <si>
    <t>Key Figures</t>
  </si>
  <si>
    <t>Fiscal year/period</t>
  </si>
  <si>
    <t>Customer Counts</t>
  </si>
  <si>
    <t>Rate Category</t>
  </si>
  <si>
    <t>001/2017</t>
  </si>
  <si>
    <t>002/2017</t>
  </si>
  <si>
    <t>003/2017</t>
  </si>
  <si>
    <t>004/2017</t>
  </si>
  <si>
    <t>005/2017</t>
  </si>
  <si>
    <t>006/2017</t>
  </si>
  <si>
    <t>007/2017</t>
  </si>
  <si>
    <t>008/2017</t>
  </si>
  <si>
    <t>009/2017</t>
  </si>
  <si>
    <t>010/2017</t>
  </si>
  <si>
    <t>011/2017</t>
  </si>
  <si>
    <t>012/2017</t>
  </si>
  <si>
    <t>NM_MSTR_CI</t>
  </si>
  <si>
    <t>NM_MSTR_RS</t>
  </si>
  <si>
    <t>SCH_03E</t>
  </si>
  <si>
    <t>SCH_05E</t>
  </si>
  <si>
    <t>SCH_10E</t>
  </si>
  <si>
    <t>SCH_11E</t>
  </si>
  <si>
    <t>SCH_12E</t>
  </si>
  <si>
    <t>SCH_24EC</t>
  </si>
  <si>
    <t>SCH_24EI</t>
  </si>
  <si>
    <t>SCH_24EL</t>
  </si>
  <si>
    <t>SCH_25EC</t>
  </si>
  <si>
    <t>SCH_25EI</t>
  </si>
  <si>
    <t>SCH_25EL</t>
  </si>
  <si>
    <t>SCH_26EC</t>
  </si>
  <si>
    <t>SCH_26EI</t>
  </si>
  <si>
    <t>SCH_29E</t>
  </si>
  <si>
    <t>SCH_31EC</t>
  </si>
  <si>
    <t>SCH_31EI</t>
  </si>
  <si>
    <t>SCH_35E</t>
  </si>
  <si>
    <t>SCH_40EC</t>
  </si>
  <si>
    <t>SCH_40EI</t>
  </si>
  <si>
    <t>SCH_43E</t>
  </si>
  <si>
    <t>SCH_449EC</t>
  </si>
  <si>
    <t>SCH_449EI</t>
  </si>
  <si>
    <t>SCH_459EI</t>
  </si>
  <si>
    <t>SCH_46EC</t>
  </si>
  <si>
    <t>SCH_46EI</t>
  </si>
  <si>
    <t>SCH_49EC</t>
  </si>
  <si>
    <t>SCH_49EI</t>
  </si>
  <si>
    <t>SCH_50E</t>
  </si>
  <si>
    <t>SCH_51E</t>
  </si>
  <si>
    <t>SCH_52E</t>
  </si>
  <si>
    <t>SCH_53E</t>
  </si>
  <si>
    <t>SCH_54E</t>
  </si>
  <si>
    <t>SCH_55E</t>
  </si>
  <si>
    <t>SCH_56E</t>
  </si>
  <si>
    <t>SCH_57E</t>
  </si>
  <si>
    <t>SCH_58E</t>
  </si>
  <si>
    <t>SCH_59E</t>
  </si>
  <si>
    <t>SCH_628E</t>
  </si>
  <si>
    <t>SCH_7AE</t>
  </si>
  <si>
    <t>SCH_7E</t>
  </si>
  <si>
    <t>SCH_8E</t>
  </si>
  <si>
    <t>SCH_91E</t>
  </si>
  <si>
    <t>SCH_997E</t>
  </si>
  <si>
    <t>SCH_998E</t>
  </si>
  <si>
    <t>SCH_NETWEC</t>
  </si>
  <si>
    <t>SCH_SGENEI</t>
  </si>
  <si>
    <t>Overall Result</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</si>
  <si>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</si>
  <si>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</si>
  <si>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</si>
  <si>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</si>
  <si>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</si>
  <si>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</si>
  <si>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</si>
  <si>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</si>
  <si>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</si>
  <si>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</si>
  <si>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</si>
  <si>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</si>
  <si>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</si>
  <si>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</si>
  <si>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</si>
  <si>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</si>
  <si>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</si>
  <si>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</si>
  <si>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</si>
  <si>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</si>
  <si>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</si>
  <si>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</si>
  <si>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40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</si>
  <si>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</si>
  <si>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</si>
  <si>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</si>
  <si>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</si>
  <si>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</si>
  <si>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</si>
  <si>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</si>
  <si>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</si>
  <si>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</si>
  <si>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</si>
  <si>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</si>
  <si>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</si>
  <si>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</si>
  <si>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</si>
  <si>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</si>
  <si>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</si>
  <si>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</si>
  <si>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</si>
  <si>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Annual kWh Delivered Sales (Normalized)</t>
  </si>
  <si>
    <t>Note: Revenues above are normalized  YE 12-31-18 revenues at current rates effective 1-1-18</t>
  </si>
  <si>
    <t>Annual Proforma Base Revenue
 Rates Eff 1/1/18</t>
  </si>
  <si>
    <t>Annual Normalized Revenue @ Current Rates</t>
  </si>
  <si>
    <t>Schedule 142 Typical Residential Bill Impact</t>
  </si>
  <si>
    <t>Remove:</t>
  </si>
  <si>
    <t>Add:</t>
  </si>
  <si>
    <t>Annual Estimated Revenue @ Rates Effective 12/31/2017</t>
  </si>
  <si>
    <t>Revenue Change</t>
  </si>
  <si>
    <t>Annual Estimated Revenue @ Rates Effective 5-1-2018</t>
  </si>
  <si>
    <t>% Change</t>
  </si>
  <si>
    <t>Present Base Rates</t>
  </si>
  <si>
    <t>Sch 95</t>
  </si>
  <si>
    <t>Sch 95A</t>
  </si>
  <si>
    <t>Sch 120</t>
  </si>
  <si>
    <t>Sch 129</t>
  </si>
  <si>
    <t>Sch 132</t>
  </si>
  <si>
    <t>Sch 137</t>
  </si>
  <si>
    <t>Sch 140</t>
  </si>
  <si>
    <t>Sch 141</t>
  </si>
  <si>
    <t>Sch 194</t>
  </si>
  <si>
    <t>Current Residential Bill</t>
  </si>
  <si>
    <t>Remove:  Schedule 142</t>
  </si>
  <si>
    <t>Add:  Schedule 142</t>
  </si>
  <si>
    <t>Proposed Residential Bill</t>
  </si>
  <si>
    <t>Average Cents-per-kWh</t>
  </si>
  <si>
    <t>Summary Page Residential</t>
  </si>
  <si>
    <t>Typical</t>
  </si>
  <si>
    <t>Residential Schedule 7 Rates</t>
  </si>
  <si>
    <t>Present Rates Effective 
4-30-18</t>
  </si>
  <si>
    <t>Proposed Rates Effective 
5-1-18</t>
  </si>
  <si>
    <t>One Phase Basic Charge</t>
  </si>
  <si>
    <t>Other Electric Charges and Credits</t>
  </si>
  <si>
    <t>Subtotal Other Charges</t>
  </si>
  <si>
    <t>Total Block 1 Energy Charge</t>
  </si>
  <si>
    <t>Total Block 2 Energy Charge</t>
  </si>
  <si>
    <t>Average Residential Usage YE April 2019</t>
  </si>
  <si>
    <t>Forecast kWh</t>
  </si>
  <si>
    <t>Forecast Customer Count</t>
  </si>
  <si>
    <t>Average Use per Customer</t>
  </si>
  <si>
    <t>Annual Demand (kW or kVa)</t>
  </si>
  <si>
    <t>Decoupling
Schedule 142
Revenue 
@ 5-1-17</t>
  </si>
  <si>
    <t>(f) = (a) x (d)
or
(f) = (b) x (d)</t>
  </si>
  <si>
    <t>(f) = (a) x (e)
or
(f) = (b) x (e)</t>
  </si>
  <si>
    <t>8</t>
  </si>
  <si>
    <t>26</t>
  </si>
  <si>
    <t>Total Retail Sales</t>
  </si>
  <si>
    <t>F2017 YE April 2019</t>
  </si>
  <si>
    <t>Current Rates
Eff. 5-1-17</t>
  </si>
  <si>
    <t>Proposed Rates
Eff. 5-1-18</t>
  </si>
  <si>
    <t>Schedule 142 Rate Change Impacts by Rate Schedule</t>
  </si>
  <si>
    <t>Schedule 142 Revenue Change</t>
  </si>
  <si>
    <t>Decoupling
Schedule 142
Revenue 
@ 5-1-18</t>
  </si>
  <si>
    <t>Electric Operations</t>
  </si>
  <si>
    <t>Development of Deferrals - Residential</t>
  </si>
  <si>
    <t>Calendar Year 2017</t>
  </si>
  <si>
    <t>Monthly Allowed Volumetric Delivery RPC</t>
  </si>
  <si>
    <t>Allowed Volumetric Delivery Revenue</t>
  </si>
  <si>
    <t>Actual kWh (New Rate)</t>
  </si>
  <si>
    <t>Monthly Actual Volumetric Delivery Revenue</t>
  </si>
  <si>
    <t>Actual kWh (Old Rate)</t>
  </si>
  <si>
    <t>Total Actual Volumetric Delivery Revenue</t>
  </si>
  <si>
    <t>Deferral</t>
  </si>
  <si>
    <t>Interest on Deferral</t>
  </si>
  <si>
    <t>Cumulative Deferral</t>
  </si>
  <si>
    <t>Deferral Amortization Rate ($/kWh) (New Rate)</t>
  </si>
  <si>
    <t>Deferral Amortization Rate ($/kWh) (Old Rate)</t>
  </si>
  <si>
    <t>Cumulative Deferral Net of Amortization</t>
  </si>
  <si>
    <t>Schedule 142 Rate ($/kWh) (New Rate)</t>
  </si>
  <si>
    <t>Schedule 142 Rate ($/kWh) (Old Rate)</t>
  </si>
  <si>
    <t xml:space="preserve">Schedule 142 Revenues </t>
  </si>
  <si>
    <t>Amounts highlighted in yellow must be updated with actuals each month from the detail that supports each of the Customer Counts – By Schedule report (for Line 1) and the Summary of Electric Operating Revenue &amp; kWh Sales report (for Line 5).</t>
  </si>
  <si>
    <t xml:space="preserve">Amounts highlighted in green will remain unchanged in 2013, but must be updated to new amounts annually beginning in 2014.  The new monthly amounts for each subsequent calendar year will be obtained from Attachment C (for Line 2) and </t>
  </si>
  <si>
    <t>from the Cost of Service Department (for Line 6).  Amounts can also be found on Tariff Schedule 142.</t>
  </si>
  <si>
    <t>The conversion factor should be updated each May when rates change and can be obtained from the Cost of Service Department.</t>
  </si>
  <si>
    <t>Deferral (based on line 9 - does not include interest)</t>
  </si>
  <si>
    <t>Development of Deferrals - Non-Residential</t>
  </si>
  <si>
    <t>Amounts highlighted in yellow must be updated with actuals each month from the the detail that supports each of the Customer Counts – By Schedule report (for Line 1) and the Summary of Electric Operating Revenue &amp; kWh Sales report (for Line 5).</t>
  </si>
  <si>
    <t>Development of Deferrals - Schedules 12, 26 &amp; 26P</t>
  </si>
  <si>
    <t>Sch 26 Actual Demand KW (New Rate)</t>
  </si>
  <si>
    <t>Delivery Revenue Per Unit ($/KW)</t>
  </si>
  <si>
    <t>Sch 26 Actual Demand KW (Old Rate)</t>
  </si>
  <si>
    <t>Sch 26P Actual Demand KW (New Rate)</t>
  </si>
  <si>
    <t>Sch 26P Actual Demand KW (Old Rate)</t>
  </si>
  <si>
    <t>Deferral Amortization Rate ($/KW) (New Rate)</t>
  </si>
  <si>
    <t>Deferral Amortization Rate ($/KW) (Old Rate)</t>
  </si>
  <si>
    <t>Schedule 142 Rate ($/KW) (New Rate)</t>
  </si>
  <si>
    <t>Schedule 142 Rate ($/KW) (Old Rate)</t>
  </si>
  <si>
    <t>Deferral (based on line 13 - does not include interest)</t>
  </si>
  <si>
    <t>Development of Deferrals - Schedules 10 &amp; 31</t>
  </si>
  <si>
    <t>Actual Demand KW (New Rate)</t>
  </si>
  <si>
    <t>Actual Demand KW (Old Rate)</t>
  </si>
  <si>
    <t>Delivery Revenue Deferral and Amortization Calculations</t>
  </si>
  <si>
    <t xml:space="preserve">Schedule 7   </t>
  </si>
  <si>
    <t>Monthly Allowed Delivery RPC</t>
  </si>
  <si>
    <t>Allowed Delivery Revenue</t>
  </si>
  <si>
    <t>Actual Delivery Revenue</t>
  </si>
  <si>
    <t>Interest</t>
  </si>
  <si>
    <t>Cumulative Deferral &amp; Interest</t>
  </si>
  <si>
    <t>Deferral Amortization Rate ($/kWh) Old Rate)</t>
  </si>
  <si>
    <t>Cumulative Deferral &amp; Interest Net of Amortization</t>
  </si>
  <si>
    <t>Conversion Factor (ERF UE-130137)</t>
  </si>
  <si>
    <t>Conversion Factor (2017 GRC UE-170033)</t>
  </si>
  <si>
    <t>Deferral for Journal Entry</t>
  </si>
  <si>
    <t>Deferral Amorization for Journal Entry</t>
  </si>
  <si>
    <t>Amounts highlighted in green must be updated with actuals each month using customer count and volume reports from SAP Business Objects</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</si>
  <si>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</si>
  <si>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</si>
  <si>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Schedules 12 &amp; 26</t>
  </si>
  <si>
    <t>Actual KW (New Rate)</t>
  </si>
  <si>
    <t>Actual KW (Old Rate)</t>
  </si>
  <si>
    <t>Deferral Amortization Rate ($/KW) Old Rate)</t>
  </si>
  <si>
    <t>Schedules 10 &amp; 31</t>
  </si>
  <si>
    <t>Delivery Revenue Amortization Calculations</t>
  </si>
  <si>
    <t>Amounts highlighted in green must be updated with actuals each month using volume reports from SAP Business Objects</t>
  </si>
  <si>
    <t>Fixed Production Cost Revenue Deferral and Amortization Calculations</t>
  </si>
  <si>
    <t>Schedule 7</t>
  </si>
  <si>
    <t>Allowed Fixed Production Cost Revenue</t>
  </si>
  <si>
    <t>Fixed Production Cost Revenue Per Unit ($/kWh)</t>
  </si>
  <si>
    <t>Actual Fixed Production Cost Revenue</t>
  </si>
  <si>
    <t>Total Actual Volumetric FPC Revenue</t>
  </si>
  <si>
    <t>Annual Rate Test (Limit 3%)</t>
  </si>
  <si>
    <t>Earnings Test Allocation to UE-121697 Decoupling Groups</t>
  </si>
  <si>
    <t>Non-Residential Earnings Test Allocation to UE-170033 Decoupling Groups</t>
  </si>
  <si>
    <t>Estimated Amortization Balance including Revenue Sensitive Items</t>
  </si>
  <si>
    <t>Note:  Amounts above represent restated results and have been restated for any adjustments or corrections.</t>
  </si>
  <si>
    <t>Rate Test Revenue: YE Dec 2017 Normalized Revenue at Current Rates</t>
  </si>
  <si>
    <t xml:space="preserve">Total Delivery Margin Revenue </t>
  </si>
  <si>
    <t>Allowed Delivery Revenue Per Customer (1)</t>
  </si>
  <si>
    <t>(1) Includes Basic and Minimum Charge Revenues</t>
  </si>
  <si>
    <t>One-Time Allocation of December 31, 2017 Non-Residential Balances</t>
  </si>
  <si>
    <t>Exhibit 10</t>
  </si>
  <si>
    <t>Exhibit 8 &amp; 9</t>
  </si>
  <si>
    <t>Exhibit 14</t>
  </si>
  <si>
    <t>Exhibit 5</t>
  </si>
  <si>
    <t>Exhibit 6</t>
  </si>
  <si>
    <t>Exhibit 11</t>
  </si>
  <si>
    <t>Exhibit 1</t>
  </si>
  <si>
    <t>Exhibit 3</t>
  </si>
  <si>
    <t>Exhibit 2</t>
  </si>
  <si>
    <t>Exhibit 7</t>
  </si>
  <si>
    <t>Exhibit 12</t>
  </si>
  <si>
    <t>Note: Rates above are current schedule 142 amortization rates effective May 1, 2017</t>
  </si>
  <si>
    <t>PCA Fixed Cost Deferral  - January 1 - December 18, 2017</t>
  </si>
  <si>
    <t>Company Proposal</t>
  </si>
  <si>
    <t>Annual Revenue Requirement</t>
  </si>
  <si>
    <t>Row</t>
  </si>
  <si>
    <t>Total Allowed Fixed Costs (Jan 1 - Dec 19, 2017)</t>
  </si>
  <si>
    <t>PCA Period Delivered Load (Kwh)</t>
  </si>
  <si>
    <t>Fixed Baseline Rate, (Allowed/Approved by WUTC)</t>
  </si>
  <si>
    <t>Imbalance to Defer:  Under / (Over) Recovery</t>
  </si>
  <si>
    <t>positive is potential cust surcharge, negative is potential cust credit</t>
  </si>
  <si>
    <t>Less Firm Wholesale</t>
  </si>
  <si>
    <t>PCA Fixed Cost Deferral</t>
  </si>
  <si>
    <t>UTC Staff Proposal</t>
  </si>
  <si>
    <t>Jan</t>
  </si>
  <si>
    <t>Feb</t>
  </si>
  <si>
    <t>Mar</t>
  </si>
  <si>
    <t>Apr</t>
  </si>
  <si>
    <t>Jun</t>
  </si>
  <si>
    <t>Jul</t>
  </si>
  <si>
    <t>Aug</t>
  </si>
  <si>
    <t>Sep</t>
  </si>
  <si>
    <t>Oct</t>
  </si>
  <si>
    <t>Nov</t>
  </si>
  <si>
    <t>Dec</t>
  </si>
  <si>
    <t>Total Allowed Fixed Costs (Jan 1 - Dec 31, 2017)</t>
  </si>
  <si>
    <t>Difference in Deferral before RSI</t>
  </si>
  <si>
    <t>Difference in Deferral including RSI</t>
  </si>
  <si>
    <t>Weather normalized sales for all decoupled groups (UE-170033)</t>
  </si>
  <si>
    <t>Monthly allocation</t>
  </si>
  <si>
    <t>PUGET SOUND ENERGY</t>
  </si>
  <si>
    <t>Electric Earnings Sharing Test (Excludes Normalizing Adjustments per UE-170033 / UG-170034)</t>
  </si>
  <si>
    <t>Commission Basis Report</t>
  </si>
  <si>
    <t>FOR THE TWELVE MONTHS ENDED DECEMBER 31, 2017</t>
  </si>
  <si>
    <t>As Filed in UE-180280</t>
  </si>
  <si>
    <t>Reduction to Earnings Sharing from amount originally filed in UE-180280</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</si>
</sst>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quot;$&quot;#,##0\ ;\(&quot;$&quot;#,##0\)"/>
    <numFmt numFmtId="171" formatCode="&quot;$&quot;#,##0.00000_);\(&quot;$&quot;#,##0.00000\)"/>
    <numFmt numFmtId="172" formatCode="0.000000"/>
    <numFmt numFmtId="173" formatCode="0.00000"/>
    <numFmt numFmtId="174" formatCode="_(* #,##0.000000_);_(* \(#,##0.000000\);_(* &quot;-&quot;??_);_(@_)"/>
    <numFmt numFmtId="175" formatCode="_(* #,##0.000_);_(* \(#,##0.000\);_(* &quot;-&quot;??_);_(@_)"/>
    <numFmt numFmtId="176" formatCode="#,##0.000_);\(#,##0.000\)"/>
    <numFmt numFmtId="177" formatCode="[$-409]mmm\-yy;@"/>
    <numFmt numFmtId="178" formatCode="0.0000%"/>
    <numFmt numFmtId="179" formatCode="#,##0;&quot;-&quot;#,##0"/>
    <numFmt numFmtId="180" formatCode="_(&quot;$&quot;* #,##0.0_);_(&quot;$&quot;* \(#,##0.0\);_(&quot;$&quot;* &quot;-&quot;??_);_(@_)"/>
    <numFmt numFmtId="181" formatCode="&quot;$&quot;#,##0.000000_);\(&quot;$&quot;#,##0.000000\)"/>
    <numFmt numFmtId="182" formatCode="0.00000%"/>
  </numFmts>
  <fonts count="39" x14ac:knownFonts="1">
    <font>
      <sz val="11"/>
      <color theme="1"/>
      <name val="Calibri"/>
      <family val="2"/>
      <scheme val="minor"/>
    </font>
    <font>
      <b/>
      <sz val="10"/>
      <name val="Arial"/>
      <family val="2"/>
    </font>
    <font>
      <sz val="10"/>
      <color theme="1"/>
      <name val="Calibri"/>
      <family val="2"/>
    </font>
    <font>
      <b/>
      <sz val="10"/>
      <color theme="1"/>
      <name val="Arial"/>
      <family val="2"/>
    </font>
    <font>
      <sz val="10"/>
      <color theme="1"/>
      <name val="Arial"/>
      <family val="2"/>
    </font>
    <font>
      <b/>
      <i/>
      <u/>
      <sz val="10"/>
      <color theme="1"/>
      <name val="Arial"/>
      <family val="2"/>
    </font>
    <font>
      <sz val="10"/>
      <color rgb="FF008080"/>
      <name val="Arial"/>
      <family val="2"/>
    </font>
    <font>
      <sz val="10"/>
      <name val="Arial"/>
      <family val="2"/>
    </font>
    <font>
      <u/>
      <sz val="10"/>
      <color theme="1"/>
      <name val="Arial"/>
      <family val="2"/>
    </font>
    <font>
      <sz val="10"/>
      <color rgb="FF0000FF"/>
      <name val="Arial"/>
      <family val="2"/>
    </font>
    <font>
      <b/>
      <u/>
      <sz val="10"/>
      <color theme="1"/>
      <name val="Arial"/>
      <family val="2"/>
    </font>
    <font>
      <u/>
      <sz val="10"/>
      <name val="Arial"/>
      <family val="2"/>
    </font>
    <font>
      <sz val="10"/>
      <color rgb="FF008080"/>
      <name val="Calibri"/>
      <family val="2"/>
    </font>
    <font>
      <sz val="10"/>
      <color rgb="FF0000FF"/>
      <name val="Calibri"/>
      <family val="2"/>
    </font>
    <font>
      <sz val="8"/>
      <name val="Arial"/>
      <family val="2"/>
    </font>
    <font>
      <sz val="10"/>
      <name val="Arial"/>
      <family val="2"/>
    </font>
    <font>
      <b/>
      <sz val="12"/>
      <name val="Arial"/>
      <family val="2"/>
    </font>
    <font>
      <sz val="10"/>
      <color indexed="12"/>
      <name val="Arial"/>
      <family val="2"/>
    </font>
    <font>
      <sz val="10"/>
      <color indexed="8"/>
      <name val="Arial"/>
      <family val="2"/>
    </font>
    <font>
      <b/>
      <u/>
      <sz val="10"/>
      <name val="Arial"/>
      <family val="2"/>
    </font>
    <font>
      <b/>
      <sz val="10"/>
      <name val="Times New Roman"/>
      <family val="1"/>
    </font>
    <font>
      <sz val="10"/>
      <name val="Times New Roman"/>
      <family val="1"/>
    </font>
    <font>
      <sz val="9"/>
      <color theme="1"/>
      <name val="Arial"/>
      <family val="2"/>
    </font>
    <font>
      <sz val="8"/>
      <color rgb="FF0000FF"/>
      <name val="Arial"/>
      <family val="2"/>
    </font>
    <font>
      <sz val="8"/>
      <color rgb="FFFF0000"/>
      <name val="Arial"/>
      <family val="2"/>
    </font>
    <font>
      <sz val="11"/>
      <color indexed="8"/>
      <name val="Calibri"/>
      <family val="2"/>
      <scheme val="minor"/>
    </font>
    <font>
      <i/>
      <sz val="10"/>
      <name val="Arial"/>
      <family val="2"/>
    </font>
    <font>
      <b/>
      <i/>
      <sz val="10"/>
      <name val="Arial"/>
      <family val="2"/>
    </font>
    <font>
      <sz val="10"/>
      <color rgb="FFFF0000"/>
      <name val="Arial"/>
      <family val="2"/>
    </font>
    <font>
      <u val="doubleAccounting"/>
      <sz val="10"/>
      <name val="Arial"/>
      <family val="2"/>
    </font>
    <font>
      <b/>
      <sz val="11"/>
      <name val="Calibri"/>
      <family val="2"/>
    </font>
    <font>
      <b/>
      <sz val="10"/>
      <color rgb="FF008080"/>
      <name val="Arial"/>
      <family val="2"/>
    </font>
    <font>
      <sz val="10"/>
      <color indexed="17"/>
      <name val="Arial"/>
      <family val="2"/>
    </font>
    <font>
      <sz val="10"/>
      <name val="Arial"/>
    </font>
    <font>
      <b/>
      <sz val="8"/>
      <color rgb="FFFF0000"/>
      <name val="Arial"/>
      <family val="2"/>
    </font>
    <font>
      <sz val="10"/>
      <color theme="3" tint="0.39997558519241921"/>
      <name val="Arial"/>
      <family val="2"/>
    </font>
    <font>
      <b/>
      <sz val="10"/>
      <color rgb="FFFF0000"/>
      <name val="Arial"/>
      <family val="2"/>
    </font>
    <font>
      <sz val="10"/>
      <color rgb="FF7030A0"/>
      <name val="Arial"/>
      <family val="2"/>
    </font>
    <font>
      <sz val="10"/>
      <color theme="7" tint="-0.249977111117893"/>
      <name val="Arial"/>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D7"/>
      </patternFill>
    </fill>
    <fill>
      <patternFill patternType="solid">
        <fgColor rgb="FFECECEC"/>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1">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rgb="FFECECEC"/>
      </left>
      <right style="medium">
        <color rgb="FFECECEC"/>
      </right>
      <top/>
      <bottom/>
      <diagonal/>
    </border>
    <border>
      <left style="medium">
        <color rgb="FFECECEC"/>
      </left>
      <right/>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526">
    <xf numFmtId="0" fontId="0" fillId="0" borderId="0" xfId="0"/>
    <xf numFmtId="0" fontId="1" fillId="0" borderId="0" xfId="0" applyFont="1" applyAlignment="1"/>
    <xf numFmtId="0" fontId="2" fillId="0" borderId="0" xfId="0" applyFont="1"/>
    <xf numFmtId="0" fontId="2" fillId="0" borderId="0" xfId="0" applyFont="1" applyFill="1"/>
    <xf numFmtId="0" fontId="3" fillId="0" borderId="0" xfId="0" applyFont="1" applyFill="1" applyAlignment="1">
      <alignment horizontal="center"/>
    </xf>
    <xf numFmtId="0" fontId="1" fillId="0" borderId="0" xfId="0" applyNumberFormat="1" applyFont="1" applyFill="1" applyBorder="1" applyAlignment="1">
      <alignment horizontal="center"/>
    </xf>
    <xf numFmtId="0" fontId="1" fillId="0" borderId="0" xfId="0" applyFont="1" applyFill="1" applyAlignment="1">
      <alignment horizontal="center"/>
    </xf>
    <xf numFmtId="0" fontId="1" fillId="0" borderId="1" xfId="0" applyNumberFormat="1" applyFont="1" applyFill="1" applyBorder="1" applyAlignment="1">
      <alignment horizontal="center"/>
    </xf>
    <xf numFmtId="0" fontId="4" fillId="0" borderId="1" xfId="0" applyFont="1" applyFill="1" applyBorder="1"/>
    <xf numFmtId="0" fontId="4" fillId="0" borderId="0" xfId="0" applyFont="1" applyFill="1"/>
    <xf numFmtId="0" fontId="4" fillId="0" borderId="0" xfId="0" applyFont="1" applyFill="1" applyAlignment="1">
      <alignment horizontal="center"/>
    </xf>
    <xf numFmtId="0" fontId="5" fillId="0" borderId="0" xfId="0" applyFont="1" applyFill="1" applyAlignment="1">
      <alignment horizontal="left"/>
    </xf>
    <xf numFmtId="164" fontId="4" fillId="0" borderId="0" xfId="0" applyNumberFormat="1" applyFont="1" applyFill="1" applyBorder="1"/>
    <xf numFmtId="164" fontId="6" fillId="0" borderId="0" xfId="0" applyNumberFormat="1" applyFont="1" applyFill="1" applyBorder="1"/>
    <xf numFmtId="164" fontId="6" fillId="0" borderId="1" xfId="0" applyNumberFormat="1" applyFont="1" applyFill="1" applyBorder="1"/>
    <xf numFmtId="3" fontId="6" fillId="0" borderId="1" xfId="0" applyNumberFormat="1" applyFont="1" applyFill="1" applyBorder="1"/>
    <xf numFmtId="165" fontId="4" fillId="0" borderId="2" xfId="0" applyNumberFormat="1" applyFont="1" applyFill="1" applyBorder="1"/>
    <xf numFmtId="165" fontId="6" fillId="0" borderId="0" xfId="0" applyNumberFormat="1" applyFont="1" applyFill="1"/>
    <xf numFmtId="164" fontId="4" fillId="0" borderId="0" xfId="0" applyNumberFormat="1" applyFont="1" applyFill="1"/>
    <xf numFmtId="44" fontId="4" fillId="0" borderId="2" xfId="0" applyNumberFormat="1" applyFont="1" applyFill="1" applyBorder="1"/>
    <xf numFmtId="44" fontId="6" fillId="0" borderId="0" xfId="0" applyNumberFormat="1" applyFont="1" applyFill="1"/>
    <xf numFmtId="165" fontId="2" fillId="0" borderId="0" xfId="0" applyNumberFormat="1" applyFont="1" applyFill="1"/>
    <xf numFmtId="0" fontId="0" fillId="0" borderId="0" xfId="0" applyFill="1"/>
    <xf numFmtId="0" fontId="4" fillId="0" borderId="1" xfId="0" applyFont="1" applyFill="1" applyBorder="1" applyAlignment="1"/>
    <xf numFmtId="164" fontId="6" fillId="0" borderId="0" xfId="0" applyNumberFormat="1" applyFont="1" applyFill="1"/>
    <xf numFmtId="0" fontId="6" fillId="0" borderId="0" xfId="0" applyFont="1" applyFill="1"/>
    <xf numFmtId="166" fontId="6" fillId="0" borderId="1" xfId="0" applyNumberFormat="1" applyFont="1" applyFill="1" applyBorder="1"/>
    <xf numFmtId="165" fontId="4" fillId="0" borderId="0" xfId="0" applyNumberFormat="1" applyFont="1" applyFill="1"/>
    <xf numFmtId="167" fontId="4" fillId="0" borderId="0" xfId="0" applyNumberFormat="1" applyFont="1" applyFill="1"/>
    <xf numFmtId="165" fontId="4" fillId="0" borderId="0" xfId="0" applyNumberFormat="1" applyFont="1" applyFill="1" applyBorder="1"/>
    <xf numFmtId="167" fontId="4" fillId="0" borderId="0" xfId="0" applyNumberFormat="1" applyFont="1" applyFill="1" applyBorder="1"/>
    <xf numFmtId="165" fontId="6" fillId="0" borderId="1" xfId="0" applyNumberFormat="1" applyFont="1" applyFill="1" applyBorder="1"/>
    <xf numFmtId="10" fontId="4" fillId="0" borderId="0" xfId="0" applyNumberFormat="1" applyFont="1" applyFill="1"/>
    <xf numFmtId="10" fontId="4" fillId="0" borderId="0" xfId="0" applyNumberFormat="1" applyFont="1" applyFill="1" applyBorder="1"/>
    <xf numFmtId="167" fontId="2" fillId="0" borderId="0" xfId="0" applyNumberFormat="1" applyFont="1" applyFill="1"/>
    <xf numFmtId="166" fontId="6" fillId="0" borderId="0" xfId="0" applyNumberFormat="1" applyFont="1" applyFill="1"/>
    <xf numFmtId="44" fontId="4" fillId="0" borderId="0" xfId="0" applyNumberFormat="1" applyFont="1" applyFill="1"/>
    <xf numFmtId="44" fontId="4" fillId="0" borderId="0" xfId="0" applyNumberFormat="1" applyFont="1" applyFill="1" applyBorder="1"/>
    <xf numFmtId="165" fontId="6" fillId="0" borderId="0" xfId="0" applyNumberFormat="1" applyFont="1" applyFill="1" applyBorder="1"/>
    <xf numFmtId="168" fontId="0" fillId="0" borderId="0" xfId="0" applyNumberFormat="1" applyFont="1"/>
    <xf numFmtId="44" fontId="0" fillId="0" borderId="0" xfId="0" applyNumberFormat="1"/>
    <xf numFmtId="10" fontId="0" fillId="0" borderId="0" xfId="0" applyNumberFormat="1" applyFont="1"/>
    <xf numFmtId="44" fontId="2" fillId="0" borderId="0" xfId="0" applyNumberFormat="1" applyFont="1" applyFill="1"/>
    <xf numFmtId="165" fontId="0" fillId="0" borderId="0" xfId="0" applyNumberFormat="1"/>
    <xf numFmtId="9" fontId="0" fillId="0" borderId="0" xfId="0" applyNumberFormat="1" applyFont="1"/>
    <xf numFmtId="0" fontId="1" fillId="0" borderId="0" xfId="0" applyFont="1" applyAlignment="1">
      <alignment horizontal="center"/>
    </xf>
    <xf numFmtId="0" fontId="7" fillId="0" borderId="0" xfId="0" applyFont="1"/>
    <xf numFmtId="166" fontId="7" fillId="0" borderId="0" xfId="0" applyNumberFormat="1" applyFont="1"/>
    <xf numFmtId="164" fontId="7" fillId="0" borderId="0" xfId="0" applyNumberFormat="1" applyFont="1"/>
    <xf numFmtId="168" fontId="7" fillId="0" borderId="0" xfId="0" applyNumberFormat="1" applyFont="1"/>
    <xf numFmtId="0" fontId="7" fillId="0" borderId="0" xfId="0" applyFont="1" applyAlignment="1">
      <alignment horizontal="left" indent="1"/>
    </xf>
    <xf numFmtId="166" fontId="7" fillId="0" borderId="3" xfId="0" applyNumberFormat="1" applyFont="1" applyBorder="1"/>
    <xf numFmtId="166" fontId="7" fillId="0" borderId="4" xfId="0" applyNumberFormat="1" applyFont="1" applyBorder="1"/>
    <xf numFmtId="166" fontId="7" fillId="0" borderId="0" xfId="0" applyNumberFormat="1" applyFont="1" applyBorder="1"/>
    <xf numFmtId="0" fontId="4" fillId="0" borderId="0" xfId="0" applyFont="1"/>
    <xf numFmtId="0" fontId="3" fillId="0" borderId="0" xfId="0" applyFont="1" applyFill="1" applyAlignment="1">
      <alignment horizontal="center"/>
    </xf>
    <xf numFmtId="0" fontId="4" fillId="0" borderId="0" xfId="0" applyFont="1" applyFill="1" applyBorder="1"/>
    <xf numFmtId="41" fontId="1" fillId="0" borderId="1" xfId="0" applyNumberFormat="1" applyFont="1" applyFill="1" applyBorder="1" applyAlignment="1">
      <alignment horizontal="center" vertical="center" wrapText="1"/>
    </xf>
    <xf numFmtId="17" fontId="1" fillId="0" borderId="1" xfId="0" applyNumberFormat="1" applyFont="1" applyFill="1" applyBorder="1" applyAlignment="1">
      <alignment horizontal="center" vertical="center" wrapText="1"/>
    </xf>
    <xf numFmtId="0" fontId="8" fillId="0" borderId="0" xfId="0" applyFont="1" applyFill="1" applyBorder="1"/>
    <xf numFmtId="3" fontId="6" fillId="0" borderId="0" xfId="0" applyNumberFormat="1" applyFont="1" applyFill="1"/>
    <xf numFmtId="0" fontId="8" fillId="0" borderId="0" xfId="0" applyFont="1" applyFill="1"/>
    <xf numFmtId="9" fontId="4" fillId="0" borderId="0" xfId="0" applyNumberFormat="1" applyFont="1"/>
    <xf numFmtId="164" fontId="9" fillId="0" borderId="0" xfId="0" applyNumberFormat="1" applyFont="1" applyFill="1"/>
    <xf numFmtId="0" fontId="7" fillId="0" borderId="0" xfId="0" applyFont="1" applyFill="1"/>
    <xf numFmtId="41" fontId="1" fillId="0" borderId="0" xfId="0" applyNumberFormat="1" applyFont="1" applyFill="1" applyBorder="1" applyAlignment="1">
      <alignment horizontal="center"/>
    </xf>
    <xf numFmtId="41" fontId="1" fillId="0" borderId="1" xfId="0" applyNumberFormat="1" applyFont="1" applyFill="1" applyBorder="1" applyAlignment="1">
      <alignment horizontal="center"/>
    </xf>
    <xf numFmtId="0" fontId="4" fillId="0" borderId="0" xfId="0" applyFont="1" applyFill="1" applyAlignment="1">
      <alignment horizontal="left"/>
    </xf>
    <xf numFmtId="44" fontId="6" fillId="0" borderId="0" xfId="0" quotePrefix="1" applyNumberFormat="1" applyFont="1" applyFill="1" applyAlignment="1">
      <alignment horizontal="center"/>
    </xf>
    <xf numFmtId="0" fontId="10" fillId="0" borderId="0" xfId="0" applyFont="1" applyFill="1" applyAlignment="1">
      <alignment horizontal="left"/>
    </xf>
    <xf numFmtId="164" fontId="6" fillId="0" borderId="0" xfId="0" quotePrefix="1" applyNumberFormat="1" applyFont="1" applyFill="1" applyAlignment="1">
      <alignment horizontal="center"/>
    </xf>
    <xf numFmtId="0" fontId="4" fillId="0" borderId="0" xfId="0" quotePrefix="1" applyFont="1" applyFill="1" applyAlignment="1">
      <alignment horizontal="center"/>
    </xf>
    <xf numFmtId="164" fontId="4" fillId="0" borderId="0" xfId="0" quotePrefix="1" applyNumberFormat="1" applyFont="1" applyFill="1" applyAlignment="1">
      <alignment horizontal="center"/>
    </xf>
    <xf numFmtId="169" fontId="7" fillId="0" borderId="0" xfId="0" applyNumberFormat="1" applyFont="1" applyFill="1" applyAlignment="1"/>
    <xf numFmtId="0" fontId="7" fillId="0" borderId="0" xfId="0" applyFont="1" applyFill="1" applyAlignment="1"/>
    <xf numFmtId="169" fontId="1" fillId="0" borderId="0" xfId="0" applyNumberFormat="1" applyFont="1" applyFill="1" applyAlignment="1"/>
    <xf numFmtId="0" fontId="1" fillId="0" borderId="0" xfId="0" applyFont="1" applyFill="1" applyAlignment="1"/>
    <xf numFmtId="0" fontId="1" fillId="0" borderId="0" xfId="0" applyFont="1" applyFill="1"/>
    <xf numFmtId="0" fontId="1" fillId="0" borderId="0" xfId="0" applyFont="1" applyFill="1" applyBorder="1" applyAlignment="1">
      <alignment horizontal="centerContinuous"/>
    </xf>
    <xf numFmtId="170" fontId="1" fillId="0" borderId="0" xfId="0" applyNumberFormat="1" applyFont="1" applyFill="1" applyAlignment="1">
      <alignment horizontal="centerContinuous"/>
    </xf>
    <xf numFmtId="0" fontId="7" fillId="0" borderId="0" xfId="0" applyFont="1" applyFill="1" applyBorder="1" applyAlignment="1">
      <alignment horizontal="center"/>
    </xf>
    <xf numFmtId="0" fontId="7" fillId="0" borderId="0" xfId="0" applyFont="1" applyFill="1" applyAlignment="1">
      <alignment horizontal="center"/>
    </xf>
    <xf numFmtId="0" fontId="7" fillId="0" borderId="1" xfId="0" applyFont="1" applyFill="1" applyBorder="1"/>
    <xf numFmtId="0" fontId="7" fillId="0" borderId="1" xfId="0" applyFont="1" applyFill="1" applyBorder="1" applyAlignment="1">
      <alignment horizontal="center"/>
    </xf>
    <xf numFmtId="41" fontId="1" fillId="0" borderId="0" xfId="0" applyNumberFormat="1" applyFont="1" applyFill="1" applyBorder="1" applyAlignment="1">
      <alignment horizontal="center" vertical="center" wrapText="1"/>
    </xf>
    <xf numFmtId="0" fontId="7" fillId="0" borderId="0" xfId="0" applyFont="1" applyFill="1" applyBorder="1"/>
    <xf numFmtId="0" fontId="1" fillId="0" borderId="0" xfId="0" applyFont="1" applyBorder="1" applyProtection="1">
      <protection locked="0"/>
    </xf>
    <xf numFmtId="0" fontId="7" fillId="0" borderId="0" xfId="0" applyFont="1" applyBorder="1"/>
    <xf numFmtId="165" fontId="4" fillId="0" borderId="0" xfId="0" applyNumberFormat="1" applyFont="1" applyFill="1" applyAlignment="1"/>
    <xf numFmtId="165" fontId="7" fillId="0" borderId="0" xfId="0" applyNumberFormat="1" applyFont="1" applyFill="1" applyBorder="1" applyAlignment="1">
      <alignment horizontal="center"/>
    </xf>
    <xf numFmtId="165" fontId="6" fillId="0" borderId="0" xfId="0" applyNumberFormat="1" applyFont="1" applyFill="1" applyAlignment="1"/>
    <xf numFmtId="43" fontId="7" fillId="0" borderId="0" xfId="0" applyNumberFormat="1" applyFont="1" applyFill="1" applyAlignment="1"/>
    <xf numFmtId="7" fontId="6" fillId="0" borderId="0" xfId="0" applyNumberFormat="1" applyFont="1" applyFill="1" applyAlignment="1"/>
    <xf numFmtId="0" fontId="1" fillId="0" borderId="0" xfId="0" applyFont="1" applyFill="1" applyBorder="1" applyProtection="1">
      <protection locked="0"/>
    </xf>
    <xf numFmtId="0" fontId="7" fillId="0" borderId="0" xfId="0" applyFont="1" applyFill="1" applyBorder="1" applyProtection="1">
      <protection locked="0"/>
    </xf>
    <xf numFmtId="44" fontId="4" fillId="0" borderId="0" xfId="0" applyNumberFormat="1" applyFont="1" applyFill="1" applyAlignment="1"/>
    <xf numFmtId="44" fontId="6" fillId="0" borderId="0" xfId="0" applyNumberFormat="1" applyFont="1" applyFill="1" applyAlignment="1"/>
    <xf numFmtId="0" fontId="6" fillId="0" borderId="0" xfId="0" applyFont="1" applyFill="1" applyAlignment="1"/>
    <xf numFmtId="171" fontId="6" fillId="0" borderId="0" xfId="0" applyNumberFormat="1" applyFont="1" applyFill="1" applyAlignment="1"/>
    <xf numFmtId="0" fontId="4" fillId="0" borderId="0" xfId="0" applyFont="1" applyAlignment="1">
      <alignment horizontal="center"/>
    </xf>
    <xf numFmtId="0" fontId="4" fillId="0" borderId="0" xfId="0" applyFont="1" applyAlignment="1">
      <alignment horizontal="center"/>
    </xf>
    <xf numFmtId="164" fontId="4" fillId="0" borderId="3" xfId="0" applyNumberFormat="1" applyFont="1" applyBorder="1"/>
    <xf numFmtId="44" fontId="7" fillId="0" borderId="0" xfId="0" applyNumberFormat="1" applyFont="1" applyFill="1"/>
    <xf numFmtId="43" fontId="7" fillId="0" borderId="0" xfId="0" applyNumberFormat="1" applyFont="1" applyFill="1"/>
    <xf numFmtId="0" fontId="7" fillId="0" borderId="0" xfId="0" applyFont="1" applyAlignment="1">
      <alignment horizontal="left" indent="2"/>
    </xf>
    <xf numFmtId="10" fontId="6" fillId="0" borderId="0" xfId="0" applyNumberFormat="1" applyFont="1" applyFill="1" applyBorder="1"/>
    <xf numFmtId="0" fontId="3" fillId="0" borderId="0" xfId="0" applyFont="1" applyFill="1"/>
    <xf numFmtId="44" fontId="2" fillId="0" borderId="0" xfId="0" applyNumberFormat="1" applyFont="1"/>
    <xf numFmtId="44" fontId="4" fillId="0" borderId="0" xfId="0" quotePrefix="1" applyNumberFormat="1" applyFont="1" applyFill="1" applyAlignment="1">
      <alignment horizontal="center"/>
    </xf>
    <xf numFmtId="172" fontId="9" fillId="0" borderId="0" xfId="0" applyNumberFormat="1" applyFont="1" applyFill="1" applyBorder="1"/>
    <xf numFmtId="173" fontId="9" fillId="0" borderId="0" xfId="0" applyNumberFormat="1" applyFont="1" applyFill="1" applyBorder="1"/>
    <xf numFmtId="44" fontId="12" fillId="0" borderId="0" xfId="0" applyNumberFormat="1" applyFont="1" applyFill="1"/>
    <xf numFmtId="44" fontId="9" fillId="0" borderId="0" xfId="0" quotePrefix="1" applyNumberFormat="1" applyFont="1" applyFill="1" applyAlignment="1">
      <alignment horizontal="center"/>
    </xf>
    <xf numFmtId="44" fontId="13" fillId="0" borderId="0" xfId="0" applyNumberFormat="1" applyFont="1"/>
    <xf numFmtId="44" fontId="13" fillId="0" borderId="0" xfId="0" applyNumberFormat="1" applyFont="1" applyFill="1"/>
    <xf numFmtId="3" fontId="4" fillId="0" borderId="0" xfId="0" applyNumberFormat="1" applyFont="1" applyFill="1"/>
    <xf numFmtId="165" fontId="9" fillId="0" borderId="0" xfId="0" quotePrefix="1" applyNumberFormat="1" applyFont="1" applyFill="1" applyAlignment="1">
      <alignment horizontal="center"/>
    </xf>
    <xf numFmtId="167" fontId="6" fillId="0" borderId="0" xfId="0" quotePrefix="1" applyNumberFormat="1" applyFont="1" applyFill="1" applyAlignment="1">
      <alignment horizontal="center"/>
    </xf>
    <xf numFmtId="0" fontId="15" fillId="2" borderId="0" xfId="0" applyNumberFormat="1" applyFont="1" applyFill="1" applyAlignment="1"/>
    <xf numFmtId="0" fontId="1" fillId="2" borderId="1" xfId="0" applyNumberFormat="1" applyFont="1" applyFill="1" applyBorder="1" applyAlignment="1">
      <alignment horizontal="center" wrapText="1"/>
    </xf>
    <xf numFmtId="0" fontId="1" fillId="2" borderId="0" xfId="0" applyNumberFormat="1" applyFont="1" applyFill="1" applyAlignment="1">
      <alignment wrapText="1"/>
    </xf>
    <xf numFmtId="0" fontId="1" fillId="2" borderId="0" xfId="0" applyNumberFormat="1" applyFont="1" applyFill="1" applyAlignment="1">
      <alignment horizontal="center" wrapText="1"/>
    </xf>
    <xf numFmtId="164" fontId="3" fillId="0" borderId="0" xfId="0" quotePrefix="1" applyNumberFormat="1" applyFont="1" applyFill="1" applyAlignment="1">
      <alignment horizontal="left"/>
    </xf>
    <xf numFmtId="0" fontId="1" fillId="2" borderId="0" xfId="0" applyNumberFormat="1" applyFont="1" applyFill="1" applyAlignment="1">
      <alignment horizontal="center"/>
    </xf>
    <xf numFmtId="0" fontId="1" fillId="2" borderId="0" xfId="0" applyNumberFormat="1" applyFont="1" applyFill="1" applyAlignment="1"/>
    <xf numFmtId="166" fontId="4" fillId="0" borderId="0" xfId="0" quotePrefix="1" applyNumberFormat="1" applyFont="1" applyFill="1" applyAlignment="1">
      <alignment horizontal="left"/>
    </xf>
    <xf numFmtId="166" fontId="7" fillId="2" borderId="0" xfId="0" applyNumberFormat="1" applyFont="1" applyFill="1" applyAlignment="1"/>
    <xf numFmtId="166" fontId="7" fillId="0" borderId="0" xfId="0" applyNumberFormat="1" applyFont="1" applyFill="1" applyAlignment="1">
      <alignment horizontal="left" wrapText="1"/>
    </xf>
    <xf numFmtId="0" fontId="7" fillId="2" borderId="0" xfId="0" applyNumberFormat="1" applyFont="1" applyFill="1" applyAlignment="1"/>
    <xf numFmtId="0" fontId="1" fillId="2" borderId="0" xfId="0" quotePrefix="1" applyNumberFormat="1" applyFont="1" applyFill="1" applyAlignment="1">
      <alignment horizontal="left"/>
    </xf>
    <xf numFmtId="174" fontId="4" fillId="0" borderId="0" xfId="0" quotePrefix="1" applyNumberFormat="1" applyFont="1" applyFill="1" applyAlignment="1">
      <alignment horizontal="left"/>
    </xf>
    <xf numFmtId="174" fontId="7" fillId="2" borderId="0" xfId="0" applyNumberFormat="1" applyFont="1" applyFill="1" applyAlignment="1"/>
    <xf numFmtId="0" fontId="1" fillId="2" borderId="0" xfId="0" quotePrefix="1" applyNumberFormat="1" applyFont="1" applyFill="1" applyAlignment="1">
      <alignment horizontal="left" indent="1"/>
    </xf>
    <xf numFmtId="9" fontId="15" fillId="0" borderId="12" xfId="0" quotePrefix="1" applyNumberFormat="1" applyFont="1" applyBorder="1"/>
    <xf numFmtId="164" fontId="4" fillId="0" borderId="0" xfId="0" quotePrefix="1" applyNumberFormat="1" applyFont="1" applyFill="1" applyAlignment="1">
      <alignment horizontal="left"/>
    </xf>
    <xf numFmtId="0" fontId="1" fillId="0" borderId="0" xfId="0" applyNumberFormat="1" applyFont="1" applyFill="1" applyAlignment="1"/>
    <xf numFmtId="0" fontId="7" fillId="0" borderId="0" xfId="0" applyNumberFormat="1" applyFont="1" applyFill="1" applyAlignment="1"/>
    <xf numFmtId="174" fontId="7" fillId="0" borderId="0" xfId="0" applyNumberFormat="1" applyFont="1" applyFill="1" applyAlignment="1"/>
    <xf numFmtId="0" fontId="15" fillId="2" borderId="0" xfId="0" applyNumberFormat="1" applyFont="1" applyFill="1" applyAlignment="1">
      <alignment horizontal="center"/>
    </xf>
    <xf numFmtId="0" fontId="2" fillId="3" borderId="0" xfId="0" applyFont="1" applyFill="1"/>
    <xf numFmtId="0" fontId="3" fillId="3" borderId="0" xfId="0" applyFont="1" applyFill="1" applyAlignment="1">
      <alignment horizontal="center"/>
    </xf>
    <xf numFmtId="41" fontId="1" fillId="3" borderId="1" xfId="0" applyNumberFormat="1" applyFont="1" applyFill="1" applyBorder="1" applyAlignment="1">
      <alignment horizontal="center" vertical="center" wrapText="1"/>
    </xf>
    <xf numFmtId="0" fontId="4" fillId="3" borderId="1" xfId="0" applyFont="1" applyFill="1" applyBorder="1"/>
    <xf numFmtId="0" fontId="4" fillId="3" borderId="0" xfId="0" applyFont="1" applyFill="1"/>
    <xf numFmtId="0" fontId="4" fillId="3" borderId="0" xfId="0" applyFont="1" applyFill="1" applyAlignment="1">
      <alignment horizontal="center"/>
    </xf>
    <xf numFmtId="0" fontId="5" fillId="3" borderId="0" xfId="0" applyFont="1" applyFill="1" applyAlignment="1">
      <alignment horizontal="left"/>
    </xf>
    <xf numFmtId="0" fontId="4" fillId="3" borderId="0" xfId="0" quotePrefix="1" applyFont="1" applyFill="1" applyAlignment="1">
      <alignment horizontal="center"/>
    </xf>
    <xf numFmtId="164" fontId="4" fillId="3" borderId="0" xfId="0" applyNumberFormat="1" applyFont="1" applyFill="1"/>
    <xf numFmtId="166" fontId="4" fillId="3" borderId="0" xfId="0" applyNumberFormat="1" applyFont="1" applyFill="1" applyBorder="1"/>
    <xf numFmtId="44" fontId="4" fillId="3" borderId="0" xfId="0" applyNumberFormat="1" applyFont="1" applyFill="1" applyBorder="1"/>
    <xf numFmtId="0" fontId="4" fillId="3" borderId="0" xfId="0" quotePrefix="1" applyFont="1" applyFill="1" applyAlignment="1">
      <alignment horizontal="left"/>
    </xf>
    <xf numFmtId="175" fontId="4" fillId="3" borderId="0" xfId="0" applyNumberFormat="1" applyFont="1" applyFill="1" applyAlignment="1">
      <alignment horizontal="center"/>
    </xf>
    <xf numFmtId="164" fontId="2" fillId="3" borderId="0" xfId="0" applyNumberFormat="1" applyFont="1" applyFill="1"/>
    <xf numFmtId="44" fontId="4" fillId="3" borderId="0" xfId="0" applyNumberFormat="1" applyFont="1" applyFill="1"/>
    <xf numFmtId="0" fontId="4" fillId="3" borderId="0" xfId="0" applyFont="1" applyFill="1" applyAlignment="1">
      <alignment horizontal="left"/>
    </xf>
    <xf numFmtId="0" fontId="2" fillId="3" borderId="0" xfId="0" quotePrefix="1" applyFont="1" applyFill="1" applyAlignment="1">
      <alignment horizontal="left"/>
    </xf>
    <xf numFmtId="43" fontId="2" fillId="3" borderId="0" xfId="0" applyNumberFormat="1" applyFont="1" applyFill="1"/>
    <xf numFmtId="43" fontId="2" fillId="0" borderId="0" xfId="0" applyNumberFormat="1" applyFont="1"/>
    <xf numFmtId="0" fontId="1" fillId="3" borderId="0" xfId="0" applyFont="1" applyFill="1" applyAlignment="1">
      <alignment horizontal="center"/>
    </xf>
    <xf numFmtId="0" fontId="1" fillId="0" borderId="0" xfId="0" applyFont="1" applyFill="1" applyAlignment="1">
      <alignment horizontal="centerContinuous"/>
    </xf>
    <xf numFmtId="0" fontId="16" fillId="0" borderId="0" xfId="0" applyFont="1" applyFill="1" applyAlignment="1">
      <alignment horizontal="centerContinuous"/>
    </xf>
    <xf numFmtId="17" fontId="7" fillId="0" borderId="1" xfId="0" applyNumberFormat="1" applyFont="1" applyFill="1" applyBorder="1" applyAlignment="1">
      <alignment horizontal="center"/>
    </xf>
    <xf numFmtId="166" fontId="17" fillId="0" borderId="0" xfId="0" applyNumberFormat="1" applyFont="1" applyFill="1" applyBorder="1"/>
    <xf numFmtId="166" fontId="7" fillId="0" borderId="0" xfId="0" applyNumberFormat="1" applyFont="1" applyFill="1"/>
    <xf numFmtId="166" fontId="7" fillId="0" borderId="0" xfId="0" applyNumberFormat="1" applyFont="1" applyFill="1" applyBorder="1"/>
    <xf numFmtId="43" fontId="7" fillId="0" borderId="0" xfId="0" applyNumberFormat="1" applyFont="1" applyFill="1" applyBorder="1"/>
    <xf numFmtId="166" fontId="7" fillId="0" borderId="5" xfId="0" applyNumberFormat="1" applyFont="1" applyFill="1" applyBorder="1"/>
    <xf numFmtId="0" fontId="7" fillId="0" borderId="0" xfId="0" applyFont="1" applyFill="1" applyAlignment="1">
      <alignment horizontal="left"/>
    </xf>
    <xf numFmtId="37" fontId="7" fillId="0" borderId="0" xfId="0" applyNumberFormat="1" applyFont="1" applyFill="1" applyBorder="1"/>
    <xf numFmtId="166" fontId="9" fillId="0" borderId="0" xfId="0" applyNumberFormat="1" applyFont="1" applyFill="1"/>
    <xf numFmtId="166" fontId="7" fillId="0" borderId="1" xfId="0" applyNumberFormat="1" applyFont="1" applyFill="1" applyBorder="1" applyAlignment="1">
      <alignment horizontal="center"/>
    </xf>
    <xf numFmtId="17" fontId="7" fillId="0" borderId="0" xfId="0" applyNumberFormat="1" applyFont="1" applyFill="1" applyBorder="1"/>
    <xf numFmtId="166" fontId="18" fillId="0" borderId="0" xfId="0" applyNumberFormat="1" applyFont="1" applyFill="1" applyBorder="1"/>
    <xf numFmtId="37" fontId="17" fillId="0" borderId="0" xfId="0" applyNumberFormat="1" applyFont="1" applyFill="1" applyBorder="1"/>
    <xf numFmtId="14" fontId="7" fillId="0" borderId="0" xfId="0" applyNumberFormat="1" applyFont="1" applyFill="1" applyAlignment="1">
      <alignment horizontal="center"/>
    </xf>
    <xf numFmtId="166" fontId="17" fillId="0" borderId="1" xfId="0" applyNumberFormat="1" applyFont="1" applyFill="1" applyBorder="1"/>
    <xf numFmtId="166" fontId="18" fillId="0" borderId="1" xfId="0" applyNumberFormat="1" applyFont="1" applyFill="1" applyBorder="1"/>
    <xf numFmtId="166" fontId="7" fillId="0" borderId="0" xfId="0" applyNumberFormat="1" applyFont="1" applyFill="1" applyAlignment="1">
      <alignment horizontal="center"/>
    </xf>
    <xf numFmtId="37" fontId="7" fillId="0" borderId="0" xfId="0" applyNumberFormat="1" applyFont="1" applyFill="1"/>
    <xf numFmtId="39" fontId="7" fillId="0" borderId="0" xfId="0" applyNumberFormat="1" applyFont="1" applyFill="1"/>
    <xf numFmtId="2" fontId="7" fillId="0" borderId="0" xfId="0" applyNumberFormat="1" applyFont="1" applyFill="1"/>
    <xf numFmtId="176" fontId="7" fillId="0" borderId="0" xfId="0" applyNumberFormat="1" applyFont="1" applyFill="1"/>
    <xf numFmtId="176" fontId="7" fillId="0" borderId="0" xfId="0" applyNumberFormat="1" applyFont="1" applyFill="1" applyAlignment="1">
      <alignment horizontal="center"/>
    </xf>
    <xf numFmtId="0" fontId="4" fillId="0" borderId="0" xfId="0" applyFont="1" applyFill="1" applyBorder="1" applyAlignment="1">
      <alignment horizontal="center" vertical="center" wrapText="1"/>
    </xf>
    <xf numFmtId="0" fontId="3" fillId="0" borderId="0" xfId="0" applyFont="1" applyFill="1" applyBorder="1" applyAlignment="1">
      <alignment vertical="center"/>
    </xf>
    <xf numFmtId="177" fontId="3" fillId="0" borderId="1" xfId="0" applyNumberFormat="1" applyFont="1" applyFill="1" applyBorder="1" applyAlignment="1">
      <alignment horizontal="center"/>
    </xf>
    <xf numFmtId="0" fontId="19" fillId="0" borderId="0" xfId="0" applyFont="1"/>
    <xf numFmtId="166" fontId="6" fillId="0" borderId="0" xfId="0" applyNumberFormat="1" applyFont="1"/>
    <xf numFmtId="165" fontId="9" fillId="0" borderId="0" xfId="0" applyNumberFormat="1" applyFont="1"/>
    <xf numFmtId="0" fontId="6" fillId="0" borderId="0" xfId="0" applyFont="1"/>
    <xf numFmtId="44" fontId="9" fillId="0" borderId="0" xfId="0" applyNumberFormat="1" applyFont="1"/>
    <xf numFmtId="0" fontId="7" fillId="0" borderId="0" xfId="0" applyNumberFormat="1" applyFont="1" applyAlignment="1"/>
    <xf numFmtId="0" fontId="7" fillId="0" borderId="0" xfId="0" applyNumberFormat="1" applyFont="1" applyAlignment="1">
      <alignment horizontal="right"/>
    </xf>
    <xf numFmtId="0" fontId="20" fillId="0" borderId="0" xfId="0" applyNumberFormat="1" applyFont="1" applyFill="1" applyAlignment="1"/>
    <xf numFmtId="0" fontId="21" fillId="0" borderId="0" xfId="0" applyNumberFormat="1" applyFont="1" applyFill="1" applyAlignment="1"/>
    <xf numFmtId="172" fontId="20" fillId="0" borderId="0" xfId="0" applyNumberFormat="1" applyFont="1" applyFill="1" applyAlignment="1">
      <alignment horizontal="right"/>
    </xf>
    <xf numFmtId="0" fontId="20" fillId="0" borderId="13" xfId="0" applyNumberFormat="1" applyFont="1" applyFill="1" applyBorder="1" applyAlignment="1">
      <alignment horizontal="right"/>
    </xf>
    <xf numFmtId="0" fontId="20" fillId="0" borderId="0" xfId="0" applyNumberFormat="1" applyFont="1" applyFill="1" applyAlignment="1">
      <alignment horizontal="centerContinuous"/>
    </xf>
    <xf numFmtId="0" fontId="20" fillId="0" borderId="0" xfId="0" applyNumberFormat="1" applyFont="1" applyFill="1" applyAlignment="1" applyProtection="1">
      <alignment horizontal="centerContinuous"/>
      <protection locked="0"/>
    </xf>
    <xf numFmtId="0" fontId="20" fillId="0" borderId="0" xfId="0" applyNumberFormat="1" applyFont="1" applyFill="1" applyAlignment="1">
      <alignment horizontal="center"/>
    </xf>
    <xf numFmtId="0" fontId="20" fillId="0" borderId="1" xfId="0" applyNumberFormat="1" applyFont="1" applyFill="1" applyBorder="1" applyAlignment="1">
      <alignment horizontal="center"/>
    </xf>
    <xf numFmtId="0" fontId="20" fillId="0" borderId="1" xfId="0" applyNumberFormat="1" applyFont="1" applyFill="1" applyBorder="1" applyAlignment="1" applyProtection="1">
      <protection locked="0"/>
    </xf>
    <xf numFmtId="0" fontId="20" fillId="0" borderId="1" xfId="0" applyNumberFormat="1" applyFont="1" applyFill="1" applyBorder="1" applyAlignment="1"/>
    <xf numFmtId="0" fontId="20" fillId="0" borderId="1" xfId="0" applyNumberFormat="1" applyFont="1" applyFill="1" applyBorder="1" applyAlignment="1">
      <alignment horizontal="righ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172" fontId="21" fillId="0" borderId="0" xfId="0" applyNumberFormat="1" applyFont="1" applyFill="1" applyAlignment="1"/>
    <xf numFmtId="178" fontId="21" fillId="0" borderId="0" xfId="0" applyNumberFormat="1" applyFont="1" applyFill="1" applyAlignment="1"/>
    <xf numFmtId="172" fontId="21" fillId="0" borderId="1" xfId="0" applyNumberFormat="1" applyFont="1" applyFill="1" applyBorder="1" applyAlignment="1"/>
    <xf numFmtId="172" fontId="21" fillId="0" borderId="0" xfId="0" applyNumberFormat="1" applyFont="1" applyFill="1" applyBorder="1" applyAlignment="1"/>
    <xf numFmtId="9" fontId="21" fillId="0" borderId="0" xfId="0" applyNumberFormat="1" applyFont="1" applyFill="1" applyAlignment="1"/>
    <xf numFmtId="172" fontId="21" fillId="0" borderId="6" xfId="0" applyNumberFormat="1" applyFont="1" applyFill="1" applyBorder="1" applyAlignment="1" applyProtection="1">
      <protection locked="0"/>
    </xf>
    <xf numFmtId="172" fontId="6" fillId="0" borderId="0" xfId="0" applyNumberFormat="1" applyFont="1" applyFill="1" applyBorder="1"/>
    <xf numFmtId="0" fontId="22" fillId="0" borderId="0" xfId="0" applyFont="1" applyFill="1"/>
    <xf numFmtId="41" fontId="1" fillId="0" borderId="1" xfId="0" applyNumberFormat="1" applyFont="1" applyFill="1" applyBorder="1" applyAlignment="1">
      <alignment horizontal="center" vertical="center"/>
    </xf>
    <xf numFmtId="0" fontId="1" fillId="0" borderId="0" xfId="0" applyFont="1"/>
    <xf numFmtId="0" fontId="26" fillId="0" borderId="0" xfId="0" applyFont="1"/>
    <xf numFmtId="17" fontId="7" fillId="0" borderId="0" xfId="0" applyNumberFormat="1" applyFont="1"/>
    <xf numFmtId="0" fontId="27" fillId="0" borderId="0" xfId="0" applyFont="1"/>
    <xf numFmtId="17" fontId="1" fillId="0" borderId="0" xfId="0" applyNumberFormat="1" applyFont="1" applyAlignment="1">
      <alignment horizontal="center"/>
    </xf>
    <xf numFmtId="166" fontId="7" fillId="0" borderId="0" xfId="0" applyNumberFormat="1" applyFont="1" applyAlignment="1">
      <alignment horizontal="center"/>
    </xf>
    <xf numFmtId="0" fontId="28" fillId="0" borderId="0" xfId="0" applyFont="1"/>
    <xf numFmtId="166" fontId="28" fillId="0" borderId="0" xfId="0" applyNumberFormat="1" applyFont="1"/>
    <xf numFmtId="1" fontId="28" fillId="0" borderId="0" xfId="0" applyNumberFormat="1" applyFont="1"/>
    <xf numFmtId="0" fontId="11" fillId="0" borderId="0" xfId="0" applyFont="1"/>
    <xf numFmtId="3" fontId="11" fillId="0" borderId="0" xfId="0" applyNumberFormat="1" applyFont="1"/>
    <xf numFmtId="3" fontId="7" fillId="0" borderId="0" xfId="0" applyNumberFormat="1" applyFont="1"/>
    <xf numFmtId="0" fontId="7" fillId="0" borderId="0" xfId="0" applyFont="1" applyFill="1" applyAlignment="1">
      <alignment horizontal="left" indent="1"/>
    </xf>
    <xf numFmtId="168" fontId="28" fillId="0" borderId="0" xfId="0" applyNumberFormat="1" applyFont="1"/>
    <xf numFmtId="0" fontId="7" fillId="0" borderId="0" xfId="0" applyFont="1" applyBorder="1" applyAlignment="1">
      <alignment horizontal="left"/>
    </xf>
    <xf numFmtId="166" fontId="29" fillId="0" borderId="0" xfId="0" applyNumberFormat="1" applyFont="1"/>
    <xf numFmtId="0" fontId="30" fillId="0" borderId="0" xfId="0" applyFont="1" applyAlignment="1">
      <alignment horizontal="left" vertical="top"/>
    </xf>
    <xf numFmtId="0" fontId="25" fillId="0" borderId="0" xfId="0" applyFont="1"/>
    <xf numFmtId="0" fontId="25" fillId="0" borderId="19" xfId="0" applyFont="1" applyBorder="1" applyAlignment="1">
      <alignment horizontal="left" vertical="top"/>
    </xf>
    <xf numFmtId="0" fontId="30" fillId="4" borderId="20" xfId="0" applyFont="1" applyFill="1" applyBorder="1" applyAlignment="1">
      <alignment horizontal="left" vertical="top"/>
    </xf>
    <xf numFmtId="0" fontId="25" fillId="0" borderId="21" xfId="0" applyFont="1" applyBorder="1" applyAlignment="1">
      <alignment horizontal="left" vertical="top"/>
    </xf>
    <xf numFmtId="0" fontId="25" fillId="0" borderId="22" xfId="0" applyFont="1" applyBorder="1" applyAlignment="1">
      <alignment horizontal="left" vertical="top"/>
    </xf>
    <xf numFmtId="0" fontId="30" fillId="4" borderId="23" xfId="0" applyFont="1" applyFill="1" applyBorder="1" applyAlignment="1">
      <alignment horizontal="left" vertical="top"/>
    </xf>
    <xf numFmtId="0" fontId="25" fillId="5" borderId="0" xfId="0" applyFont="1" applyFill="1" applyAlignment="1">
      <alignment horizontal="left" vertical="top"/>
    </xf>
    <xf numFmtId="0" fontId="25" fillId="5" borderId="19" xfId="0" applyFont="1" applyFill="1" applyBorder="1" applyAlignment="1">
      <alignment horizontal="left" vertical="top"/>
    </xf>
    <xf numFmtId="0" fontId="25" fillId="0" borderId="0" xfId="0" applyFont="1" applyAlignment="1">
      <alignment horizontal="left" vertical="top"/>
    </xf>
    <xf numFmtId="179" fontId="25" fillId="0" borderId="19" xfId="0" applyNumberFormat="1" applyFont="1" applyBorder="1" applyAlignment="1">
      <alignment horizontal="right" vertical="top"/>
    </xf>
    <xf numFmtId="179" fontId="30" fillId="4" borderId="20" xfId="0" applyNumberFormat="1" applyFont="1" applyFill="1" applyBorder="1" applyAlignment="1">
      <alignment horizontal="right" vertical="top"/>
    </xf>
    <xf numFmtId="179" fontId="25" fillId="5" borderId="19" xfId="0" applyNumberFormat="1" applyFont="1" applyFill="1" applyBorder="1" applyAlignment="1">
      <alignment horizontal="right" vertical="top"/>
    </xf>
    <xf numFmtId="0" fontId="30" fillId="4" borderId="0" xfId="0" applyFont="1" applyFill="1" applyAlignment="1">
      <alignment horizontal="left" vertical="top"/>
    </xf>
    <xf numFmtId="179" fontId="30" fillId="4" borderId="19" xfId="0" applyNumberFormat="1" applyFont="1" applyFill="1" applyBorder="1" applyAlignment="1">
      <alignment horizontal="right" vertical="top"/>
    </xf>
    <xf numFmtId="0" fontId="4" fillId="0" borderId="0" xfId="0" applyFont="1" applyFill="1"/>
    <xf numFmtId="179" fontId="25" fillId="0" borderId="0" xfId="0" applyNumberFormat="1" applyFont="1"/>
    <xf numFmtId="164" fontId="9" fillId="0" borderId="1" xfId="0" applyNumberFormat="1" applyFont="1" applyFill="1" applyBorder="1"/>
    <xf numFmtId="10" fontId="4" fillId="0" borderId="0" xfId="0" quotePrefix="1" applyNumberFormat="1" applyFont="1" applyFill="1" applyAlignment="1">
      <alignment horizontal="right"/>
    </xf>
    <xf numFmtId="165" fontId="9" fillId="0" borderId="1" xfId="0" applyNumberFormat="1" applyFont="1" applyFill="1" applyBorder="1"/>
    <xf numFmtId="165" fontId="9" fillId="0" borderId="0" xfId="0" applyNumberFormat="1" applyFont="1" applyFill="1" applyBorder="1"/>
    <xf numFmtId="44" fontId="9" fillId="0" borderId="0" xfId="0" applyNumberFormat="1" applyFont="1" applyFill="1" applyBorder="1"/>
    <xf numFmtId="44" fontId="9" fillId="0" borderId="0" xfId="0" applyNumberFormat="1" applyFont="1" applyFill="1"/>
    <xf numFmtId="0" fontId="31" fillId="0" borderId="0" xfId="0" applyFont="1" applyFill="1" applyAlignment="1"/>
    <xf numFmtId="0" fontId="11" fillId="0" borderId="0" xfId="0" applyFont="1" applyFill="1" applyAlignment="1">
      <alignment horizontal="center"/>
    </xf>
    <xf numFmtId="17" fontId="11" fillId="0" borderId="0" xfId="0" applyNumberFormat="1" applyFont="1" applyFill="1" applyAlignment="1">
      <alignment horizontal="center" wrapText="1"/>
    </xf>
    <xf numFmtId="0" fontId="19" fillId="6" borderId="0" xfId="0" applyFont="1" applyFill="1"/>
    <xf numFmtId="0" fontId="7" fillId="6" borderId="0" xfId="0" applyFont="1" applyFill="1"/>
    <xf numFmtId="0" fontId="17" fillId="0" borderId="0" xfId="0" applyFont="1"/>
    <xf numFmtId="43" fontId="6" fillId="0" borderId="0" xfId="0" applyNumberFormat="1" applyFont="1" applyFill="1"/>
    <xf numFmtId="43" fontId="7" fillId="0" borderId="3" xfId="0" applyNumberFormat="1" applyFont="1" applyFill="1" applyBorder="1"/>
    <xf numFmtId="43" fontId="6" fillId="0" borderId="0" xfId="0" applyNumberFormat="1" applyFont="1" applyFill="1"/>
    <xf numFmtId="0" fontId="28" fillId="0" borderId="0" xfId="0" applyFont="1" applyFill="1" applyAlignment="1">
      <alignment horizontal="left"/>
    </xf>
    <xf numFmtId="0" fontId="32" fillId="0" borderId="0" xfId="0" applyFont="1"/>
    <xf numFmtId="0" fontId="32" fillId="0" borderId="0" xfId="0" applyFont="1" applyFill="1"/>
    <xf numFmtId="43" fontId="17" fillId="0" borderId="0" xfId="0" applyNumberFormat="1" applyFont="1" applyFill="1"/>
    <xf numFmtId="0" fontId="17" fillId="0" borderId="0" xfId="0" applyFont="1" applyFill="1"/>
    <xf numFmtId="44" fontId="7" fillId="6" borderId="0" xfId="0" applyNumberFormat="1" applyFont="1" applyFill="1"/>
    <xf numFmtId="44" fontId="7" fillId="0" borderId="0" xfId="0" applyNumberFormat="1" applyFont="1" applyFill="1" applyBorder="1"/>
    <xf numFmtId="43" fontId="7" fillId="0" borderId="1" xfId="0" applyNumberFormat="1" applyFont="1" applyFill="1" applyBorder="1"/>
    <xf numFmtId="44" fontId="7" fillId="0" borderId="2" xfId="0" applyNumberFormat="1" applyFont="1" applyFill="1" applyBorder="1"/>
    <xf numFmtId="44" fontId="7" fillId="0" borderId="4" xfId="0" applyNumberFormat="1" applyFont="1" applyFill="1" applyBorder="1"/>
    <xf numFmtId="180" fontId="7" fillId="0" borderId="0" xfId="0" applyNumberFormat="1" applyFont="1"/>
    <xf numFmtId="0" fontId="9" fillId="0" borderId="0" xfId="0" applyFont="1" applyAlignment="1">
      <alignment horizontal="center"/>
    </xf>
    <xf numFmtId="0" fontId="3" fillId="0" borderId="0" xfId="0" applyFont="1" applyFill="1" applyAlignment="1"/>
    <xf numFmtId="0" fontId="1" fillId="0" borderId="0" xfId="0" applyFont="1" applyAlignment="1"/>
    <xf numFmtId="0" fontId="33" fillId="0" borderId="0" xfId="0" applyFont="1"/>
    <xf numFmtId="0" fontId="7" fillId="0" borderId="0" xfId="0" quotePrefix="1" applyFont="1" applyFill="1" applyAlignment="1">
      <alignment horizontal="center"/>
    </xf>
    <xf numFmtId="0" fontId="7" fillId="0" borderId="0" xfId="0" applyFont="1" applyFill="1" applyAlignment="1">
      <alignment horizontal="center"/>
    </xf>
    <xf numFmtId="0" fontId="7" fillId="0" borderId="0" xfId="0" applyFont="1" applyFill="1"/>
    <xf numFmtId="14" fontId="7" fillId="0" borderId="0" xfId="0" applyNumberFormat="1" applyFont="1" applyFill="1"/>
    <xf numFmtId="0" fontId="7" fillId="0" borderId="1" xfId="0" applyFont="1" applyFill="1" applyBorder="1" applyAlignment="1">
      <alignment horizontal="center" wrapText="1"/>
    </xf>
    <xf numFmtId="0" fontId="7" fillId="0" borderId="1" xfId="0" quotePrefix="1" applyFont="1" applyFill="1" applyBorder="1" applyAlignment="1">
      <alignment horizontal="center" wrapText="1"/>
    </xf>
    <xf numFmtId="17" fontId="7" fillId="0" borderId="1" xfId="0" quotePrefix="1" applyNumberFormat="1" applyFont="1" applyFill="1" applyBorder="1" applyAlignment="1">
      <alignment horizontal="center" wrapText="1"/>
    </xf>
    <xf numFmtId="0" fontId="7" fillId="0" borderId="0" xfId="0" applyFont="1" applyAlignment="1">
      <alignment horizontal="center"/>
    </xf>
    <xf numFmtId="0" fontId="7" fillId="0" borderId="0" xfId="0" applyFont="1" applyAlignment="1">
      <alignment horizontal="left"/>
    </xf>
    <xf numFmtId="166" fontId="33" fillId="0" borderId="0" xfId="0" applyNumberFormat="1" applyFont="1"/>
    <xf numFmtId="164" fontId="33" fillId="0" borderId="0" xfId="0" applyNumberFormat="1" applyFont="1"/>
    <xf numFmtId="168" fontId="33" fillId="0" borderId="0" xfId="0" applyNumberFormat="1" applyFont="1"/>
    <xf numFmtId="0" fontId="7" fillId="0" borderId="0" xfId="0" quotePrefix="1" applyFont="1" applyAlignment="1">
      <alignment horizontal="left"/>
    </xf>
    <xf numFmtId="0" fontId="7" fillId="0" borderId="0" xfId="0" applyFont="1" applyAlignment="1">
      <alignment horizontal="left" indent="1"/>
    </xf>
    <xf numFmtId="166" fontId="33" fillId="0" borderId="3" xfId="0" applyNumberFormat="1" applyFont="1" applyBorder="1"/>
    <xf numFmtId="164" fontId="33" fillId="0" borderId="3" xfId="0" applyNumberFormat="1" applyFont="1" applyBorder="1"/>
    <xf numFmtId="0" fontId="7" fillId="0" borderId="0" xfId="0" quotePrefix="1" applyFont="1" applyAlignment="1">
      <alignment horizontal="left" indent="1"/>
    </xf>
    <xf numFmtId="166" fontId="33" fillId="0" borderId="4" xfId="0" applyNumberFormat="1" applyFont="1" applyBorder="1"/>
    <xf numFmtId="164" fontId="33" fillId="0" borderId="4" xfId="0" applyNumberFormat="1" applyFont="1" applyBorder="1"/>
    <xf numFmtId="0" fontId="7" fillId="0" borderId="0" xfId="0" applyFont="1"/>
    <xf numFmtId="164" fontId="33" fillId="0" borderId="0" xfId="0" applyNumberFormat="1" applyFont="1"/>
    <xf numFmtId="14" fontId="7" fillId="0" borderId="0" xfId="0" applyNumberFormat="1" applyFont="1" applyFill="1" applyBorder="1"/>
    <xf numFmtId="0" fontId="7" fillId="0" borderId="0" xfId="0" quotePrefix="1" applyFont="1" applyFill="1" applyBorder="1" applyAlignment="1">
      <alignment horizontal="center" wrapText="1"/>
    </xf>
    <xf numFmtId="166" fontId="33" fillId="0" borderId="0" xfId="0" applyNumberFormat="1" applyFont="1" applyFill="1"/>
    <xf numFmtId="164" fontId="33" fillId="0" borderId="0" xfId="0" applyNumberFormat="1" applyFont="1" applyFill="1"/>
    <xf numFmtId="164" fontId="33" fillId="0" borderId="0" xfId="0" applyNumberFormat="1" applyFont="1" applyFill="1" applyBorder="1"/>
    <xf numFmtId="10" fontId="33" fillId="0" borderId="0" xfId="0" applyNumberFormat="1" applyFont="1" applyFill="1"/>
    <xf numFmtId="166" fontId="33" fillId="0" borderId="3" xfId="0" applyNumberFormat="1" applyFont="1" applyFill="1" applyBorder="1"/>
    <xf numFmtId="164" fontId="33" fillId="0" borderId="3" xfId="0" applyNumberFormat="1" applyFont="1" applyFill="1" applyBorder="1"/>
    <xf numFmtId="10" fontId="33" fillId="0" borderId="3" xfId="0" applyNumberFormat="1" applyFont="1" applyFill="1" applyBorder="1"/>
    <xf numFmtId="166" fontId="33" fillId="0" borderId="4" xfId="0" applyNumberFormat="1" applyFont="1" applyFill="1" applyBorder="1"/>
    <xf numFmtId="164" fontId="33" fillId="0" borderId="4" xfId="0" applyNumberFormat="1" applyFont="1" applyFill="1" applyBorder="1"/>
    <xf numFmtId="10" fontId="33" fillId="0" borderId="4" xfId="0" applyNumberFormat="1" applyFont="1" applyFill="1" applyBorder="1"/>
    <xf numFmtId="0" fontId="33" fillId="0" borderId="1" xfId="0" applyFont="1" applyBorder="1" applyAlignment="1">
      <alignment horizontal="center" wrapText="1"/>
    </xf>
    <xf numFmtId="0" fontId="33" fillId="0" borderId="1" xfId="0" quotePrefix="1" applyFont="1" applyBorder="1" applyAlignment="1">
      <alignment horizontal="center" wrapText="1"/>
    </xf>
    <xf numFmtId="0" fontId="33" fillId="0" borderId="1" xfId="0" quotePrefix="1" applyFont="1" applyFill="1" applyBorder="1" applyAlignment="1">
      <alignment horizontal="center" wrapText="1"/>
    </xf>
    <xf numFmtId="166" fontId="7" fillId="0" borderId="0" xfId="0" applyNumberFormat="1" applyFont="1"/>
    <xf numFmtId="44" fontId="7" fillId="0" borderId="0" xfId="0" applyNumberFormat="1" applyFont="1" applyFill="1"/>
    <xf numFmtId="44" fontId="7" fillId="0" borderId="0" xfId="0" applyNumberFormat="1" applyFont="1"/>
    <xf numFmtId="10" fontId="7" fillId="0" borderId="0" xfId="0" applyNumberFormat="1" applyFont="1"/>
    <xf numFmtId="0" fontId="33" fillId="0" borderId="0" xfId="0" quotePrefix="1" applyFont="1" applyAlignment="1">
      <alignment horizontal="left"/>
    </xf>
    <xf numFmtId="166" fontId="33" fillId="0" borderId="4" xfId="0" applyNumberFormat="1" applyFont="1" applyBorder="1"/>
    <xf numFmtId="44" fontId="7" fillId="0" borderId="4" xfId="0" applyNumberFormat="1" applyFont="1" applyBorder="1"/>
    <xf numFmtId="44" fontId="7" fillId="0" borderId="4" xfId="0" applyNumberFormat="1" applyFont="1" applyFill="1" applyBorder="1"/>
    <xf numFmtId="10" fontId="7" fillId="0" borderId="4" xfId="0" applyNumberFormat="1" applyFont="1" applyBorder="1"/>
    <xf numFmtId="44" fontId="33" fillId="0" borderId="0" xfId="0" applyNumberFormat="1" applyFont="1"/>
    <xf numFmtId="44" fontId="33" fillId="0" borderId="0" xfId="0" applyNumberFormat="1" applyFont="1" applyFill="1"/>
    <xf numFmtId="10" fontId="33" fillId="0" borderId="0" xfId="0" applyNumberFormat="1" applyFont="1"/>
    <xf numFmtId="0" fontId="33" fillId="0" borderId="0" xfId="0" applyFont="1" applyAlignment="1">
      <alignment horizontal="left"/>
    </xf>
    <xf numFmtId="0" fontId="33" fillId="0" borderId="0" xfId="0" quotePrefix="1" applyFont="1" applyFill="1" applyAlignment="1">
      <alignment horizontal="left"/>
    </xf>
    <xf numFmtId="0" fontId="33" fillId="0" borderId="0" xfId="0" applyFont="1" applyFill="1"/>
    <xf numFmtId="43" fontId="33" fillId="0" borderId="0" xfId="0" applyNumberFormat="1" applyFont="1" applyFill="1"/>
    <xf numFmtId="166" fontId="33" fillId="0" borderId="0" xfId="0" applyNumberFormat="1" applyFont="1" applyBorder="1"/>
    <xf numFmtId="44" fontId="7" fillId="0" borderId="0" xfId="0" applyNumberFormat="1" applyFont="1" applyBorder="1"/>
    <xf numFmtId="44" fontId="7" fillId="0" borderId="0" xfId="0" applyNumberFormat="1" applyFont="1" applyFill="1" applyBorder="1"/>
    <xf numFmtId="10" fontId="7" fillId="0" borderId="0" xfId="0" applyNumberFormat="1" applyFont="1" applyBorder="1"/>
    <xf numFmtId="0" fontId="33" fillId="0" borderId="1" xfId="0" quotePrefix="1" applyFont="1" applyBorder="1" applyAlignment="1">
      <alignment horizontal="left"/>
    </xf>
    <xf numFmtId="0" fontId="33" fillId="0" borderId="1" xfId="0" applyFont="1" applyBorder="1"/>
    <xf numFmtId="0" fontId="33" fillId="0" borderId="0" xfId="0" applyFont="1" applyAlignment="1">
      <alignment horizontal="center" wrapText="1"/>
    </xf>
    <xf numFmtId="166" fontId="33" fillId="7" borderId="0" xfId="0" applyNumberFormat="1" applyFont="1" applyFill="1"/>
    <xf numFmtId="0" fontId="7" fillId="0" borderId="0" xfId="0" applyFont="1" applyAlignment="1">
      <alignment horizontal="center" wrapText="1"/>
    </xf>
    <xf numFmtId="0" fontId="7" fillId="0" borderId="0" xfId="0" applyFont="1" applyBorder="1"/>
    <xf numFmtId="164" fontId="6" fillId="0" borderId="0" xfId="0" applyNumberFormat="1" applyFont="1" applyFill="1"/>
    <xf numFmtId="164" fontId="6" fillId="0" borderId="3" xfId="0" applyNumberFormat="1" applyFont="1" applyFill="1" applyBorder="1"/>
    <xf numFmtId="166" fontId="9" fillId="0" borderId="0" xfId="0" applyNumberFormat="1" applyFont="1" applyFill="1"/>
    <xf numFmtId="164" fontId="9" fillId="0" borderId="0" xfId="0" applyNumberFormat="1" applyFont="1" applyFill="1"/>
    <xf numFmtId="166" fontId="9" fillId="0" borderId="3" xfId="0" applyNumberFormat="1" applyFont="1" applyFill="1" applyBorder="1"/>
    <xf numFmtId="164" fontId="9" fillId="0" borderId="3" xfId="0" applyNumberFormat="1" applyFont="1" applyFill="1" applyBorder="1"/>
    <xf numFmtId="0" fontId="7" fillId="0" borderId="0" xfId="0" applyFont="1" applyFill="1" applyAlignment="1">
      <alignment horizontal="center" wrapText="1"/>
    </xf>
    <xf numFmtId="0" fontId="7" fillId="0" borderId="0" xfId="0" quotePrefix="1" applyFont="1" applyFill="1" applyAlignment="1">
      <alignment horizontal="center" wrapText="1"/>
    </xf>
    <xf numFmtId="0" fontId="7" fillId="0" borderId="0" xfId="0" applyFont="1" applyFill="1" applyBorder="1" applyAlignment="1">
      <alignment horizontal="center" wrapText="1"/>
    </xf>
    <xf numFmtId="17" fontId="7" fillId="0" borderId="0" xfId="0" quotePrefix="1" applyNumberFormat="1" applyFont="1" applyFill="1" applyBorder="1" applyAlignment="1">
      <alignment horizontal="center" wrapText="1"/>
    </xf>
    <xf numFmtId="165" fontId="7" fillId="0" borderId="0" xfId="0" applyNumberFormat="1" applyFont="1" applyFill="1" applyBorder="1"/>
    <xf numFmtId="0" fontId="7" fillId="0" borderId="0" xfId="0" applyFont="1" applyFill="1" applyBorder="1"/>
    <xf numFmtId="0" fontId="7" fillId="0" borderId="0" xfId="0" quotePrefix="1" applyFont="1" applyFill="1" applyAlignment="1">
      <alignment horizontal="left"/>
    </xf>
    <xf numFmtId="165" fontId="7" fillId="0" borderId="0" xfId="0" applyNumberFormat="1" applyFont="1" applyFill="1"/>
    <xf numFmtId="165" fontId="9" fillId="0" borderId="0" xfId="0" applyNumberFormat="1" applyFont="1" applyFill="1" applyBorder="1"/>
    <xf numFmtId="44" fontId="9" fillId="0" borderId="0" xfId="0" applyNumberFormat="1" applyFont="1" applyFill="1" applyBorder="1"/>
    <xf numFmtId="165" fontId="6" fillId="0" borderId="0" xfId="0" applyNumberFormat="1" applyFont="1" applyFill="1" applyBorder="1"/>
    <xf numFmtId="44" fontId="6" fillId="0" borderId="0" xfId="0" applyNumberFormat="1" applyFont="1" applyFill="1" applyBorder="1"/>
    <xf numFmtId="0" fontId="9" fillId="0" borderId="0" xfId="0" applyFont="1" applyFill="1"/>
    <xf numFmtId="0" fontId="33" fillId="0" borderId="6" xfId="0" quotePrefix="1" applyFont="1" applyFill="1" applyBorder="1" applyAlignment="1">
      <alignment horizontal="center" wrapText="1"/>
    </xf>
    <xf numFmtId="0" fontId="33" fillId="0" borderId="15" xfId="0" quotePrefix="1" applyFont="1" applyFill="1" applyBorder="1" applyAlignment="1">
      <alignment horizontal="center" wrapText="1"/>
    </xf>
    <xf numFmtId="0" fontId="33" fillId="0" borderId="7" xfId="0" quotePrefix="1" applyFont="1" applyFill="1" applyBorder="1" applyAlignment="1">
      <alignment horizontal="center" wrapText="1"/>
    </xf>
    <xf numFmtId="0" fontId="33" fillId="0" borderId="24" xfId="0" quotePrefix="1" applyFont="1" applyFill="1" applyBorder="1" applyAlignment="1">
      <alignment horizontal="center" wrapText="1"/>
    </xf>
    <xf numFmtId="165" fontId="7" fillId="0" borderId="24" xfId="0" applyNumberFormat="1" applyFont="1" applyFill="1" applyBorder="1"/>
    <xf numFmtId="165" fontId="7" fillId="0" borderId="25" xfId="0" applyNumberFormat="1" applyFont="1" applyFill="1" applyBorder="1"/>
    <xf numFmtId="165" fontId="7" fillId="0" borderId="9" xfId="0" applyNumberFormat="1" applyFont="1" applyFill="1" applyBorder="1"/>
    <xf numFmtId="165" fontId="7" fillId="0" borderId="11" xfId="0" applyNumberFormat="1" applyFont="1" applyFill="1" applyBorder="1"/>
    <xf numFmtId="0" fontId="33" fillId="0" borderId="8" xfId="0" applyFont="1" applyFill="1" applyBorder="1"/>
    <xf numFmtId="0" fontId="33" fillId="0" borderId="25" xfId="0" applyFont="1" applyFill="1" applyBorder="1"/>
    <xf numFmtId="165" fontId="7" fillId="0" borderId="8" xfId="0" quotePrefix="1" applyNumberFormat="1" applyFont="1" applyFill="1" applyBorder="1" applyAlignment="1"/>
    <xf numFmtId="165" fontId="7" fillId="0" borderId="25" xfId="0" quotePrefix="1" applyNumberFormat="1" applyFont="1" applyFill="1" applyBorder="1" applyAlignment="1"/>
    <xf numFmtId="165" fontId="7" fillId="0" borderId="9" xfId="0" quotePrefix="1" applyNumberFormat="1" applyFont="1" applyFill="1" applyBorder="1" applyAlignment="1"/>
    <xf numFmtId="165" fontId="7" fillId="0" borderId="11" xfId="0" quotePrefix="1" applyNumberFormat="1" applyFont="1" applyFill="1" applyBorder="1" applyAlignment="1"/>
    <xf numFmtId="165" fontId="33" fillId="0" borderId="8" xfId="0" applyNumberFormat="1" applyFont="1" applyFill="1" applyBorder="1"/>
    <xf numFmtId="165" fontId="33" fillId="0" borderId="25" xfId="0" applyNumberFormat="1" applyFont="1" applyFill="1" applyBorder="1"/>
    <xf numFmtId="165" fontId="33" fillId="0" borderId="10" xfId="0" applyNumberFormat="1" applyFont="1" applyFill="1" applyBorder="1"/>
    <xf numFmtId="165" fontId="33" fillId="0" borderId="26" xfId="0" applyNumberFormat="1" applyFont="1" applyFill="1" applyBorder="1"/>
    <xf numFmtId="165" fontId="9" fillId="0" borderId="7" xfId="0" applyNumberFormat="1" applyFont="1" applyFill="1" applyBorder="1"/>
    <xf numFmtId="165" fontId="9" fillId="0" borderId="8" xfId="0" applyNumberFormat="1" applyFont="1" applyFill="1" applyBorder="1"/>
    <xf numFmtId="165" fontId="9" fillId="0" borderId="8" xfId="0" quotePrefix="1" applyNumberFormat="1" applyFont="1" applyFill="1" applyBorder="1" applyAlignment="1"/>
    <xf numFmtId="165" fontId="9" fillId="0" borderId="25" xfId="0" quotePrefix="1" applyNumberFormat="1" applyFont="1" applyFill="1" applyBorder="1" applyAlignment="1"/>
    <xf numFmtId="165" fontId="6" fillId="0" borderId="25" xfId="0" quotePrefix="1" applyNumberFormat="1" applyFont="1" applyFill="1" applyBorder="1" applyAlignment="1"/>
    <xf numFmtId="0" fontId="3" fillId="0" borderId="0" xfId="0"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xf>
    <xf numFmtId="177" fontId="4" fillId="0" borderId="0" xfId="0" applyNumberFormat="1" applyFont="1" applyBorder="1" applyAlignment="1">
      <alignment horizontal="center"/>
    </xf>
    <xf numFmtId="177" fontId="4" fillId="0" borderId="0" xfId="0" applyNumberFormat="1" applyFont="1"/>
    <xf numFmtId="0" fontId="4" fillId="8" borderId="0" xfId="0" applyFont="1" applyFill="1" applyAlignment="1">
      <alignment horizontal="center"/>
    </xf>
    <xf numFmtId="0" fontId="4" fillId="8" borderId="0" xfId="0" applyFont="1" applyFill="1"/>
    <xf numFmtId="166" fontId="4" fillId="8" borderId="0" xfId="0" applyNumberFormat="1" applyFont="1" applyFill="1"/>
    <xf numFmtId="166" fontId="28" fillId="0" borderId="0" xfId="0" applyNumberFormat="1" applyFont="1" applyFill="1"/>
    <xf numFmtId="0" fontId="4" fillId="9" borderId="0" xfId="0" applyFont="1" applyFill="1" applyAlignment="1">
      <alignment horizontal="center"/>
    </xf>
    <xf numFmtId="0" fontId="4" fillId="9" borderId="0" xfId="0" applyFont="1" applyFill="1"/>
    <xf numFmtId="44" fontId="4" fillId="9" borderId="0" xfId="0" applyNumberFormat="1" applyFont="1" applyFill="1"/>
    <xf numFmtId="44" fontId="28" fillId="0" borderId="0" xfId="0" applyNumberFormat="1" applyFont="1" applyFill="1"/>
    <xf numFmtId="44" fontId="28" fillId="0" borderId="0" xfId="0" applyNumberFormat="1" applyFont="1"/>
    <xf numFmtId="164" fontId="28" fillId="0" borderId="0" xfId="0" applyNumberFormat="1" applyFont="1"/>
    <xf numFmtId="165" fontId="4" fillId="9" borderId="0" xfId="0" applyNumberFormat="1" applyFont="1" applyFill="1"/>
    <xf numFmtId="167" fontId="28" fillId="0" borderId="0" xfId="0" applyNumberFormat="1" applyFont="1"/>
    <xf numFmtId="44" fontId="4" fillId="0" borderId="0" xfId="0" applyNumberFormat="1" applyFont="1"/>
    <xf numFmtId="0" fontId="4" fillId="10" borderId="0" xfId="0" applyFont="1" applyFill="1" applyAlignment="1">
      <alignment horizontal="center"/>
    </xf>
    <xf numFmtId="0" fontId="4" fillId="10" borderId="0" xfId="0" applyFont="1" applyFill="1"/>
    <xf numFmtId="174" fontId="4" fillId="10" borderId="0" xfId="0" applyNumberFormat="1" applyFont="1" applyFill="1"/>
    <xf numFmtId="0" fontId="4" fillId="0" borderId="27" xfId="0" applyFont="1" applyFill="1" applyBorder="1" applyAlignment="1">
      <alignment horizontal="center"/>
    </xf>
    <xf numFmtId="0" fontId="4" fillId="0" borderId="28" xfId="0" applyFont="1" applyFill="1" applyBorder="1"/>
    <xf numFmtId="44" fontId="4" fillId="0" borderId="28" xfId="0" applyNumberFormat="1" applyFont="1" applyFill="1" applyBorder="1"/>
    <xf numFmtId="0" fontId="4" fillId="0" borderId="28" xfId="0" applyFont="1" applyBorder="1"/>
    <xf numFmtId="44" fontId="4" fillId="0" borderId="29" xfId="0" applyNumberFormat="1" applyFont="1" applyFill="1" applyBorder="1"/>
    <xf numFmtId="166" fontId="4" fillId="0" borderId="0" xfId="0" applyNumberFormat="1" applyFont="1"/>
    <xf numFmtId="44" fontId="4" fillId="0" borderId="0" xfId="0" applyNumberFormat="1" applyFont="1"/>
    <xf numFmtId="0" fontId="34" fillId="0" borderId="0" xfId="0" quotePrefix="1" applyFont="1" applyFill="1" applyAlignment="1">
      <alignment horizontal="center"/>
    </xf>
    <xf numFmtId="43" fontId="4" fillId="8" borderId="0" xfId="0" applyNumberFormat="1" applyFont="1" applyFill="1"/>
    <xf numFmtId="164" fontId="7" fillId="0" borderId="0" xfId="0" applyNumberFormat="1" applyFont="1" applyFill="1"/>
    <xf numFmtId="164" fontId="4" fillId="0" borderId="0" xfId="0" applyNumberFormat="1" applyFont="1"/>
    <xf numFmtId="0" fontId="4" fillId="0" borderId="0" xfId="0" applyFont="1" applyFill="1" applyBorder="1" applyAlignment="1">
      <alignment horizontal="center"/>
    </xf>
    <xf numFmtId="0" fontId="10" fillId="0" borderId="0" xfId="0" applyFont="1" applyFill="1" applyBorder="1"/>
    <xf numFmtId="0" fontId="4" fillId="0" borderId="0" xfId="0" applyFont="1" applyBorder="1"/>
    <xf numFmtId="166" fontId="4" fillId="0" borderId="0" xfId="0" applyNumberFormat="1" applyFont="1" applyBorder="1"/>
    <xf numFmtId="0" fontId="4" fillId="0" borderId="0" xfId="0" applyFont="1" applyBorder="1" applyAlignment="1">
      <alignment horizontal="left"/>
    </xf>
    <xf numFmtId="0" fontId="28" fillId="0" borderId="0" xfId="0" applyFont="1" applyFill="1" applyBorder="1"/>
    <xf numFmtId="164" fontId="28" fillId="0" borderId="0" xfId="0" applyNumberFormat="1" applyFont="1" applyFill="1" applyBorder="1"/>
    <xf numFmtId="0" fontId="35" fillId="0" borderId="0" xfId="0" applyFont="1" applyFill="1" applyBorder="1"/>
    <xf numFmtId="164" fontId="35" fillId="0" borderId="0" xfId="0" applyNumberFormat="1" applyFont="1" applyFill="1" applyBorder="1"/>
    <xf numFmtId="164" fontId="4" fillId="0" borderId="0" xfId="0" applyNumberFormat="1" applyFont="1" applyBorder="1" applyAlignment="1">
      <alignment horizontal="left"/>
    </xf>
    <xf numFmtId="43" fontId="4" fillId="0" borderId="0" xfId="0" applyNumberFormat="1" applyFont="1" applyBorder="1"/>
    <xf numFmtId="44" fontId="28" fillId="0" borderId="0" xfId="0" applyNumberFormat="1" applyFont="1" applyFill="1" applyBorder="1"/>
    <xf numFmtId="44" fontId="4" fillId="0" borderId="0" xfId="0" applyNumberFormat="1" applyFont="1" applyBorder="1" applyAlignment="1">
      <alignment horizontal="left"/>
    </xf>
    <xf numFmtId="44" fontId="4" fillId="0" borderId="0" xfId="0" applyNumberFormat="1" applyFont="1" applyBorder="1"/>
    <xf numFmtId="0" fontId="36" fillId="0" borderId="0" xfId="0" applyFont="1" applyFill="1" applyAlignment="1">
      <alignment horizontal="center"/>
    </xf>
    <xf numFmtId="41" fontId="3" fillId="0"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xf>
    <xf numFmtId="177" fontId="4" fillId="0" borderId="0" xfId="0" applyNumberFormat="1" applyFont="1" applyFill="1"/>
    <xf numFmtId="0" fontId="4" fillId="11" borderId="0" xfId="0" applyFont="1" applyFill="1"/>
    <xf numFmtId="166" fontId="4" fillId="11" borderId="0" xfId="0" applyNumberFormat="1" applyFont="1" applyFill="1"/>
    <xf numFmtId="166" fontId="4" fillId="0" borderId="0" xfId="0" applyNumberFormat="1" applyFont="1" applyFill="1"/>
    <xf numFmtId="0" fontId="4" fillId="12" borderId="0" xfId="0" applyFont="1" applyFill="1"/>
    <xf numFmtId="165" fontId="4" fillId="12" borderId="0" xfId="0" applyNumberFormat="1" applyFont="1" applyFill="1"/>
    <xf numFmtId="0" fontId="4" fillId="13" borderId="0" xfId="0" applyFont="1" applyFill="1"/>
    <xf numFmtId="165" fontId="4" fillId="13" borderId="0" xfId="0" applyNumberFormat="1" applyFont="1" applyFill="1"/>
    <xf numFmtId="164" fontId="4" fillId="0" borderId="30" xfId="0" applyNumberFormat="1" applyFont="1" applyFill="1" applyBorder="1"/>
    <xf numFmtId="44" fontId="4" fillId="12" borderId="0" xfId="0" applyNumberFormat="1" applyFont="1" applyFill="1"/>
    <xf numFmtId="166" fontId="9" fillId="0" borderId="0" xfId="0" applyNumberFormat="1" applyFont="1" applyFill="1" applyBorder="1"/>
    <xf numFmtId="43" fontId="9" fillId="0" borderId="0" xfId="0" applyNumberFormat="1" applyFont="1" applyFill="1"/>
    <xf numFmtId="0" fontId="3" fillId="0" borderId="0" xfId="0" applyFont="1"/>
    <xf numFmtId="7" fontId="4" fillId="0" borderId="0" xfId="0" applyNumberFormat="1" applyFont="1"/>
    <xf numFmtId="164" fontId="4" fillId="0" borderId="0" xfId="0" applyNumberFormat="1" applyFont="1"/>
    <xf numFmtId="17" fontId="1" fillId="0" borderId="0" xfId="0" applyNumberFormat="1" applyFont="1" applyFill="1" applyBorder="1" applyAlignment="1">
      <alignment horizontal="center"/>
    </xf>
    <xf numFmtId="17" fontId="1" fillId="0" borderId="0" xfId="0" applyNumberFormat="1" applyFont="1" applyBorder="1" applyAlignment="1">
      <alignment horizontal="center"/>
    </xf>
    <xf numFmtId="0" fontId="4" fillId="0" borderId="0" xfId="0" applyNumberFormat="1" applyFont="1" applyAlignment="1">
      <alignment horizontal="center"/>
    </xf>
    <xf numFmtId="5" fontId="4" fillId="0" borderId="5" xfId="0" applyNumberFormat="1" applyFont="1" applyBorder="1"/>
    <xf numFmtId="0" fontId="37" fillId="0" borderId="0" xfId="0" applyFont="1"/>
    <xf numFmtId="37" fontId="9" fillId="0" borderId="0" xfId="0" applyNumberFormat="1" applyFont="1" applyBorder="1" applyAlignment="1"/>
    <xf numFmtId="37" fontId="9" fillId="0" borderId="0" xfId="0" applyNumberFormat="1" applyFont="1" applyFill="1" applyBorder="1" applyAlignment="1"/>
    <xf numFmtId="0" fontId="4" fillId="0" borderId="0" xfId="0" applyFont="1" applyAlignment="1">
      <alignment wrapText="1"/>
    </xf>
    <xf numFmtId="181" fontId="4" fillId="0" borderId="0" xfId="0" applyNumberFormat="1" applyFont="1"/>
    <xf numFmtId="5" fontId="4" fillId="0" borderId="0" xfId="0" applyNumberFormat="1" applyFont="1"/>
    <xf numFmtId="5" fontId="4" fillId="0" borderId="4" xfId="0" applyNumberFormat="1" applyFont="1" applyBorder="1"/>
    <xf numFmtId="0" fontId="7" fillId="0" borderId="0" xfId="0" applyNumberFormat="1" applyFont="1" applyAlignment="1">
      <alignment vertical="top"/>
    </xf>
    <xf numFmtId="182" fontId="7" fillId="0" borderId="0" xfId="0" applyNumberFormat="1" applyFont="1" applyFill="1" applyAlignment="1"/>
    <xf numFmtId="5" fontId="4" fillId="0" borderId="0" xfId="0" applyNumberFormat="1" applyFont="1" applyBorder="1"/>
    <xf numFmtId="0" fontId="38" fillId="0" borderId="0" xfId="0" applyFont="1"/>
    <xf numFmtId="5" fontId="4" fillId="0" borderId="0" xfId="0" applyNumberFormat="1" applyFont="1" applyBorder="1" applyAlignment="1">
      <alignment horizontal="right"/>
    </xf>
    <xf numFmtId="174" fontId="4" fillId="0" borderId="0" xfId="0" applyNumberFormat="1" applyFont="1" applyBorder="1"/>
    <xf numFmtId="166" fontId="4" fillId="0" borderId="0" xfId="0" applyNumberFormat="1" applyFont="1"/>
    <xf numFmtId="10" fontId="4" fillId="0" borderId="0" xfId="0" applyNumberFormat="1" applyFont="1" applyBorder="1"/>
    <xf numFmtId="44" fontId="9" fillId="0" borderId="0" xfId="0" quotePrefix="1" applyNumberFormat="1" applyFont="1" applyFill="1" applyAlignment="1">
      <alignment horizontal="center"/>
    </xf>
    <xf numFmtId="0" fontId="7" fillId="0" borderId="0" xfId="0" applyNumberFormat="1" applyFont="1" applyFill="1" applyAlignment="1"/>
    <xf numFmtId="42" fontId="7" fillId="0" borderId="18" xfId="0" applyNumberFormat="1" applyFont="1" applyFill="1" applyBorder="1" applyAlignment="1"/>
    <xf numFmtId="42" fontId="7" fillId="0" borderId="8" xfId="0" applyNumberFormat="1" applyFont="1" applyFill="1" applyBorder="1" applyAlignment="1"/>
    <xf numFmtId="10" fontId="23" fillId="0" borderId="8" xfId="0" applyNumberFormat="1" applyFont="1" applyFill="1" applyBorder="1" applyAlignment="1"/>
    <xf numFmtId="42" fontId="7" fillId="0" borderId="7" xfId="0" applyNumberFormat="1" applyFont="1" applyFill="1" applyBorder="1" applyAlignment="1"/>
    <xf numFmtId="42" fontId="7" fillId="0" borderId="8" xfId="0" applyNumberFormat="1" applyFont="1" applyFill="1" applyBorder="1" applyAlignment="1"/>
    <xf numFmtId="9" fontId="23" fillId="0" borderId="8" xfId="0" applyNumberFormat="1" applyFont="1" applyFill="1" applyBorder="1"/>
    <xf numFmtId="3" fontId="7" fillId="0" borderId="7" xfId="0" applyNumberFormat="1" applyFont="1" applyFill="1" applyBorder="1" applyAlignment="1"/>
    <xf numFmtId="0" fontId="23" fillId="0" borderId="8" xfId="0" applyNumberFormat="1" applyFont="1" applyFill="1" applyBorder="1" applyAlignment="1"/>
    <xf numFmtId="42" fontId="7" fillId="0" borderId="6" xfId="0" applyNumberFormat="1" applyFont="1" applyFill="1" applyBorder="1" applyAlignment="1"/>
    <xf numFmtId="0" fontId="1" fillId="0" borderId="0" xfId="0" applyNumberFormat="1" applyFont="1" applyFill="1" applyAlignment="1">
      <alignment horizontal="centerContinuous"/>
    </xf>
    <xf numFmtId="0" fontId="7" fillId="0" borderId="0" xfId="0" applyNumberFormat="1" applyFont="1" applyFill="1" applyAlignment="1">
      <alignment horizontal="centerContinuous"/>
    </xf>
    <xf numFmtId="0" fontId="1" fillId="0" borderId="0" xfId="0" applyNumberFormat="1" applyFont="1" applyFill="1" applyAlignment="1"/>
    <xf numFmtId="0" fontId="7" fillId="0" borderId="0" xfId="0" applyNumberFormat="1" applyFont="1" applyFill="1" applyAlignment="1">
      <alignment horizontal="centerContinuous" vertical="center"/>
    </xf>
    <xf numFmtId="0" fontId="1" fillId="0" borderId="14" xfId="0" applyNumberFormat="1" applyFont="1" applyFill="1" applyBorder="1" applyAlignment="1">
      <alignment horizontal="centerContinuous"/>
    </xf>
    <xf numFmtId="0" fontId="7" fillId="0" borderId="3" xfId="0" applyNumberFormat="1" applyFont="1" applyFill="1" applyBorder="1" applyAlignment="1">
      <alignment horizontal="centerContinuous"/>
    </xf>
    <xf numFmtId="0" fontId="7" fillId="0" borderId="15" xfId="0" applyNumberFormat="1" applyFont="1" applyFill="1" applyBorder="1" applyAlignment="1">
      <alignment horizontal="centerContinuous"/>
    </xf>
    <xf numFmtId="0" fontId="1" fillId="0" borderId="7" xfId="0" applyFont="1" applyFill="1" applyBorder="1" applyAlignment="1">
      <alignment horizontal="center" vertical="center" wrapText="1"/>
    </xf>
    <xf numFmtId="0" fontId="1" fillId="0" borderId="7" xfId="0" applyFont="1" applyFill="1" applyBorder="1" applyAlignment="1">
      <alignment horizontal="center" vertical="center"/>
    </xf>
    <xf numFmtId="0" fontId="1" fillId="0" borderId="7" xfId="0" applyFont="1" applyFill="1" applyBorder="1" applyAlignment="1">
      <alignment horizontal="centerContinuous" vertical="center"/>
    </xf>
    <xf numFmtId="0" fontId="1" fillId="0" borderId="16" xfId="0" applyNumberFormat="1" applyFont="1" applyFill="1" applyBorder="1" applyAlignment="1">
      <alignment horizontal="center" vertical="center" wrapText="1"/>
    </xf>
    <xf numFmtId="0" fontId="1" fillId="0" borderId="17" xfId="0" applyNumberFormat="1" applyFont="1" applyFill="1" applyBorder="1" applyAlignment="1">
      <alignment horizontal="center" vertical="center" wrapText="1"/>
    </xf>
    <xf numFmtId="0" fontId="7" fillId="0" borderId="7" xfId="0" applyNumberFormat="1" applyFont="1" applyFill="1" applyBorder="1" applyAlignment="1">
      <alignment horizontal="center"/>
    </xf>
    <xf numFmtId="0" fontId="7" fillId="0" borderId="7" xfId="0" applyNumberFormat="1" applyFont="1" applyFill="1" applyBorder="1" applyAlignment="1">
      <alignment horizontal="left"/>
    </xf>
    <xf numFmtId="0" fontId="23" fillId="0" borderId="7" xfId="0" applyFont="1" applyFill="1" applyBorder="1"/>
    <xf numFmtId="0" fontId="7" fillId="0" borderId="8" xfId="0" applyNumberFormat="1" applyFont="1" applyFill="1" applyBorder="1" applyAlignment="1"/>
    <xf numFmtId="0" fontId="7" fillId="0" borderId="8" xfId="0" applyNumberFormat="1" applyFont="1" applyFill="1" applyBorder="1" applyAlignment="1">
      <alignment horizontal="center"/>
    </xf>
    <xf numFmtId="0" fontId="7" fillId="0" borderId="8" xfId="0" applyNumberFormat="1" applyFont="1" applyFill="1" applyBorder="1" applyAlignment="1">
      <alignment horizontal="left"/>
    </xf>
    <xf numFmtId="0" fontId="23" fillId="0" borderId="8" xfId="0" applyFont="1" applyFill="1" applyBorder="1"/>
    <xf numFmtId="42" fontId="24" fillId="0" borderId="0" xfId="0" applyNumberFormat="1" applyFont="1" applyFill="1" applyAlignment="1">
      <alignment horizontal="center"/>
    </xf>
    <xf numFmtId="0" fontId="24" fillId="0" borderId="0" xfId="0" applyNumberFormat="1" applyFont="1" applyFill="1" applyAlignment="1">
      <alignment horizontal="left"/>
    </xf>
    <xf numFmtId="0" fontId="7" fillId="0" borderId="10" xfId="0" applyNumberFormat="1" applyFont="1" applyFill="1" applyBorder="1" applyAlignment="1">
      <alignment horizontal="center"/>
    </xf>
    <xf numFmtId="0" fontId="7" fillId="0" borderId="10" xfId="0" applyNumberFormat="1" applyFont="1" applyFill="1" applyBorder="1" applyAlignment="1">
      <alignment horizontal="left"/>
    </xf>
    <xf numFmtId="0" fontId="23" fillId="0" borderId="10" xfId="0" applyNumberFormat="1" applyFont="1" applyFill="1" applyBorder="1" applyAlignment="1"/>
    <xf numFmtId="0" fontId="7" fillId="0" borderId="0" xfId="0" applyNumberFormat="1" applyFont="1" applyFill="1" applyAlignment="1">
      <alignment horizontal="right"/>
    </xf>
    <xf numFmtId="42" fontId="7" fillId="0" borderId="0" xfId="0" applyNumberFormat="1" applyFont="1" applyFill="1" applyAlignment="1"/>
    <xf numFmtId="0" fontId="14" fillId="0" borderId="0" xfId="0" applyNumberFormat="1" applyFont="1" applyFill="1" applyAlignment="1"/>
    <xf numFmtId="0" fontId="1" fillId="0" borderId="0" xfId="0" applyFont="1" applyFill="1" applyBorder="1" applyAlignment="1">
      <alignment horizontal="right"/>
    </xf>
    <xf numFmtId="0" fontId="1" fillId="0" borderId="0" xfId="0" applyFont="1" applyFill="1" applyAlignment="1">
      <alignment horizontal="center"/>
    </xf>
    <xf numFmtId="0" fontId="11" fillId="0" borderId="1" xfId="0" applyFont="1" applyFill="1" applyBorder="1" applyAlignment="1">
      <alignment horizontal="center"/>
    </xf>
    <xf numFmtId="0" fontId="3" fillId="0" borderId="0" xfId="0" applyFont="1" applyFill="1" applyAlignment="1">
      <alignment horizontal="center"/>
    </xf>
    <xf numFmtId="0" fontId="3" fillId="0" borderId="0" xfId="0" quotePrefix="1" applyFont="1" applyFill="1" applyAlignment="1">
      <alignment horizontal="center"/>
    </xf>
    <xf numFmtId="0" fontId="7" fillId="0" borderId="0" xfId="0" applyFont="1" applyAlignment="1">
      <alignment horizontal="center"/>
    </xf>
    <xf numFmtId="0" fontId="7" fillId="0" borderId="0" xfId="0" quotePrefix="1" applyFont="1" applyFill="1" applyAlignment="1">
      <alignment horizontal="center"/>
    </xf>
    <xf numFmtId="0" fontId="33" fillId="0" borderId="0" xfId="0" quotePrefix="1" applyFont="1" applyAlignment="1">
      <alignment horizontal="left" indent="1"/>
    </xf>
    <xf numFmtId="0" fontId="33" fillId="0" borderId="0" xfId="0" quotePrefix="1" applyFont="1" applyAlignment="1">
      <alignment horizontal="left" indent="3"/>
    </xf>
    <xf numFmtId="0" fontId="33" fillId="7" borderId="0" xfId="0" quotePrefix="1" applyFont="1" applyFill="1" applyAlignment="1">
      <alignment horizontal="center"/>
    </xf>
    <xf numFmtId="0" fontId="33" fillId="0" borderId="0" xfId="0" applyFont="1" applyAlignment="1">
      <alignment horizontal="center"/>
    </xf>
    <xf numFmtId="0" fontId="33" fillId="0" borderId="0" xfId="0" quotePrefix="1" applyFont="1" applyAlignment="1">
      <alignment horizontal="left" indent="2"/>
    </xf>
    <xf numFmtId="0" fontId="33" fillId="0" borderId="1" xfId="0" applyFont="1" applyBorder="1" applyAlignment="1">
      <alignment horizontal="center"/>
    </xf>
    <xf numFmtId="0" fontId="7" fillId="0" borderId="0" xfId="0" applyFont="1" applyFill="1" applyAlignment="1">
      <alignment horizontal="center"/>
    </xf>
    <xf numFmtId="0" fontId="1" fillId="0" borderId="0" xfId="0" applyFont="1" applyAlignment="1">
      <alignment horizontal="center"/>
    </xf>
    <xf numFmtId="0" fontId="1" fillId="2" borderId="0" xfId="0" applyNumberFormat="1" applyFont="1" applyFill="1" applyAlignment="1">
      <alignment horizontal="center"/>
    </xf>
    <xf numFmtId="0" fontId="25" fillId="0" borderId="19" xfId="0" applyFont="1" applyBorder="1" applyAlignment="1">
      <alignment horizontal="left" vertical="top"/>
    </xf>
    <xf numFmtId="0" fontId="25" fillId="0" borderId="20" xfId="0" applyFont="1" applyBorder="1" applyAlignment="1">
      <alignment horizontal="left" vertical="top"/>
    </xf>
    <xf numFmtId="0" fontId="20" fillId="0" borderId="0" xfId="0" applyNumberFormat="1" applyFont="1" applyFill="1" applyAlignment="1" applyProtection="1">
      <alignment horizontal="center"/>
      <protection locked="0"/>
    </xf>
    <xf numFmtId="0" fontId="20" fillId="0" borderId="0" xfId="0" applyNumberFormat="1" applyFont="1" applyAlignment="1">
      <alignment horizontal="center"/>
    </xf>
    <xf numFmtId="0" fontId="20" fillId="0" borderId="0" xfId="0" applyNumberFormat="1" applyFont="1" applyFill="1" applyAlignment="1">
      <alignment horizontal="center"/>
    </xf>
    <xf numFmtId="0" fontId="1" fillId="3" borderId="0" xfId="0" applyFont="1" applyFill="1" applyAlignment="1">
      <alignment horizontal="center"/>
    </xf>
    <xf numFmtId="0" fontId="1" fillId="3" borderId="0" xfId="0" quotePrefix="1" applyFont="1" applyFill="1" applyAlignment="1">
      <alignment horizontal="center"/>
    </xf>
  </cellXfs>
  <cellStyles count="1">
    <cellStyle name="Normal" xfId="0" builtinId="0"/>
  </cellStyles>
  <dxfs count="0"/>
  <tableStyles count="0" defaultTableStyle="TableStyleMedium2" defaultPivotStyle="PivotStyleLight16"/>
  <colors>
    <mruColors>
      <color rgb="FF0000FF"/>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5.xml"/><Relationship Id="rId84" Type="http://schemas.openxmlformats.org/officeDocument/2006/relationships/externalLink" Target="externalLinks/externalLink36.xml"/><Relationship Id="rId138" Type="http://schemas.openxmlformats.org/officeDocument/2006/relationships/externalLink" Target="externalLinks/externalLink90.xml"/><Relationship Id="rId159" Type="http://schemas.openxmlformats.org/officeDocument/2006/relationships/externalLink" Target="externalLinks/externalLink111.xml"/><Relationship Id="rId170" Type="http://schemas.openxmlformats.org/officeDocument/2006/relationships/customXml" Target="../customXml/item2.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5.xml"/><Relationship Id="rId74" Type="http://schemas.openxmlformats.org/officeDocument/2006/relationships/externalLink" Target="externalLinks/externalLink26.xml"/><Relationship Id="rId128" Type="http://schemas.openxmlformats.org/officeDocument/2006/relationships/externalLink" Target="externalLinks/externalLink80.xml"/><Relationship Id="rId149" Type="http://schemas.openxmlformats.org/officeDocument/2006/relationships/externalLink" Target="externalLinks/externalLink101.xml"/><Relationship Id="rId5" Type="http://schemas.openxmlformats.org/officeDocument/2006/relationships/worksheet" Target="worksheets/sheet5.xml"/><Relationship Id="rId95" Type="http://schemas.openxmlformats.org/officeDocument/2006/relationships/externalLink" Target="externalLinks/externalLink47.xml"/><Relationship Id="rId160" Type="http://schemas.openxmlformats.org/officeDocument/2006/relationships/externalLink" Target="externalLinks/externalLink11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6.xml"/><Relationship Id="rId118" Type="http://schemas.openxmlformats.org/officeDocument/2006/relationships/externalLink" Target="externalLinks/externalLink70.xml"/><Relationship Id="rId139" Type="http://schemas.openxmlformats.org/officeDocument/2006/relationships/externalLink" Target="externalLinks/externalLink91.xml"/><Relationship Id="rId85" Type="http://schemas.openxmlformats.org/officeDocument/2006/relationships/externalLink" Target="externalLinks/externalLink37.xml"/><Relationship Id="rId150" Type="http://schemas.openxmlformats.org/officeDocument/2006/relationships/externalLink" Target="externalLinks/externalLink102.xml"/><Relationship Id="rId171"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0.xml"/><Relationship Id="rId129" Type="http://schemas.openxmlformats.org/officeDocument/2006/relationships/externalLink" Target="externalLinks/externalLink81.xml"/><Relationship Id="rId54" Type="http://schemas.openxmlformats.org/officeDocument/2006/relationships/externalLink" Target="externalLinks/externalLink6.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91" Type="http://schemas.openxmlformats.org/officeDocument/2006/relationships/externalLink" Target="externalLinks/externalLink43.xml"/><Relationship Id="rId96" Type="http://schemas.openxmlformats.org/officeDocument/2006/relationships/externalLink" Target="externalLinks/externalLink48.xml"/><Relationship Id="rId140" Type="http://schemas.openxmlformats.org/officeDocument/2006/relationships/externalLink" Target="externalLinks/externalLink92.xml"/><Relationship Id="rId145" Type="http://schemas.openxmlformats.org/officeDocument/2006/relationships/externalLink" Target="externalLinks/externalLink97.xml"/><Relationship Id="rId161" Type="http://schemas.openxmlformats.org/officeDocument/2006/relationships/externalLink" Target="externalLinks/externalLink113.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119" Type="http://schemas.openxmlformats.org/officeDocument/2006/relationships/externalLink" Target="externalLinks/externalLink71.xml"/><Relationship Id="rId44" Type="http://schemas.openxmlformats.org/officeDocument/2006/relationships/worksheet" Target="worksheets/sheet4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130" Type="http://schemas.openxmlformats.org/officeDocument/2006/relationships/externalLink" Target="externalLinks/externalLink82.xml"/><Relationship Id="rId135" Type="http://schemas.openxmlformats.org/officeDocument/2006/relationships/externalLink" Target="externalLinks/externalLink87.xml"/><Relationship Id="rId151" Type="http://schemas.openxmlformats.org/officeDocument/2006/relationships/externalLink" Target="externalLinks/externalLink103.xml"/><Relationship Id="rId156" Type="http://schemas.openxmlformats.org/officeDocument/2006/relationships/externalLink" Target="externalLinks/externalLink108.xml"/><Relationship Id="rId172"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1.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04" Type="http://schemas.openxmlformats.org/officeDocument/2006/relationships/externalLink" Target="externalLinks/externalLink56.xml"/><Relationship Id="rId120" Type="http://schemas.openxmlformats.org/officeDocument/2006/relationships/externalLink" Target="externalLinks/externalLink72.xml"/><Relationship Id="rId125" Type="http://schemas.openxmlformats.org/officeDocument/2006/relationships/externalLink" Target="externalLinks/externalLink77.xml"/><Relationship Id="rId141" Type="http://schemas.openxmlformats.org/officeDocument/2006/relationships/externalLink" Target="externalLinks/externalLink93.xml"/><Relationship Id="rId146" Type="http://schemas.openxmlformats.org/officeDocument/2006/relationships/externalLink" Target="externalLinks/externalLink98.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162" Type="http://schemas.openxmlformats.org/officeDocument/2006/relationships/externalLink" Target="externalLinks/externalLink1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131" Type="http://schemas.openxmlformats.org/officeDocument/2006/relationships/externalLink" Target="externalLinks/externalLink83.xml"/><Relationship Id="rId136" Type="http://schemas.openxmlformats.org/officeDocument/2006/relationships/externalLink" Target="externalLinks/externalLink88.xml"/><Relationship Id="rId157" Type="http://schemas.openxmlformats.org/officeDocument/2006/relationships/externalLink" Target="externalLinks/externalLink109.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52" Type="http://schemas.openxmlformats.org/officeDocument/2006/relationships/externalLink" Target="externalLinks/externalLink10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163" Type="http://schemas.openxmlformats.org/officeDocument/2006/relationships/externalLink" Target="externalLinks/externalLink1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137" Type="http://schemas.openxmlformats.org/officeDocument/2006/relationships/externalLink" Target="externalLinks/externalLink89.xml"/><Relationship Id="rId158" Type="http://schemas.openxmlformats.org/officeDocument/2006/relationships/externalLink" Target="externalLinks/externalLink11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53" Type="http://schemas.openxmlformats.org/officeDocument/2006/relationships/externalLink" Target="externalLinks/externalLink10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externalLink" Target="externalLinks/externalLink7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43" Type="http://schemas.openxmlformats.org/officeDocument/2006/relationships/externalLink" Target="externalLinks/externalLink95.xml"/><Relationship Id="rId148" Type="http://schemas.openxmlformats.org/officeDocument/2006/relationships/externalLink" Target="externalLinks/externalLink100.xml"/><Relationship Id="rId164" Type="http://schemas.openxmlformats.org/officeDocument/2006/relationships/externalLink" Target="externalLinks/externalLink116.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20.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54" Type="http://schemas.openxmlformats.org/officeDocument/2006/relationships/externalLink" Target="externalLinks/externalLink10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0.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44" Type="http://schemas.openxmlformats.org/officeDocument/2006/relationships/externalLink" Target="externalLinks/externalLink96.xml"/><Relationship Id="rId90" Type="http://schemas.openxmlformats.org/officeDocument/2006/relationships/externalLink" Target="externalLinks/externalLink42.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34" Type="http://schemas.openxmlformats.org/officeDocument/2006/relationships/externalLink" Target="externalLinks/externalLink86.xml"/><Relationship Id="rId80" Type="http://schemas.openxmlformats.org/officeDocument/2006/relationships/externalLink" Target="externalLinks/externalLink32.xml"/><Relationship Id="rId155" Type="http://schemas.openxmlformats.org/officeDocument/2006/relationships/externalLink" Target="externalLinks/externalLink10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24" Type="http://schemas.openxmlformats.org/officeDocument/2006/relationships/externalLink" Target="externalLinks/externalLink7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Startup" Target="%23%20%202016%20GRC/Cost%20of%20Service/Model/DRAFT%202016%20GRC%20ECOS%20v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p09653/My%20Documents/Oregon%20Rate%20Case/SB%201149/Rebuttal/MC%20OR%202001%20Rebutt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REGULATN/PA&amp;D/CASES/Oregon%2099/Portfolio/TOU%20Tariff%20Rates%209-10-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305A/Book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NT/Temporary%20Internet%20Files/OLK93/WC-RB%20GRC%20TY0903%20RY02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NT/Temporary%20Internet%20Files/OLK93/2004%20GRC%20Order%20Electric%20(Clarific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GULATN/COS/WA%202013%20GRC%20(Docket%20UE-xxxxxx)/COS/Direct/COS%20WA%20June%202012%20-%20NS.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GULATN/COS/WA%203-2006%20GRC/COS/Wash%20Mar%202006-09-7-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B%201149/JAM%20OR%20Dec%202001%20-%20SB114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st%20Accounting/Resource%20Costs/CT/ENCOGEN_WBOOK%20(StratPla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rpRates/Public/Decoupling/2018%20Decoupling%20Filing/WUTC%20Review/2017%20FPC%20Deferral%20Analysis/%23EL%20Dec%202017CBR-Revised%20FP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23%202010%20GTIF/Original2010GTIF-Oct/Models%20&amp;%20Adjustments%20Oct-10%20filing/3.03%203.04%20RB%20&amp;%20WC-RC%20June%2010%20Working%20Fi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3EL%20Dec%202017CB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2Inputs/General%20Accounting/Journal%20Entries/JE143-Electric_Unbilled_Revenue_Current_&amp;_Reverse_Prior_mo/2012%20JE143/02-2012/02-12%20Elec_Unb%20(93.1%25%207%20month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NT/Temporary%20Internet%20Files/OLK93/FCR%20for%20PSE%20S40%20V0%20%20HM%20edi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pRates/Public/RASANEN/%232005%20GRC/Update%206-30-06/COS%20Update%207-7-06/ECOS%20Model%20-%20UPDATE%20(JAH-5)%207-7-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boljh/Local%20Settings/MSN%20Rate%20v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3Processes/General%20Accounting/newgas/2012/4-2012/UBR-GAS%2004-20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4Home/JDyer/Unbilled%20Reasonableness/04-2013%20Gas%20Reasonablenes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WA%202013%20GRC%20(Docket%20UE-xxxxxx)/Filed/Direct/Exhibit%20No_(CCP-5)/Tab%204%20&amp;%205/COS%20WA%20June%202012%20(TempAdj-chg%20to%20St%20Lgts%20onl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Elsea%20Projects/Encogen/Sept%2023%20Review/PSE%20Own%2011-99%20for%20$1yr00noboilerJ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pRevnu/PUBLIC/%23%202011%20GRC/RebuttalFiling2011%20GRC/Electric%20Model%202011%20GRC%20Rebuttal.xlsm"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5/Power%20Cost%2050yr%206.15.06%20AURORA%20run%20with%205.23.06%20pric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GrpRates/Public/Gas%20GRC%202011/Compliance%20Filing/Mei%20Cass%20Files/2011%20Gas%20COSS%20December%20TY%20Compliance_Me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rpRates/Public/Decoupling/2016%20GRC%20Prep/PCA/%23Electric%20Model%202016%20GRC%20Original.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rpRevnu\PUBLIC\%23%202016%20Pwr%20Cost%20Compliance%20Update\Preliminary%20Work\Temp%20trash\%23Electric%20Model%202016%20GRC%20Orig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ates/Public/RASANEN/%232005%20GRC/COS%20Inputs/COS%20Model/ECOS%20Model%20-%20FINAL%20COMPAN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TM1EXC/PSE_V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GULATN/PA&amp;D/DSMRecov/2001/RECOV01W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02Inputs/General%20Accounting/Reports/SalesOfElectricity/2009%20SOE/04-2009/02-2009%20SOE%20preli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ystemSegCosts/03/Washington/MC_Washington_20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Mid%20Office/aaa%20Jody%20Test/variance%20to%20budget%20dolla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Cost%20Accounting/Resource%20Costs/Capacity/CAP_WBook.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ormulas/vlooku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GrpRevnu/PUBLIC/%23%202007%20GRC/4.04G%20Pass%20Through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WINNT/Temporary%20Internet%20Files/OLK71/SOE%20Sept%2020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REGULATN/PA&amp;D/DSMRecov/2012/RECOV1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cell r="AT8">
            <v>18</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cell r="AT9">
            <v>18</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cell r="AT10">
            <v>18</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cell r="AT11" t="str">
            <v>34</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cell r="AT12" t="str">
            <v>34</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cell r="AT13" t="str">
            <v>26</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cell r="AT14" t="str">
            <v>26</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cell r="AT15">
            <v>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cell r="AT16" t="str">
            <v>34</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cell r="AT17" t="str">
            <v>26</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cell r="AT18" t="str">
            <v>18</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cell r="AT19" t="str">
            <v>34</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cell r="AT20" t="str">
            <v>18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cell r="AT21" t="str">
            <v>18</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cell r="AT22" t="str">
            <v>55</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cell r="AT23" t="str">
            <v>57</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cell r="AT24" t="str">
            <v>55</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cell r="AT25" t="str">
            <v>56</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cell r="AT26" t="str">
            <v>55</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cell r="AT27" t="str">
            <v>55</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cell r="AT28">
            <v>18</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cell r="AT29">
            <v>18</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cell r="AT30">
            <v>18</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cell r="AT31" t="str">
            <v>18</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cell r="AT32">
            <v>19</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cell r="AT33" t="str">
            <v>34</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cell r="AT34">
            <v>19</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cell r="AT35" t="str">
            <v>34</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cell r="AT36" t="str">
            <v>26</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cell r="AT37">
            <v>18</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cell r="AT38" t="str">
            <v>34</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cell r="AT39" t="str">
            <v>26</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cell r="AT40" t="str">
            <v>18</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cell r="AT41" t="str">
            <v>34</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cell r="AT42" t="str">
            <v>26</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cell r="AT43" t="str">
            <v>51</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cell r="AT44" t="str">
            <v>52</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cell r="AT45" t="str">
            <v>51.3</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cell r="AT46" t="str">
            <v>51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cell r="AT47" t="str">
            <v>52</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cell r="AT48" t="str">
            <v>51.3</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cell r="AT49" t="str">
            <v>51</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cell r="AT50" t="str">
            <v>52</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cell r="AT51" t="str">
            <v>51.3</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cell r="AT52" t="str">
            <v>51</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cell r="AT53" t="str">
            <v>51</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cell r="AT54" t="str">
            <v>52</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cell r="AT55" t="str">
            <v>51</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cell r="AT56" t="str">
            <v>51</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cell r="AT57" t="str">
            <v>52</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cell r="AT58" t="str">
            <v>51.3</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cell r="AT59" t="str">
            <v>51</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cell r="AT60" t="str">
            <v>52</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cell r="AT61" t="str">
            <v>51.3</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cell r="AT62">
            <v>24</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cell r="AT63" t="str">
            <v>24</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cell r="AT64" t="str">
            <v>37</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cell r="AT65" t="str">
            <v>27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cell r="AT66" t="str">
            <v>27</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cell r="AT67">
            <v>24</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cell r="AT68" t="str">
            <v>37</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cell r="AT69" t="str">
            <v>27</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cell r="AT70">
            <v>24</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cell r="AT71" t="str">
            <v>37</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cell r="AT72">
            <v>24</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cell r="AT73" t="str">
            <v>37</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cell r="AT74">
            <v>24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cell r="AT75" t="str">
            <v>37</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cell r="AT76">
            <v>24</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cell r="AT77" t="str">
            <v>37</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cell r="AT78" t="str">
            <v>27</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cell r="AT79" t="str">
            <v>24</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cell r="AT80" t="str">
            <v>37</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cell r="AT81" t="str">
            <v>27</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cell r="AT82" t="str">
            <v>24</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cell r="AT83" t="str">
            <v>27</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cell r="AT84" t="str">
            <v>37</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cell r="AT85" t="str">
            <v>24</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cell r="AT86" t="str">
            <v>37</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cell r="AT87" t="str">
            <v>27</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cell r="AT88">
            <v>0</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cell r="AT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cell r="AT90">
            <v>0</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cell r="AT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cell r="AT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cell r="AT93">
            <v>0</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cell r="AT94">
            <v>0</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cell r="AT95">
            <v>0</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cell r="AT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cell r="AT97">
            <v>24</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cell r="AT98">
            <v>24</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cell r="AT99" t="str">
            <v>37</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cell r="AT100" t="str">
            <v>27</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cell r="AT101">
            <v>24</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cell r="AT102" t="str">
            <v>37</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cell r="AT103">
            <v>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cell r="AT104" t="str">
            <v>37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cell r="AT105" t="str">
            <v>27</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cell r="AT106">
            <v>18</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cell r="AT107" t="str">
            <v>34</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cell r="AT108">
            <v>18</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cell r="AT109">
            <v>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cell r="AT110">
            <v>18</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cell r="AT111">
            <v>18</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cell r="AT112">
            <v>18</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cell r="AT113" t="str">
            <v>18</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cell r="AT114" t="str">
            <v>18</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cell r="AT115">
            <v>24</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cell r="AT116" t="str">
            <v>37</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cell r="AT117">
            <v>24</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cell r="AT118">
            <v>24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cell r="AT119">
            <v>24</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cell r="AT120">
            <v>24</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cell r="AT121" t="str">
            <v>24</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cell r="AT122">
            <v>24</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cell r="AT123">
            <v>0</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cell r="AT124" t="str">
            <v>36</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cell r="AT125" t="str">
            <v>54</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cell r="AT126" t="str">
            <v>54</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cell r="AT127" t="str">
            <v>54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cell r="AT128" t="str">
            <v>54</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cell r="AT129" t="str">
            <v>54</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cell r="AT130" t="str">
            <v>54</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cell r="AT131" t="str">
            <v>55</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cell r="AT132" t="str">
            <v>55</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cell r="AT133" t="str">
            <v>56</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cell r="AT134" t="str">
            <v>56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cell r="AT135" t="str">
            <v>56</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cell r="AT136" t="str">
            <v>56</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cell r="AT137" t="str">
            <v>56</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cell r="AT138" t="str">
            <v>56</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cell r="AT139" t="str">
            <v>56</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cell r="AT140" t="str">
            <v>56</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cell r="AT141" t="str">
            <v>56</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cell r="AT142" t="str">
            <v>56</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cell r="AT143" t="str">
            <v>56</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cell r="AT144" t="str">
            <v>56</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cell r="AT145" t="str">
            <v>56</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cell r="AT146" t="str">
            <v>56</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cell r="AT147" t="str">
            <v>56</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cell r="AT148" t="str">
            <v>56</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cell r="AT149" t="str">
            <v>56</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cell r="AT150" t="str">
            <v>56</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cell r="AT151" t="str">
            <v>56</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cell r="AT152" t="str">
            <v>56</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cell r="AT153" t="str">
            <v>56</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cell r="AT154" t="str">
            <v>56</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cell r="AT155" t="str">
            <v>23</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cell r="AT156" t="str">
            <v>57</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cell r="AT157" t="str">
            <v>57</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cell r="AT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cell r="AT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cell r="AT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cell r="AT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cell r="AT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cell r="AT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cell r="AT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cell r="AT165">
            <v>0</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cell r="AT166">
            <v>0</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cell r="AT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cell r="AT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cell r="AT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cell r="AT170" t="str">
            <v>56</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cell r="AT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cell r="AT172">
            <v>0</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cell r="AT173">
            <v>0</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cell r="AT174">
            <v>0</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cell r="AT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cell r="AT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cell r="AT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cell r="AT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cell r="AT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cell r="AT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cell r="AT181">
            <v>0</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cell r="AT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cell r="AT183">
            <v>0</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cell r="AT184">
            <v>0</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cell r="AT185">
            <v>0</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cell r="AT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cell r="AT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cell r="AT188">
            <v>0</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cell r="AT189">
            <v>0</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cell r="AT190">
            <v>0</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cell r="AT191">
            <v>0</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cell r="AT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cell r="AT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cell r="AT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cell r="AT195">
            <v>0</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cell r="AT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cell r="AT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cell r="AT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cell r="AT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cell r="AT200" t="str">
            <v>23</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cell r="AT201" t="str">
            <v>23</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cell r="AT202" t="str">
            <v>23</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cell r="AT203" t="str">
            <v>23</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cell r="AT204" t="str">
            <v>23</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cell r="AT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cell r="AT206" t="str">
            <v>23</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cell r="AT207" t="str">
            <v>59</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cell r="AT208" t="str">
            <v>23</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cell r="AT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cell r="AT210" t="str">
            <v>23</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cell r="AT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cell r="AT212" t="str">
            <v>23</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cell r="AT213" t="str">
            <v>59</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cell r="AT214" t="str">
            <v>23</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cell r="AT215" t="str">
            <v>23</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cell r="AT216" t="str">
            <v>57</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cell r="AT217" t="str">
            <v>23</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cell r="AT218" t="str">
            <v>23</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cell r="AT219" t="str">
            <v>23</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cell r="AT220" t="str">
            <v>23</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cell r="AT221" t="str">
            <v>23</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cell r="AT222" t="str">
            <v>23</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cell r="AT223" t="str">
            <v>57</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cell r="AT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cell r="AT225" t="str">
            <v>56</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cell r="AT226">
            <v>0</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cell r="AT227" t="str">
            <v>23</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cell r="AT228" t="str">
            <v>23</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cell r="AT229" t="str">
            <v>23</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cell r="AT230" t="str">
            <v xml:space="preserve">23 </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cell r="AT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cell r="AT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cell r="AT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cell r="AT234" t="str">
            <v xml:space="preserve">56 </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cell r="AT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cell r="AT236">
            <v>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cell r="AT237" t="str">
            <v>23</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cell r="AT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cell r="AT239">
            <v>0</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cell r="AT240" t="str">
            <v>56</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cell r="AT241">
            <v>0</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cell r="AT242">
            <v>0</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cell r="AT243">
            <v>0</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cell r="AT244">
            <v>0</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cell r="AT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cell r="AT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cell r="AT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cell r="AT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cell r="AT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cell r="AT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cell r="AT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cell r="AT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cell r="AT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cell r="AT254">
            <v>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cell r="AT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cell r="AT256">
            <v>0</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cell r="AT257">
            <v>0</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cell r="AT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cell r="AT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cell r="AT260" t="str">
            <v>23.1</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cell r="AT261" t="str">
            <v>23.1</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cell r="AT262" t="str">
            <v>23.1</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cell r="AT263" t="str">
            <v>23.1</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cell r="AT264" t="str">
            <v>23.1</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cell r="AT265" t="str">
            <v>23.1</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cell r="AT266" t="str">
            <v>56</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cell r="AT267" t="str">
            <v>56</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cell r="AT268" t="str">
            <v>56</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cell r="AT269">
            <v>0</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cell r="AT270" t="str">
            <v>55</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cell r="AT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cell r="AT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cell r="AT273" t="str">
            <v>55</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cell r="AT274">
            <v>44</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cell r="AT275">
            <v>44</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cell r="AT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cell r="AT277" t="str">
            <v>56</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cell r="AT278" t="str">
            <v>56</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cell r="AT279" t="str">
            <v>56</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cell r="AT280">
            <v>9</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cell r="AT281" t="str">
            <v>56</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cell r="AT282" t="str">
            <v>56</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cell r="AT283">
            <v>0</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cell r="AT284">
            <v>0</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cell r="AT285">
            <v>0</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cell r="AT286">
            <v>0</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cell r="AT287">
            <v>0</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cell r="AT288">
            <v>0</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cell r="AT289">
            <v>0</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cell r="AT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cell r="AT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cell r="AT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cell r="AT293">
            <v>23</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cell r="AT294">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cell r="AT295" t="str">
            <v>23</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cell r="AT296">
            <v>0</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cell r="AT297">
            <v>0</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cell r="AT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cell r="AT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cell r="AT300" t="str">
            <v>23</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cell r="AT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cell r="AT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cell r="AT303">
            <v>0</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cell r="AT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cell r="AT305" t="str">
            <v xml:space="preserve"> </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cell r="AT306" t="str">
            <v>56</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cell r="AT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cell r="AT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cell r="AT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cell r="AT310" t="str">
            <v>56</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cell r="AT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cell r="AT312">
            <v>0</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cell r="AT313" t="str">
            <v>23</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cell r="AT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cell r="AT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cell r="AT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cell r="AT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cell r="AT318" t="str">
            <v>23</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cell r="AT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cell r="AT320">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cell r="AT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cell r="AT322">
            <v>0</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cell r="AT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cell r="AT324" t="str">
            <v>23</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cell r="AT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cell r="AT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cell r="AT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cell r="AT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cell r="AT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cell r="AT330" t="str">
            <v>56</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cell r="AT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cell r="AT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cell r="AT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cell r="AT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cell r="AT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cell r="AT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cell r="AT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cell r="AT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cell r="AT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cell r="AT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cell r="AT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cell r="AT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cell r="AT343">
            <v>0</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cell r="AT344">
            <v>0</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cell r="AT345">
            <v>0</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cell r="AT346">
            <v>0</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cell r="AT347">
            <v>0</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cell r="AT348">
            <v>0</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cell r="AT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cell r="AT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cell r="AT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cell r="AT352">
            <v>0</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cell r="AT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cell r="AT354" t="str">
            <v>23</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cell r="AT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cell r="AT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cell r="AT357">
            <v>0</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cell r="AT358">
            <v>0</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cell r="AT359">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cell r="AT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cell r="AT361" t="str">
            <v>56</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cell r="AT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cell r="AT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cell r="AT364" t="str">
            <v>56</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cell r="AT365" t="str">
            <v>56</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cell r="AT366" t="str">
            <v>56</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cell r="AT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cell r="AT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cell r="AT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cell r="AT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cell r="AT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cell r="AT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cell r="AT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cell r="AT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cell r="AT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cell r="AT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cell r="AT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cell r="AT378">
            <v>0</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cell r="AT379">
            <v>0</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cell r="AT380">
            <v>0</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cell r="AT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cell r="AT382">
            <v>0</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cell r="AT383">
            <v>0</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cell r="AT384">
            <v>0</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cell r="AT385" t="str">
            <v>55</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cell r="AT386" t="str">
            <v>55</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cell r="AT387">
            <v>0</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cell r="AT388">
            <v>0</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cell r="AT389">
            <v>0</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cell r="AT390">
            <v>0</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cell r="AT391">
            <v>0</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cell r="AT392">
            <v>0</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cell r="AT393">
            <v>0</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cell r="AT394">
            <v>0</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cell r="AT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cell r="AT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cell r="AT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cell r="AT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cell r="AT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cell r="AT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cell r="AT401">
            <v>0</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cell r="AT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cell r="AT403">
            <v>0</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cell r="AT404">
            <v>0</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cell r="AT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cell r="AT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cell r="AT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cell r="AT408">
            <v>0</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cell r="AT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cell r="AT410">
            <v>0</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cell r="AT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cell r="AT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cell r="AT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cell r="AT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cell r="AT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cell r="AT416">
            <v>0</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cell r="AT417">
            <v>0</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cell r="AT418">
            <v>0</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cell r="AT419">
            <v>0</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cell r="AT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cell r="AT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cell r="AT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cell r="AT423">
            <v>0</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cell r="AT424">
            <v>0</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cell r="AT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cell r="AT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cell r="AT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cell r="AT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cell r="AT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cell r="AT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cell r="AT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cell r="AT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cell r="AT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cell r="AT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cell r="AT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cell r="AT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cell r="AT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cell r="AT438" t="str">
            <v>56</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cell r="AT439" t="str">
            <v xml:space="preserve"> </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cell r="AT440">
            <v>0</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cell r="AT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cell r="AT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cell r="AT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cell r="AT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cell r="AT445">
            <v>0</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cell r="AT446">
            <v>0</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cell r="AT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cell r="AT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cell r="AT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cell r="AT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cell r="AT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cell r="AT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cell r="AT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cell r="AT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cell r="AT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cell r="AT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cell r="AT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cell r="AT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cell r="AT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cell r="AT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cell r="AT461">
            <v>0</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cell r="AT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cell r="AT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cell r="AT464">
            <v>0</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cell r="AT465">
            <v>0</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cell r="AT466">
            <v>0</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cell r="AT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cell r="AT468">
            <v>0</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cell r="AT469">
            <v>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cell r="AT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cell r="AT471">
            <v>0</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cell r="AT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cell r="AT473">
            <v>0</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cell r="AT474">
            <v>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cell r="AT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cell r="AT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cell r="AT477">
            <v>0</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cell r="AT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cell r="AT479">
            <v>0</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cell r="AT480">
            <v>0</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cell r="AT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cell r="AT482">
            <v>0</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cell r="AT483">
            <v>0</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cell r="AT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cell r="AT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cell r="AT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cell r="AT487">
            <v>0</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cell r="AT488">
            <v>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cell r="AT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cell r="AT490">
            <v>0</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cell r="AT491">
            <v>0</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cell r="AT492">
            <v>0</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cell r="AT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cell r="AT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cell r="AT495">
            <v>0</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cell r="AT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cell r="AT497">
            <v>0</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cell r="AT498">
            <v>0</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cell r="AT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cell r="AT500">
            <v>0</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cell r="AT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cell r="AT502">
            <v>0</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cell r="AT503">
            <v>0</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cell r="AT504">
            <v>0</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cell r="AT505">
            <v>0</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cell r="AT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cell r="AT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cell r="AT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cell r="AT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cell r="AT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cell r="AT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cell r="AT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cell r="AT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cell r="AT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cell r="AT515">
            <v>0</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cell r="AT516">
            <v>0</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cell r="AT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cell r="AT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cell r="AT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cell r="AT520">
            <v>0</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cell r="AT521">
            <v>0</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cell r="AT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cell r="AT523">
            <v>0</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cell r="AT524">
            <v>0</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cell r="AT525">
            <v>0</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cell r="AT526" t="str">
            <v>23</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cell r="AT527">
            <v>0</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cell r="AT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cell r="AT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cell r="AT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cell r="AT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cell r="AT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cell r="AT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cell r="AT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cell r="AT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cell r="AT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cell r="AT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cell r="AT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cell r="AT539" t="str">
            <v xml:space="preserve"> </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cell r="AT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cell r="AT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cell r="AT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cell r="AT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cell r="AT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cell r="AT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cell r="AT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cell r="AT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cell r="AT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cell r="AT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cell r="AT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cell r="AT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cell r="AT552">
            <v>0</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cell r="AT553">
            <v>0</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cell r="AT554">
            <v>0</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cell r="AT555">
            <v>0</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cell r="AT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cell r="AT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cell r="AT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cell r="AT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cell r="AT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cell r="AT561">
            <v>0</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cell r="AT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cell r="AT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cell r="AT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cell r="AT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cell r="AT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cell r="AT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cell r="AT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cell r="AT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cell r="AT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cell r="AT571" t="str">
            <v>23</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cell r="AT572" t="str">
            <v>56</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cell r="AT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cell r="AT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cell r="AT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cell r="AT576">
            <v>0</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cell r="AT577" t="str">
            <v>23</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cell r="AT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cell r="AT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cell r="AT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cell r="AT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cell r="AT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cell r="AT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cell r="AT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cell r="AT585">
            <v>0</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cell r="AT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cell r="AT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cell r="AT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cell r="AT589" t="str">
            <v>56</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cell r="AT590">
            <v>0</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cell r="AT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cell r="AT592">
            <v>0</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cell r="AT593" t="str">
            <v>56</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cell r="AT594">
            <v>0</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cell r="AT595">
            <v>0</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cell r="AT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cell r="AT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cell r="AT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cell r="AT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cell r="AT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cell r="AT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cell r="AT602">
            <v>0</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cell r="AT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cell r="AT604">
            <v>0</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cell r="AT605">
            <v>0</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cell r="AT606">
            <v>0</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cell r="AT607" t="str">
            <v>56</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cell r="AT608">
            <v>0</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cell r="AT609">
            <v>0</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cell r="AT610" t="str">
            <v>56</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cell r="AT611">
            <v>0</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cell r="AT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cell r="AT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cell r="AT614">
            <v>0</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cell r="AT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cell r="AT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cell r="AT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cell r="AT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cell r="AT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cell r="AT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cell r="AT621">
            <v>0</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cell r="AT622">
            <v>0</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cell r="AT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cell r="AT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cell r="AT625">
            <v>0</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cell r="AT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cell r="AT627">
            <v>0</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cell r="AT628">
            <v>0</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cell r="AT629">
            <v>0</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cell r="AT630">
            <v>0</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cell r="AT631">
            <v>0</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cell r="AT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cell r="AT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cell r="AT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cell r="AT635">
            <v>0</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cell r="AT636">
            <v>0</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cell r="AT637">
            <v>0</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cell r="AT638">
            <v>0</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cell r="AT639">
            <v>0</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cell r="AT640">
            <v>0</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cell r="AT641">
            <v>0</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cell r="AT642">
            <v>0</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cell r="AT643">
            <v>0</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cell r="AT644">
            <v>0</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cell r="AT645">
            <v>0</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cell r="AT646">
            <v>0</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cell r="AT647">
            <v>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cell r="AT648">
            <v>0</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cell r="AT649">
            <v>0</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cell r="AT650">
            <v>0</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cell r="AT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cell r="AT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cell r="AT653">
            <v>0</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cell r="AT654">
            <v>0</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cell r="AT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cell r="AT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cell r="AT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cell r="AT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cell r="AT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cell r="AT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cell r="AT661">
            <v>0</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cell r="AT662">
            <v>0</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cell r="AT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cell r="AT664">
            <v>0</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cell r="AT665">
            <v>0</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cell r="AT666">
            <v>0</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cell r="AT667">
            <v>0</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cell r="AT668">
            <v>0</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cell r="AT669">
            <v>0</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cell r="AT670">
            <v>0</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cell r="AT671">
            <v>0</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cell r="AT672">
            <v>0</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cell r="AT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cell r="AT674">
            <v>0</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cell r="AT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cell r="AT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cell r="AT677">
            <v>0</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cell r="AT678">
            <v>0</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cell r="AT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cell r="AT680">
            <v>0</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cell r="AT681">
            <v>0</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cell r="AT682">
            <v>0</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cell r="AT683">
            <v>0</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cell r="AT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cell r="AT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cell r="AT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cell r="AT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cell r="AT688">
            <v>0</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cell r="AT689">
            <v>0</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cell r="AT690">
            <v>0</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cell r="AT691">
            <v>0</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cell r="AT692">
            <v>0</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cell r="AT693">
            <v>0</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cell r="AT694">
            <v>0</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cell r="AT695" t="str">
            <v>23</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cell r="AT696" t="str">
            <v>56</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cell r="AT697" t="str">
            <v>56</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cell r="AT698" t="str">
            <v>56</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cell r="AT699" t="str">
            <v>56</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cell r="AT700" t="str">
            <v>56</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cell r="AT701">
            <v>0</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cell r="AT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cell r="AT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cell r="AT704" t="str">
            <v>56</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cell r="AT705" t="str">
            <v>56</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cell r="AT706">
            <v>0</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cell r="AT707">
            <v>0</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cell r="AT708" t="str">
            <v>56</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cell r="AT709" t="str">
            <v>56</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cell r="AT710" t="str">
            <v>56</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cell r="AT711" t="str">
            <v>56</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cell r="AT712" t="str">
            <v>56</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cell r="AT713" t="str">
            <v>56</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cell r="AT714" t="str">
            <v>56</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cell r="AT715" t="str">
            <v>56</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cell r="AT716" t="str">
            <v>56</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cell r="AT717" t="str">
            <v>56</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cell r="AT718" t="str">
            <v>56</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cell r="AT719" t="str">
            <v>56</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cell r="AT720" t="str">
            <v>56</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cell r="AT721" t="str">
            <v>56</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cell r="AT722" t="str">
            <v>56</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cell r="AT723" t="str">
            <v>56</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cell r="AT724" t="str">
            <v>56</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cell r="AT725" t="str">
            <v>56</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cell r="AT726" t="str">
            <v>56</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cell r="AT727" t="str">
            <v>55</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cell r="AT728" t="str">
            <v>56</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cell r="AT729" t="str">
            <v>56</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cell r="AT730" t="str">
            <v>56</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cell r="AT731" t="str">
            <v>56</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cell r="AT732" t="str">
            <v>56</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cell r="AT733" t="str">
            <v>56</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cell r="AT734" t="str">
            <v>56</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cell r="AT735">
            <v>5</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cell r="AT736">
            <v>5</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cell r="AT737">
            <v>5</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cell r="AT738">
            <v>5</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cell r="AT739">
            <v>5</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cell r="AT740">
            <v>5</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cell r="AT741">
            <v>5</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cell r="AT742">
            <v>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cell r="AT743" t="str">
            <v>5</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cell r="AT744" t="str">
            <v>5</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cell r="AT745">
            <v>5</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cell r="AT746" t="str">
            <v>5</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cell r="AT747">
            <v>5</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cell r="AT748">
            <v>5</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cell r="AT749">
            <v>5</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cell r="AT750">
            <v>5</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cell r="AT751">
            <v>5</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cell r="AT752">
            <v>5</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cell r="AT753">
            <v>5</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cell r="AT754">
            <v>5</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cell r="AT755">
            <v>5</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cell r="AT756">
            <v>5</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cell r="AT757">
            <v>5</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cell r="AT758">
            <v>5</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cell r="AT759">
            <v>5</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cell r="AT760">
            <v>5</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cell r="AT761">
            <v>5</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cell r="AT762">
            <v>5</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cell r="AT763">
            <v>5</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cell r="AT764">
            <v>5</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cell r="AT765" t="str">
            <v>5</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cell r="AT766" t="str">
            <v>5</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cell r="AT767" t="str">
            <v>5</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cell r="AT768" t="str">
            <v>5</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cell r="AT769" t="str">
            <v>5</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cell r="AT770">
            <v>5</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cell r="AT771">
            <v>5</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cell r="AT772">
            <v>5</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cell r="AT773">
            <v>5</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cell r="AT774" t="str">
            <v>5</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cell r="AT775" t="str">
            <v>5</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cell r="AT776">
            <v>5</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cell r="AT777">
            <v>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cell r="AT778" t="str">
            <v>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cell r="AT779" t="str">
            <v>5</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cell r="AT780" t="str">
            <v>5</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cell r="AT781" t="str">
            <v>5</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cell r="AT782" t="str">
            <v>5</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cell r="AT783" t="str">
            <v>5</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cell r="AT784" t="str">
            <v>5</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cell r="AT785" t="str">
            <v>5</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cell r="AT786">
            <v>5</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cell r="AT787">
            <v>5</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cell r="AT788" t="str">
            <v>5</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cell r="AT789" t="str">
            <v>5</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cell r="AT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cell r="AT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cell r="AT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cell r="AT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cell r="AT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cell r="AT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cell r="AT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cell r="AT797">
            <v>0</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cell r="AT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cell r="AT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cell r="AT800">
            <v>0</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cell r="AT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cell r="AT802">
            <v>0</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cell r="AT803">
            <v>0</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cell r="AT804">
            <v>0</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cell r="AT805">
            <v>0</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cell r="AT806">
            <v>0</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cell r="AT807">
            <v>0</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cell r="AT808">
            <v>0</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cell r="AT809">
            <v>23</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cell r="AT810">
            <v>23</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cell r="AT811">
            <v>23</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cell r="AT812">
            <v>23</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cell r="AT813">
            <v>23</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cell r="AT814">
            <v>23</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cell r="AT815" t="str">
            <v>23</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cell r="AT816" t="str">
            <v>23</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cell r="AT817">
            <v>23</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cell r="AT818" t="str">
            <v>58</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cell r="AT819" t="str">
            <v>57</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cell r="AT820" t="str">
            <v>57</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cell r="AT821">
            <v>23</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cell r="AT822" t="str">
            <v>57</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cell r="AT823">
            <v>23</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cell r="AT824" t="str">
            <v>57</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cell r="AT825">
            <v>23</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cell r="AT826" t="str">
            <v>23</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cell r="AT827">
            <v>23</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cell r="AT828">
            <v>23</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cell r="AT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cell r="AT830">
            <v>23</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cell r="AT831" t="str">
            <v xml:space="preserve"> </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cell r="AT832">
            <v>23</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cell r="AT833" t="str">
            <v>35</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cell r="AT834" t="str">
            <v>25</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cell r="AT835">
            <v>23</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cell r="AT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cell r="AT837" t="str">
            <v>57</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cell r="AT838" t="str">
            <v>57</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cell r="AT839">
            <v>23</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cell r="AT840" t="str">
            <v>57</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cell r="AT841">
            <v>0</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cell r="AT842" t="str">
            <v>57</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cell r="AT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cell r="AT844" t="str">
            <v>23</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cell r="AT845" t="str">
            <v>23</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cell r="AT846">
            <v>23</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cell r="AT847" t="str">
            <v>23</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cell r="AT848" t="str">
            <v>23</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cell r="AT849" t="str">
            <v>23</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cell r="AT850" t="str">
            <v>57</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cell r="AT851" t="str">
            <v>57</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cell r="AT852">
            <v>0</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cell r="AT853" t="str">
            <v>34</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cell r="AT854" t="str">
            <v>34</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cell r="AT855" t="str">
            <v>23</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cell r="AT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cell r="AT857">
            <v>0</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cell r="AT858">
            <v>0</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cell r="AT859" t="str">
            <v>57</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cell r="AT860" t="str">
            <v>57</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cell r="AT861">
            <v>23</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cell r="AT862">
            <v>23</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cell r="AT863" t="str">
            <v>57</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cell r="AT864" t="str">
            <v>57</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cell r="AT865" t="str">
            <v>57</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cell r="AT866" t="str">
            <v>57</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cell r="AT867" t="str">
            <v>57</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cell r="AT868" t="str">
            <v>57</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cell r="AT869" t="str">
            <v>57</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cell r="AT870" t="str">
            <v>57</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cell r="AT871">
            <v>23</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cell r="AT872">
            <v>23</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cell r="AT873" t="str">
            <v>57</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cell r="AT874" t="str">
            <v>57</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cell r="AT875" t="str">
            <v>57</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cell r="AT876" t="str">
            <v>57</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cell r="AT877" t="str">
            <v>57</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cell r="AT878" t="str">
            <v>57</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cell r="AT879" t="str">
            <v>57</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cell r="AT880" t="str">
            <v>57</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cell r="AT881" t="str">
            <v>57</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cell r="AT882" t="str">
            <v>57</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cell r="AT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cell r="AT884" t="str">
            <v>57</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cell r="AT885" t="str">
            <v>57</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cell r="AT886" t="str">
            <v>57</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cell r="AT887">
            <v>23</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cell r="AT888" t="str">
            <v>57</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cell r="AT889" t="str">
            <v xml:space="preserve"> </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cell r="AT890" t="str">
            <v xml:space="preserve"> </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cell r="AT891" t="str">
            <v>23</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cell r="AT892" t="str">
            <v xml:space="preserve"> </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cell r="AT893" t="str">
            <v>23</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cell r="AT894" t="str">
            <v>57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cell r="AT895" t="str">
            <v>57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cell r="AT896" t="str">
            <v xml:space="preserve"> </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cell r="AT897" t="str">
            <v>57</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cell r="AT898" t="str">
            <v>57</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cell r="AT899" t="str">
            <v>57</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cell r="AT900" t="str">
            <v>57</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cell r="AT901" t="str">
            <v>57</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cell r="AT902" t="str">
            <v>57</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cell r="AT903" t="str">
            <v>57</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cell r="AT904" t="str">
            <v>57</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cell r="AT905" t="str">
            <v>57</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cell r="AT906" t="str">
            <v>23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cell r="AT907" t="str">
            <v>57</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cell r="AT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cell r="AT909">
            <v>0</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cell r="AT910" t="str">
            <v>57</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cell r="AT911">
            <v>0</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cell r="AT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cell r="AT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cell r="AT914" t="str">
            <v>23</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cell r="AT915" t="str">
            <v>23</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cell r="AT916" t="str">
            <v>23</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cell r="AT917" t="str">
            <v>23</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cell r="AT918" t="str">
            <v>57</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cell r="AT919" t="str">
            <v>57</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cell r="AT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cell r="AT921">
            <v>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cell r="AT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cell r="AT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cell r="AT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cell r="AT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cell r="AT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cell r="AT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cell r="AT928" t="str">
            <v>57</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cell r="AT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cell r="AT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cell r="AT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cell r="AT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cell r="AT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cell r="AT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cell r="AT935" t="str">
            <v>23</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cell r="AT936" t="str">
            <v>23</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cell r="AT937">
            <v>23</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cell r="AT938" t="str">
            <v>57</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cell r="AT939">
            <v>23</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cell r="AT940">
            <v>23</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cell r="AT941">
            <v>23</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cell r="AT942">
            <v>23</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cell r="AT943">
            <v>23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cell r="AT944" t="str">
            <v>57</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cell r="AT945" t="str">
            <v>23</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cell r="AT946" t="str">
            <v>23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cell r="AT947" t="str">
            <v>23</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cell r="AT948" t="str">
            <v>57</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cell r="AT949" t="str">
            <v>57</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cell r="AT950" t="str">
            <v>57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cell r="AT951" t="str">
            <v>57</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cell r="AT952" t="str">
            <v>57</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cell r="AT953" t="str">
            <v>57</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cell r="AT954" t="str">
            <v>57</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cell r="AT955">
            <v>0</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cell r="AT956">
            <v>0</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cell r="AT957">
            <v>0</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cell r="AT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cell r="AT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cell r="AT960">
            <v>0</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cell r="AT961">
            <v>0</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cell r="AT962">
            <v>0</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cell r="AT963">
            <v>0</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cell r="AT964">
            <v>0</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cell r="AT965">
            <v>0</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cell r="AT966">
            <v>0</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cell r="AT967">
            <v>0</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cell r="AT968">
            <v>0</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cell r="AT969">
            <v>0</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cell r="AT970" t="str">
            <v>57</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cell r="AT971" t="str">
            <v>57</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cell r="AT972" t="str">
            <v>57</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cell r="AT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cell r="AT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cell r="AT975" t="str">
            <v>23</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cell r="AT976" t="str">
            <v>35</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cell r="AT977" t="str">
            <v>23</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cell r="AT978" t="str">
            <v>35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cell r="AT979" t="str">
            <v>23</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cell r="AT980" t="str">
            <v>35</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cell r="AT981" t="str">
            <v>23</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cell r="AT982" t="str">
            <v>35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cell r="AT983" t="str">
            <v>23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cell r="AT984" t="str">
            <v>35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cell r="AT985" t="str">
            <v>23</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cell r="AT986" t="str">
            <v>35</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cell r="AT987" t="str">
            <v>23</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cell r="AT988" t="str">
            <v>23</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cell r="AT989" t="str">
            <v>57</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cell r="AT990" t="str">
            <v>57</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cell r="AT991" t="str">
            <v>23</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cell r="AT992" t="str">
            <v>23</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cell r="AT993" t="str">
            <v>35</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cell r="AT994" t="str">
            <v>23</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cell r="AT995" t="str">
            <v>23</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cell r="AT996" t="str">
            <v>23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cell r="AT997">
            <v>0</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cell r="AT998">
            <v>0</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cell r="AT999">
            <v>0</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cell r="AT1000">
            <v>0</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cell r="AT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cell r="AT1002">
            <v>0</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cell r="AT1003">
            <v>0</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cell r="AT1004">
            <v>0</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cell r="AT1005">
            <v>0</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cell r="AT1006">
            <v>0</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cell r="AT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cell r="AT1008">
            <v>0</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cell r="AT1009" t="str">
            <v>23</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cell r="AT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cell r="AT1011">
            <v>23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cell r="AT1012" t="str">
            <v>57</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cell r="AT1013" t="str">
            <v>23</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cell r="AT1014" t="str">
            <v>35</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cell r="AT1015" t="str">
            <v>23</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cell r="AT1016" t="str">
            <v>35</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cell r="AT1017" t="str">
            <v>23</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cell r="AT1018" t="str">
            <v>23</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cell r="AT1019" t="str">
            <v>57</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cell r="AT1020" t="str">
            <v>57</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cell r="AT1021">
            <v>0</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cell r="AT1022">
            <v>0</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cell r="AT1023" t="str">
            <v>60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cell r="AT1024" t="str">
            <v>60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cell r="AT1025" t="str">
            <v>60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cell r="AT1026" t="str">
            <v>57</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cell r="AT1027" t="str">
            <v>57</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cell r="AT1028" t="str">
            <v>57</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cell r="AT1029">
            <v>0</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cell r="AT1030">
            <v>0</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cell r="AT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cell r="AT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cell r="AT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cell r="AT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cell r="AT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cell r="AT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cell r="AT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cell r="AT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cell r="AT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cell r="AT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cell r="AT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cell r="AT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cell r="AT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cell r="AT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cell r="AT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cell r="AT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cell r="AT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cell r="AT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cell r="AT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cell r="AT1050">
            <v>0</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cell r="AT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cell r="AT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cell r="AT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cell r="AT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cell r="AT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cell r="AT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cell r="AT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cell r="AT1058" t="str">
            <v>57</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cell r="AT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cell r="AT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cell r="AT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cell r="AT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cell r="AT1063">
            <v>0</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cell r="AT1064">
            <v>0</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cell r="AT1065">
            <v>0</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cell r="AT1066">
            <v>0</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cell r="AT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cell r="AT1068" t="str">
            <v>53</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cell r="AT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cell r="AT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cell r="AT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cell r="AT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cell r="AT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cell r="AT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cell r="AT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cell r="AT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cell r="AT1077" t="str">
            <v>23</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cell r="AT1078">
            <v>11</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cell r="AT1079" t="str">
            <v>53</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cell r="AT1080" t="str">
            <v>53</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cell r="AT1081" t="str">
            <v>53</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cell r="AT1082" t="str">
            <v>53</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cell r="AT1083">
            <v>0</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cell r="AT1084" t="str">
            <v>57</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cell r="AT1085" t="str">
            <v>57</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cell r="AT1086" t="str">
            <v>57</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cell r="AT1087" t="str">
            <v>57</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cell r="AT1088" t="str">
            <v>57</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cell r="AT1089" t="str">
            <v>57</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cell r="AT1090" t="str">
            <v>57</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cell r="AT1091" t="str">
            <v>57</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cell r="AT1092" t="str">
            <v>57</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cell r="AT1093" t="str">
            <v>57</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cell r="AT1094" t="str">
            <v>57</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cell r="AT1095" t="str">
            <v>53</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cell r="AT1096" t="str">
            <v>57</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cell r="AT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cell r="AT1098">
            <v>11</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cell r="AT1099" t="str">
            <v>57</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cell r="AT1100" t="str">
            <v>11</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cell r="AT1101" t="str">
            <v>11</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cell r="AT1102" t="str">
            <v xml:space="preserve"> </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cell r="AT1103" t="str">
            <v>57</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cell r="AT1104" t="str">
            <v>57</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cell r="AT1105" t="str">
            <v>23</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cell r="AT1106" t="str">
            <v>57</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cell r="AT1107">
            <v>11</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cell r="AT1108" t="str">
            <v>23</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cell r="AT1109" t="str">
            <v>57</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cell r="AT1110" t="str">
            <v>57</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cell r="AT1111" t="str">
            <v>11</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cell r="AT1112" t="str">
            <v>23</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cell r="AT1113" t="str">
            <v>11</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cell r="AT1114" t="str">
            <v>23</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cell r="AT1115" t="str">
            <v>11</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cell r="AT1116" t="str">
            <v>23</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cell r="AT1117" t="str">
            <v>11</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cell r="AT1118" t="str">
            <v>57</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cell r="AT1119" t="str">
            <v>11</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cell r="AT1120" t="str">
            <v>23</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cell r="AT1121" t="str">
            <v>57</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cell r="AT1122" t="str">
            <v>57</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cell r="AT1123">
            <v>0</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cell r="AT1124" t="str">
            <v>57</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cell r="AT1125" t="str">
            <v>11</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cell r="AT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cell r="AT1127" t="str">
            <v>11</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cell r="AT1128" t="str">
            <v>23</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cell r="AT1129" t="str">
            <v>23</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cell r="AT1130" t="str">
            <v>57</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cell r="AT1131" t="str">
            <v>57</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cell r="AT1132" t="str">
            <v>57</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cell r="AT1133" t="str">
            <v>57</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cell r="AT1134" t="str">
            <v>23</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cell r="AT1135" t="str">
            <v>23</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cell r="AT1136" t="str">
            <v>57</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cell r="AT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cell r="AT1138" t="str">
            <v>57</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cell r="AT1139" t="str">
            <v>57</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cell r="AT1140" t="str">
            <v>56</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cell r="AT1141" t="str">
            <v>23</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cell r="AT1142" t="str">
            <v>23</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cell r="AT1143" t="str">
            <v>57</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cell r="AT1144" t="str">
            <v>57</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cell r="AT1145" t="str">
            <v>23</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cell r="AT1146" t="str">
            <v>5</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cell r="AT1147" t="str">
            <v>23</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cell r="AT1148" t="str">
            <v>23</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cell r="AT1149" t="str">
            <v>11</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cell r="AT1150" t="str">
            <v>57</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cell r="AT1151" t="str">
            <v>11</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cell r="AT1152" t="str">
            <v>57</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cell r="AT1153" t="str">
            <v>11</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cell r="AT1154" t="str">
            <v>23</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cell r="AT1155" t="str">
            <v>5</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cell r="AT1156" t="str">
            <v>23</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cell r="AT1157" t="str">
            <v>57</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cell r="AT1158" t="str">
            <v>23</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cell r="AT1159" t="str">
            <v>57</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cell r="AT1160">
            <v>11</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cell r="AT1161" t="str">
            <v>57</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cell r="AT1162" t="str">
            <v>4</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cell r="AT1163" t="str">
            <v>57</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cell r="AT1164" t="str">
            <v>57</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cell r="AT1165" t="str">
            <v>57</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cell r="AT1166" t="str">
            <v xml:space="preserve"> </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cell r="AT1167" t="str">
            <v xml:space="preserve"> </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cell r="AT1168">
            <v>0</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cell r="AT1169">
            <v>0</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cell r="AT1170" t="str">
            <v>23</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cell r="AT1171" t="str">
            <v>23</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cell r="AT1172" t="str">
            <v>23</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cell r="AT1173" t="str">
            <v>23</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cell r="AT1174">
            <v>11</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cell r="AT1175">
            <v>11</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cell r="AT1176" t="str">
            <v>23</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cell r="AT1177" t="str">
            <v>23</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cell r="AT1178" t="str">
            <v>56</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cell r="AT1179">
            <v>0</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cell r="AT1180">
            <v>5</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cell r="AT1181" t="str">
            <v>5</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cell r="AT1182" t="str">
            <v>5</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cell r="AT1183" t="str">
            <v>5</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cell r="AT1184">
            <v>0</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cell r="AT1185">
            <v>0</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cell r="AT1186">
            <v>11</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cell r="AT1187">
            <v>11</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cell r="AT1188" t="str">
            <v>5</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cell r="AT1189" t="str">
            <v>5</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cell r="AT1190">
            <v>0</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cell r="AT1191" t="str">
            <v xml:space="preserve"> </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cell r="AT1192" t="str">
            <v>5</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cell r="AT1193" t="str">
            <v>57</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cell r="AT1194" t="str">
            <v>57</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cell r="AT1195" t="str">
            <v>5</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cell r="AT1196" t="str">
            <v>5</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cell r="AT1197" t="str">
            <v>5</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cell r="AT1198" t="str">
            <v>5</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cell r="AT1199" t="str">
            <v>5</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cell r="AT1200" t="str">
            <v>5</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cell r="AT1201" t="str">
            <v>11</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cell r="AT1202" t="str">
            <v>23</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cell r="AT1203" t="str">
            <v>57</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cell r="AT1204" t="str">
            <v>57</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cell r="AT1205">
            <v>0</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cell r="AT1206">
            <v>0</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cell r="AT1207">
            <v>0</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cell r="AT1208" t="str">
            <v>5</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cell r="AT1209">
            <v>0</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cell r="AT1210">
            <v>0</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cell r="AT1211">
            <v>0</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cell r="AT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cell r="AT1213">
            <v>0</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cell r="AT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cell r="AT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cell r="AT1216">
            <v>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cell r="AT1217">
            <v>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cell r="AT1218">
            <v>0</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cell r="AT1219">
            <v>0</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cell r="AT1220">
            <v>0</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cell r="AT1221">
            <v>0</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cell r="AT1222">
            <v>0</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cell r="AT1223" t="str">
            <v>23</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cell r="AT1224">
            <v>0</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cell r="AT1225">
            <v>0</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cell r="AT1226">
            <v>0</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cell r="AT1227">
            <v>0</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cell r="AT1228">
            <v>0</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cell r="AT1229">
            <v>0</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cell r="AT1230">
            <v>0</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cell r="AT1231">
            <v>0</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cell r="AT1232">
            <v>0</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cell r="AT1233">
            <v>0</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cell r="AT1234" t="str">
            <v>57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cell r="AT1235" t="str">
            <v>57</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cell r="AT1236" t="str">
            <v>57</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cell r="AT1237">
            <v>0</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cell r="AT1238" t="str">
            <v>57</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cell r="AT1239">
            <v>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cell r="AT1240">
            <v>0</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cell r="AT1241" t="str">
            <v>57</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cell r="AT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cell r="AT1243" t="str">
            <v>57</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cell r="AT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cell r="AT1245">
            <v>0</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cell r="AT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cell r="AT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cell r="AT1248" t="str">
            <v>57</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cell r="AT1249" t="str">
            <v>57</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cell r="AT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cell r="AT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cell r="AT1252">
            <v>0</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cell r="AT1253" t="str">
            <v>57</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cell r="AT1254" t="str">
            <v>57</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cell r="AT1255" t="str">
            <v>57</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cell r="AT1256" t="str">
            <v>57</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cell r="AT1257">
            <v>0</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cell r="AT1258" t="str">
            <v>57</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cell r="AT1259">
            <v>0</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cell r="AT1260" t="str">
            <v>57</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cell r="AT1261">
            <v>0</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cell r="AT1262" t="str">
            <v>57</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cell r="AT1263" t="str">
            <v>57</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cell r="AT1264">
            <v>0</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cell r="AT1265" t="str">
            <v>57</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cell r="AT1266" t="str">
            <v>57</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cell r="AT1267">
            <v>0</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cell r="AT1268">
            <v>0</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cell r="AT1269">
            <v>0</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cell r="AT1270" t="str">
            <v>57</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cell r="AT1271" t="str">
            <v>57</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cell r="AT1272">
            <v>0</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cell r="AT1273">
            <v>0</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cell r="AT1274" t="str">
            <v>57</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cell r="AT1275" t="str">
            <v>57</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cell r="AT1276" t="str">
            <v>57</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cell r="AT1277" t="str">
            <v>57</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cell r="AT1278" t="str">
            <v>57</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cell r="AT1279" t="str">
            <v>57</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cell r="AT1280" t="str">
            <v>57</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cell r="AT1281" t="str">
            <v>57</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cell r="AT1282" t="str">
            <v>57</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cell r="AT1283" t="str">
            <v>57</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cell r="AT1284" t="str">
            <v>57</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cell r="AT1285">
            <v>0</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cell r="AT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cell r="AT1287" t="str">
            <v>57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cell r="AT1288" t="str">
            <v>57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cell r="AT1289" t="str">
            <v>57</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cell r="AT1290" t="str">
            <v>57</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cell r="AT1291" t="str">
            <v>57</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cell r="AT1292" t="str">
            <v>57</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cell r="AT1293" t="str">
            <v>57</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cell r="AT1294" t="str">
            <v>57</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cell r="AT1295" t="str">
            <v>57</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cell r="AT1296" t="str">
            <v>57</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cell r="AT1297" t="str">
            <v>57</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cell r="AT1298" t="str">
            <v>57</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cell r="AT1299" t="str">
            <v>57</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cell r="AT1300" t="str">
            <v>57</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cell r="AT1301" t="str">
            <v>57</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cell r="AT1302" t="str">
            <v>57</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cell r="AT1303" t="str">
            <v>57</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cell r="AT1304" t="str">
            <v>57</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cell r="AT1305" t="str">
            <v>57</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cell r="AT1306" t="str">
            <v>57</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cell r="AT1307" t="str">
            <v>57</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cell r="AT1308" t="str">
            <v>57</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cell r="AT1309" t="str">
            <v>57</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cell r="AT1310" t="str">
            <v>57</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cell r="AT1311" t="str">
            <v>57</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cell r="AT1312" t="str">
            <v>57</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cell r="AT1313" t="str">
            <v>57</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cell r="AT1314" t="str">
            <v>57</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cell r="AT1315" t="str">
            <v>57</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cell r="AT1316" t="str">
            <v>57</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cell r="AT1317" t="str">
            <v>57</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cell r="AT1318" t="str">
            <v>57</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cell r="AT1319" t="str">
            <v>57</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cell r="AT1320" t="str">
            <v>57</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cell r="AT1321" t="str">
            <v>57</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cell r="AT1322" t="str">
            <v>57</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cell r="AT1323" t="str">
            <v xml:space="preserve"> </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cell r="AT1324" t="str">
            <v xml:space="preserve"> </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cell r="AT1325" t="str">
            <v xml:space="preserve"> </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cell r="AT1326" t="str">
            <v xml:space="preserve"> </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cell r="AT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cell r="AT1328">
            <v>0</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cell r="AT1329">
            <v>0</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cell r="AT1330" t="str">
            <v>57</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cell r="AT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cell r="AT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cell r="AT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cell r="AT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cell r="AT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cell r="AT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cell r="AT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cell r="AT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cell r="AT1339">
            <v>0</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cell r="AT1340">
            <v>0</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cell r="AT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cell r="AT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cell r="AT1343">
            <v>0</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cell r="AT1344">
            <v>0</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cell r="AT1345">
            <v>0</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cell r="AT1346">
            <v>0</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cell r="AT1347" t="str">
            <v xml:space="preserve"> </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cell r="AT1348">
            <v>12</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cell r="AT1349">
            <v>12</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cell r="AT1350">
            <v>12</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cell r="AT1351">
            <v>12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cell r="AT1352">
            <v>12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cell r="AT1353">
            <v>12</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cell r="AT1354" t="str">
            <v>12</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cell r="AT1355" t="str">
            <v>12</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cell r="AT1356">
            <v>12</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cell r="AT1357">
            <v>12</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cell r="AT1358">
            <v>12</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cell r="AT1359">
            <v>12</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cell r="AT1360">
            <v>12</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cell r="AT1361">
            <v>12</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cell r="AT1362">
            <v>12</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cell r="AT1363">
            <v>12</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cell r="AT1364">
            <v>12</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cell r="AT1365">
            <v>12</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cell r="AT1366">
            <v>12</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cell r="AT1367">
            <v>12</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cell r="AT1368">
            <v>12</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cell r="AT1369">
            <v>12</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cell r="AT1370" t="str">
            <v>12</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cell r="AT1371" t="str">
            <v>12</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cell r="AT1372" t="str">
            <v>12</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cell r="AT1373" t="str">
            <v>12</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cell r="AT1374" t="str">
            <v>12</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cell r="AT1375" t="str">
            <v>12</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cell r="AT1376" t="str">
            <v>12</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cell r="AT1377" t="str">
            <v>12</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cell r="AT1378" t="str">
            <v>12</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cell r="AT1379" t="str">
            <v>12</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cell r="AT1380" t="str">
            <v>12</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cell r="AT1381" t="str">
            <v>12</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cell r="AT1382" t="str">
            <v>12</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cell r="AT1383" t="str">
            <v>12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cell r="AT1384">
            <v>0</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cell r="AT1385">
            <v>0</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cell r="AT1386" t="str">
            <v>58</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cell r="AT1387" t="str">
            <v>39</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cell r="AT1388" t="str">
            <v>58</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cell r="AT1389" t="str">
            <v>22</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cell r="AT1390" t="str">
            <v>58</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cell r="AT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cell r="AT1392" t="str">
            <v>58</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cell r="AT1393" t="str">
            <v>5</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cell r="AT1394">
            <v>22</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cell r="AT1395" t="str">
            <v>58</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cell r="AT1396" t="str">
            <v>5</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cell r="AT1397">
            <v>22</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cell r="AT1398" t="str">
            <v>58</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cell r="AT1399" t="str">
            <v>56</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cell r="AT1400">
            <v>22</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cell r="AT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cell r="AT1402" t="str">
            <v>58</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cell r="AT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cell r="AT1404" t="str">
            <v>58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cell r="AT1405" t="str">
            <v>58</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cell r="AT1406" t="str">
            <v>58</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cell r="AT1407" t="str">
            <v>58</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cell r="AT1408" t="str">
            <v>58</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cell r="AT1409">
            <v>0</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cell r="AT1410">
            <v>0</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cell r="AT1411">
            <v>0</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cell r="AT1412" t="str">
            <v>39</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cell r="AT1413">
            <v>22</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cell r="AT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cell r="AT1415">
            <v>0</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cell r="AT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cell r="AT1417" t="str">
            <v>58</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cell r="AT1418" t="str">
            <v>58</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cell r="AT1419" t="str">
            <v>58</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cell r="AT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cell r="AT1421" t="str">
            <v>22</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cell r="AT1422" t="str">
            <v>58</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cell r="AT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cell r="AT1424" t="str">
            <v>58</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cell r="AT1425" t="str">
            <v>58</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cell r="AT1426">
            <v>0</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cell r="AT1427" t="str">
            <v>58</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cell r="AT1428">
            <v>0</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cell r="AT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cell r="AT1430" t="str">
            <v>58</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cell r="AT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cell r="AT1432" t="str">
            <v>58</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cell r="AT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cell r="AT1434" t="str">
            <v>22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cell r="AT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cell r="AT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cell r="AT1437" t="str">
            <v>39</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cell r="AT1438" t="str">
            <v>58</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cell r="AT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cell r="AT1440" t="str">
            <v>58</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cell r="AT1441" t="str">
            <v>58</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cell r="AT1442" t="str">
            <v>58</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cell r="AT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cell r="AT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cell r="AT1445">
            <v>0</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cell r="AT1446">
            <v>0</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cell r="AT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cell r="AT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cell r="AT1449" t="str">
            <v>5</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cell r="AT1450" t="str">
            <v>58</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cell r="AT1451" t="str">
            <v>5</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cell r="AT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cell r="AT1453" t="str">
            <v>58</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cell r="AT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cell r="AT1455" t="str">
            <v>29</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cell r="AT1456" t="str">
            <v>22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cell r="AT1457" t="str">
            <v>58</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cell r="AT1458">
            <v>22</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cell r="AT1459" t="str">
            <v>58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cell r="AT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cell r="AT1461" t="str">
            <v>58</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cell r="AT1462">
            <v>0</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cell r="AT1463">
            <v>0</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cell r="AT1464" t="str">
            <v>58</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cell r="AT1465" t="str">
            <v>29</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cell r="AT1466" t="str">
            <v>58</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cell r="AT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cell r="AT1468" t="str">
            <v>22</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cell r="AT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cell r="AT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cell r="AT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cell r="AT1472">
            <v>22</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cell r="AT1473">
            <v>0</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cell r="AT1474" t="str">
            <v>28</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cell r="AT1475" t="str">
            <v>22</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cell r="AT1476">
            <v>0</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cell r="AT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cell r="AT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cell r="AT1479">
            <v>0</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cell r="AT1480" t="str">
            <v>28</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cell r="AT1481" t="str">
            <v>58</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cell r="AT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cell r="AT1483" t="str">
            <v>39</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cell r="AT1484" t="str">
            <v>58</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cell r="AT1485" t="str">
            <v>22</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cell r="AT1486" t="str">
            <v>58</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cell r="AT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cell r="AT1488" t="str">
            <v>58</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cell r="AT1489" t="str">
            <v>39</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cell r="AT1490" t="str">
            <v>22</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cell r="AT1491" t="str">
            <v>39</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cell r="AT1492" t="str">
            <v>22</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cell r="AT1493" t="str">
            <v>39</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cell r="AT1494" t="str">
            <v>22</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cell r="AT1495" t="str">
            <v>58</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cell r="AT1496" t="str">
            <v>22</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cell r="AT1497" t="str">
            <v>58</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cell r="AT1498" t="str">
            <v>58</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cell r="AT1499" t="str">
            <v>39</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cell r="AT1500" t="str">
            <v>22</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cell r="AT1501" t="str">
            <v>58</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cell r="AT1502" t="str">
            <v>39</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cell r="AT1503">
            <v>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cell r="AT1504">
            <v>0</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cell r="AT1505" t="str">
            <v>58</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cell r="AT1506" t="str">
            <v>58</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cell r="AT1507" t="str">
            <v>22</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cell r="AT1508">
            <v>0</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cell r="AT1509" t="str">
            <v>58</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cell r="AT1510" t="str">
            <v xml:space="preserve">58 </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cell r="AT1511" t="str">
            <v>22</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cell r="AT1512">
            <v>0</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cell r="AT1513">
            <v>0</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cell r="AT1514" t="str">
            <v>58</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cell r="AT1515" t="str">
            <v>58</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cell r="AT1516" t="str">
            <v xml:space="preserve"> </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cell r="AT1517" t="str">
            <v>22</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cell r="AT1518" t="str">
            <v>22</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cell r="AT1519" t="str">
            <v>22</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cell r="AT1520" t="str">
            <v>58</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cell r="AT1521" t="str">
            <v>58</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cell r="AT1522" t="str">
            <v>56</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cell r="AT1523" t="str">
            <v>58</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cell r="AT1524" t="str">
            <v>58</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cell r="AT1525" t="str">
            <v>58</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cell r="AT1526" t="str">
            <v>58</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cell r="AT1527" t="str">
            <v>58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cell r="AT1528" t="str">
            <v>29</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cell r="AT1529" t="str">
            <v>22</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cell r="AT1530" t="str">
            <v>25</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cell r="AT1531" t="str">
            <v>25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cell r="AT1532" t="str">
            <v>58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cell r="AT1533" t="str">
            <v>58</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cell r="AT1534" t="str">
            <v>23</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cell r="AT1535" t="str">
            <v>35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cell r="AT1536" t="str">
            <v>40</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cell r="AT1537" t="str">
            <v>40</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cell r="AT1538" t="str">
            <v>40</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cell r="AT1539" t="str">
            <v>40</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cell r="AT1540" t="str">
            <v>40</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cell r="AT1541" t="str">
            <v>40</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cell r="AT1542" t="str">
            <v>40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cell r="AT1543" t="str">
            <v>40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cell r="AT1544" t="str">
            <v>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cell r="AT1545">
            <v>2</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cell r="AT1546">
            <v>2</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cell r="AT1547" t="str">
            <v>55</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cell r="AT1548">
            <v>4</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cell r="AT1549">
            <v>4</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cell r="AT1550">
            <v>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cell r="AT1551">
            <v>4</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cell r="AT1552">
            <v>4</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cell r="AT1553" t="str">
            <v>57</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cell r="AT1554" t="str">
            <v>57</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cell r="AT1555" t="str">
            <v>57</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cell r="AT1556" t="str">
            <v>57</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cell r="AT1557" t="str">
            <v>55</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cell r="AT1558">
            <v>4</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cell r="AT1559">
            <v>4</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cell r="AT1560">
            <v>4</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cell r="AT1561">
            <v>4</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cell r="AT1562">
            <v>6</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cell r="AT1563">
            <v>6</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cell r="AT1564" t="str">
            <v>6</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cell r="AT1565">
            <v>6</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cell r="AT1566">
            <v>6</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cell r="AT1567">
            <v>6</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cell r="AT1568">
            <v>6</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cell r="AT1569">
            <v>6</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cell r="AT1570">
            <v>6</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cell r="AT1571">
            <v>6</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cell r="AT1572">
            <v>6</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cell r="AT1573" t="str">
            <v>56</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cell r="AT1574" t="str">
            <v>56</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cell r="AT1575">
            <v>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cell r="AT1576">
            <v>6</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cell r="AT1577">
            <v>6</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cell r="AT1578">
            <v>6</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cell r="AT1579">
            <v>6</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cell r="AT1580">
            <v>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cell r="AT1581">
            <v>6</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cell r="AT1582" t="str">
            <v>56</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cell r="AT1583" t="str">
            <v>56</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cell r="AT1584" t="str">
            <v>56</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cell r="AT1585" t="str">
            <v>56</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cell r="AT1586" t="str">
            <v>56</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cell r="AT1587" t="str">
            <v>56</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cell r="AT1588" t="str">
            <v>56</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cell r="AT1589" t="str">
            <v>5</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cell r="AT1590" t="str">
            <v>5</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cell r="AT1591" t="str">
            <v>5</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cell r="AT1592" t="str">
            <v>5</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cell r="AT1593" t="str">
            <v>5</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cell r="AT1594" t="str">
            <v>57</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cell r="AT1595" t="str">
            <v>57</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cell r="AT1596" t="str">
            <v>57</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cell r="AT1597" t="str">
            <v>57</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cell r="AT1598" t="str">
            <v>57</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cell r="AT1599" t="str">
            <v>57</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cell r="AT1600" t="str">
            <v>56</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cell r="AT1601" t="str">
            <v>56</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cell r="AT1602" t="str">
            <v>5</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cell r="AT1603" t="str">
            <v>5</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cell r="AT1604" t="str">
            <v>5</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cell r="AT1605">
            <v>8</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cell r="AT1606">
            <v>8</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cell r="AT1607">
            <v>8</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cell r="AT1608">
            <v>8</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cell r="AT1609">
            <v>8</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cell r="AT1610">
            <v>8</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cell r="AT1611">
            <v>8</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cell r="AT1612">
            <v>8</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cell r="AT1613">
            <v>8</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cell r="AT1614">
            <v>8</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cell r="AT1615">
            <v>8</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cell r="AT1616">
            <v>8</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cell r="AT1617">
            <v>8</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cell r="AT1618">
            <v>8</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cell r="AT1619">
            <v>8</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cell r="AT1620">
            <v>8</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cell r="AT1621">
            <v>8</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cell r="AT1622">
            <v>8</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cell r="AT1623">
            <v>8</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cell r="AT1624">
            <v>8</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cell r="AT1625">
            <v>8</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cell r="AT1626">
            <v>8</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cell r="AT1627">
            <v>8</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cell r="AT1628">
            <v>8</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cell r="AT1629">
            <v>8</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cell r="AT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cell r="AT1631">
            <v>8</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cell r="AT1632">
            <v>8</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cell r="AT1633">
            <v>8</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cell r="AT1634">
            <v>8</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cell r="AT1635">
            <v>8</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cell r="AT1636">
            <v>8</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cell r="AT1637">
            <v>8</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cell r="AT1638">
            <v>8</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cell r="AT1639">
            <v>8</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cell r="AT1640">
            <v>8</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cell r="AT1641">
            <v>8</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cell r="AT1642">
            <v>8</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cell r="AT1643">
            <v>8</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cell r="AT1644" t="str">
            <v>8</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cell r="AT1645" t="str">
            <v>8</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cell r="AT1646" t="str">
            <v>8</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cell r="AT1647">
            <v>8</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cell r="AT1648" t="str">
            <v>8</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cell r="AT1649" t="str">
            <v>8</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cell r="AT1650">
            <v>8</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cell r="AT1651">
            <v>8</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cell r="AT1652" t="str">
            <v>8</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cell r="AT1653" t="str">
            <v>8</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cell r="AT1654" t="str">
            <v>8</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cell r="AT1655" t="str">
            <v>8</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cell r="AT1656">
            <v>8</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cell r="AT1657" t="str">
            <v>8</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cell r="AT1658" t="str">
            <v>8</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cell r="AT1659" t="str">
            <v>8</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cell r="AT1660">
            <v>8</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cell r="AT1661">
            <v>8</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cell r="AT1662">
            <v>8</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cell r="AT1663">
            <v>8</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cell r="AT1664">
            <v>8</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cell r="AT1665">
            <v>8</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cell r="AT1666">
            <v>8</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cell r="AT1667">
            <v>8</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cell r="AT1668" t="str">
            <v>8</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cell r="AT1669" t="str">
            <v>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cell r="AT1670" t="str">
            <v>55</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cell r="AT1671" t="str">
            <v>55</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cell r="AT1672" t="str">
            <v>55</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cell r="AT1673" t="str">
            <v>55</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cell r="AT1674">
            <v>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cell r="AT1675">
            <v>0</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cell r="AT1676" t="str">
            <v>57</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cell r="AT1677" t="str">
            <v>57</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cell r="AT1678" t="str">
            <v>57</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cell r="AT1679">
            <v>0</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cell r="AT1680">
            <v>0</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cell r="AT1681">
            <v>0</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cell r="AT1682">
            <v>0</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cell r="AT1683">
            <v>0</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cell r="AT1684" t="str">
            <v>57</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cell r="AT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cell r="AT1686" t="str">
            <v>57</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cell r="AT1687" t="str">
            <v>57</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cell r="AT1688" t="str">
            <v>57</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cell r="AT1689">
            <v>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cell r="AT1690" t="str">
            <v>57</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cell r="AT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cell r="AT1692" t="str">
            <v>57</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cell r="AT1693" t="str">
            <v>57</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cell r="AT1694" t="str">
            <v>57</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cell r="AT1695" t="str">
            <v>57</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cell r="AT1696" t="str">
            <v>57</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cell r="AT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cell r="AT1698" t="str">
            <v>57</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cell r="AT1699">
            <v>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cell r="AT1700" t="str">
            <v>57</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cell r="AT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cell r="AT1702" t="str">
            <v>57</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cell r="AT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cell r="AT1704" t="str">
            <v>57</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cell r="AT1705">
            <v>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cell r="AT1706" t="str">
            <v>57</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cell r="AT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cell r="AT1708" t="str">
            <v>57</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cell r="AT1709" t="str">
            <v>56</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cell r="AT1710" t="str">
            <v>57</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cell r="AT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cell r="AT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cell r="AT1713" t="str">
            <v>57</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cell r="AT1714" t="str">
            <v>57</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cell r="AT1715">
            <v>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cell r="AT1716" t="str">
            <v>57</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cell r="AT1717" t="str">
            <v>57</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cell r="AT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cell r="AT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cell r="AT1720" t="str">
            <v>57</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cell r="AT1721" t="str">
            <v>57</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cell r="AT1722" t="str">
            <v>57</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cell r="AT1723" t="str">
            <v>56</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cell r="AT1724" t="str">
            <v>57</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cell r="AT1725" t="str">
            <v>57</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cell r="AT1726" t="str">
            <v>57</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cell r="AT1727" t="str">
            <v>57</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cell r="AT1728" t="str">
            <v>57</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cell r="AT1729" t="str">
            <v>56</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cell r="AT1730" t="str">
            <v>25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cell r="AT1731" t="str">
            <v>57</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cell r="AT1732" t="str">
            <v>25</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cell r="AT1733" t="str">
            <v>57</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cell r="AT1734" t="str">
            <v>57</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cell r="AT1735" t="str">
            <v>57</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cell r="AT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cell r="AT1737">
            <v>0</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cell r="AT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cell r="AT1739">
            <v>18</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cell r="AT1740">
            <v>18</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cell r="AT1741" t="str">
            <v>26</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cell r="AT1742" t="str">
            <v>26</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cell r="AT1743">
            <v>18</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cell r="AT1744" t="str">
            <v>26</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cell r="AT1745">
            <v>18</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cell r="AT1746">
            <v>18</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cell r="AT1747">
            <v>18</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cell r="AT1748">
            <v>26</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cell r="AT1749">
            <v>18</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cell r="AT1750">
            <v>18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cell r="AT1751">
            <v>18</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cell r="AT1752">
            <v>18</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cell r="AT1753">
            <v>18</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cell r="AT1754" t="str">
            <v>34</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cell r="AT1755">
            <v>18</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cell r="AT1756">
            <v>18</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cell r="AT1757">
            <v>34</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cell r="AT1758">
            <v>18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cell r="AT1759">
            <v>18</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cell r="AT1760">
            <v>18</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cell r="AT1761">
            <v>18</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cell r="AT1762">
            <v>18</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cell r="AT1763">
            <v>18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cell r="AT1764">
            <v>18</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cell r="AT1765" t="str">
            <v>34</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cell r="AT1766">
            <v>18</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cell r="AT1767">
            <v>18</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cell r="AT1768" t="str">
            <v>34</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cell r="AT1769" t="str">
            <v>34</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cell r="AT1770" t="str">
            <v>34</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cell r="AT1771">
            <v>18</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cell r="AT1772">
            <v>18</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cell r="AT1773">
            <v>18</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cell r="AT1774" t="str">
            <v>34</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cell r="AT1775">
            <v>34</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cell r="AT1776">
            <v>18</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cell r="AT1777">
            <v>34</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cell r="AT1778">
            <v>18</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cell r="AT1779">
            <v>18</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cell r="AT1780">
            <v>18</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cell r="AT1781" t="str">
            <v>34</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cell r="AT1782" t="str">
            <v>26</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cell r="AT1783">
            <v>18</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cell r="AT1784" t="str">
            <v>26</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cell r="AT1785" t="str">
            <v>18</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cell r="AT1786" t="str">
            <v>18</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cell r="AT1787">
            <v>9</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cell r="AT1788">
            <v>9</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cell r="AT1789">
            <v>9</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cell r="AT1790">
            <v>9</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cell r="AT1791">
            <v>9</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cell r="AT1792">
            <v>9</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cell r="AT1793">
            <v>9</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cell r="AT1794">
            <v>9</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cell r="AT1795">
            <v>9</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cell r="AT1796">
            <v>9</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cell r="AT1797" t="str">
            <v>9</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cell r="AT1798" t="str">
            <v>9</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cell r="AT1799" t="str">
            <v>9</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cell r="AT1800" t="str">
            <v>9</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cell r="AT1801">
            <v>0</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cell r="AT1802">
            <v>0</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cell r="AT1803">
            <v>0</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cell r="AT1804">
            <v>0</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cell r="AT1805">
            <v>0</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cell r="AT1806">
            <v>0</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cell r="AT1807">
            <v>0</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cell r="AT1808">
            <v>0</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cell r="AT1809">
            <v>0</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cell r="AT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cell r="AT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cell r="AT1812">
            <v>0</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cell r="AT1813">
            <v>0</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cell r="AT1814">
            <v>0</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cell r="AT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cell r="AT1816">
            <v>0</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cell r="AT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cell r="AT1818" t="str">
            <v>56</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cell r="AT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cell r="AT1820">
            <v>0</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cell r="AT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cell r="AT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cell r="AT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cell r="AT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cell r="AT1825">
            <v>0</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cell r="AT1826">
            <v>0</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cell r="AT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cell r="AT1828">
            <v>0</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cell r="AT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cell r="AT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cell r="AT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cell r="AT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cell r="AT1833">
            <v>0</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cell r="AT1834">
            <v>0</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cell r="AT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cell r="AT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cell r="AT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cell r="AT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cell r="AT1839" t="str">
            <v xml:space="preserve"> </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cell r="AT1840" t="str">
            <v>56</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cell r="AT1841" t="str">
            <v>56</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cell r="AT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cell r="AT1843">
            <v>0</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cell r="AT1844">
            <v>0</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cell r="AT1845">
            <v>0</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cell r="AT1846">
            <v>0</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cell r="AT1847">
            <v>0</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cell r="AT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cell r="AT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cell r="AT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cell r="AT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cell r="AT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cell r="AT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cell r="AT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cell r="AT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cell r="AT1856">
            <v>0</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cell r="AT1857">
            <v>0</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cell r="AT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cell r="AT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cell r="AT1860">
            <v>0</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cell r="AT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cell r="AT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cell r="AT1863">
            <v>0</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cell r="AT1864">
            <v>0</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cell r="AT1865">
            <v>0</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cell r="AT1866">
            <v>0</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cell r="AT1867">
            <v>0</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cell r="AT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cell r="AT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cell r="AT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cell r="AT1871">
            <v>0</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cell r="AT1872">
            <v>0</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cell r="AT1873">
            <v>0</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cell r="AT1874" t="str">
            <v>56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cell r="AT1875">
            <v>0</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cell r="AT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cell r="AT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cell r="AT1878">
            <v>0</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cell r="AT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cell r="AT1880">
            <v>0</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cell r="AT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cell r="AT1882">
            <v>0</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cell r="AT1883">
            <v>0</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cell r="AT1884">
            <v>0</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cell r="AT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cell r="AT1886">
            <v>0</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cell r="AT1887">
            <v>0</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cell r="AT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cell r="AT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cell r="AT1890">
            <v>0</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cell r="AT1891">
            <v>0</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cell r="AT1892">
            <v>0</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cell r="AT1893">
            <v>0</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cell r="AT1894">
            <v>0</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cell r="AT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cell r="AT1896">
            <v>0</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cell r="AT1897">
            <v>0</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cell r="AT1898">
            <v>0</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cell r="AT1899">
            <v>0</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cell r="AT1900">
            <v>0</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cell r="AT1901">
            <v>0</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cell r="AT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cell r="AT1903" t="str">
            <v>56</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cell r="AT1904">
            <v>0</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cell r="AT1905">
            <v>0</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cell r="AT1906">
            <v>0</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cell r="AT1907" t="str">
            <v>55</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cell r="AT1908" t="str">
            <v>9</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cell r="AT1909" t="str">
            <v>55</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cell r="AT1910" t="str">
            <v>55</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cell r="AT1911" t="str">
            <v>21.1</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cell r="AT1912">
            <v>21</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cell r="AT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cell r="AT1914">
            <v>21</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cell r="AT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cell r="AT1916" t="str">
            <v>38.1</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cell r="AT1917">
            <v>21</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cell r="AT1918">
            <v>21</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cell r="AT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cell r="AT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cell r="AT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cell r="AT1922">
            <v>0</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cell r="AT1923">
            <v>0</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cell r="AT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cell r="AT1925">
            <v>0</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cell r="AT1926" t="str">
            <v>55</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cell r="AT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cell r="AT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cell r="AT1929">
            <v>0</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cell r="AT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cell r="AT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cell r="AT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cell r="AT1933">
            <v>0</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cell r="AT1934">
            <v>0</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cell r="AT1935">
            <v>0</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cell r="AT1936">
            <v>0</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cell r="AT1937">
            <v>0</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cell r="AT1938">
            <v>0</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cell r="AT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cell r="AT1940">
            <v>0</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cell r="AT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cell r="AT1942">
            <v>0</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cell r="AT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cell r="AT1944">
            <v>0</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cell r="AT1945">
            <v>0</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cell r="AT1946">
            <v>0</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cell r="AT1947">
            <v>0</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cell r="AT1948">
            <v>0</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cell r="AT1949" t="str">
            <v xml:space="preserve"> </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cell r="AT1950">
            <v>0</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cell r="AT1951">
            <v>0</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cell r="AT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cell r="AT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cell r="AT1954">
            <v>0</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cell r="AT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cell r="AT1956">
            <v>0</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cell r="AT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cell r="AT1958">
            <v>0</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cell r="AT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cell r="AT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cell r="AT1961">
            <v>0</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cell r="AT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cell r="AT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cell r="AT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cell r="AT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cell r="AT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cell r="AT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cell r="AT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cell r="AT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cell r="AT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cell r="AT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cell r="AT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cell r="AT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cell r="AT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cell r="AT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cell r="AT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cell r="AT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cell r="AT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cell r="AT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cell r="AT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cell r="AT1981">
            <v>0</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cell r="AT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cell r="AT1983">
            <v>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cell r="AT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cell r="AT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cell r="AT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cell r="AT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cell r="AT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cell r="AT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cell r="AT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cell r="AT1991">
            <v>0</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cell r="AT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cell r="AT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cell r="AT1994" t="str">
            <v>57</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cell r="AT1995" t="str">
            <v>57</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cell r="AT1996" t="str">
            <v xml:space="preserve"> </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cell r="AT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cell r="AT1998">
            <v>0</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cell r="AT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cell r="AT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cell r="AT2001">
            <v>0</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cell r="AT2002" t="str">
            <v>23</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cell r="AT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cell r="AT2004">
            <v>0</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cell r="AT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cell r="AT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cell r="AT2007">
            <v>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cell r="AT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cell r="AT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cell r="AT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cell r="AT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cell r="AT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cell r="AT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cell r="AT2014">
            <v>0</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cell r="AT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cell r="AT2016" t="str">
            <v>57</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cell r="AT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cell r="AT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cell r="AT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cell r="AT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cell r="AT2021">
            <v>0</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cell r="AT2022">
            <v>0</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cell r="AT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cell r="AT2024">
            <v>0</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cell r="AT2025">
            <v>0</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cell r="AT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cell r="AT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cell r="AT2028">
            <v>0</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cell r="AT2029">
            <v>0</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cell r="AT2030">
            <v>0</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cell r="AT2031">
            <v>0</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cell r="AT2032">
            <v>0</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cell r="AT2033">
            <v>0</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cell r="AT2034">
            <v>0</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cell r="AT2035">
            <v>0</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cell r="AT2036">
            <v>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cell r="AT2037">
            <v>0</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cell r="AT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cell r="AT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cell r="AT2040">
            <v>0</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cell r="AT2041">
            <v>0</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cell r="AT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cell r="AT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cell r="AT2044">
            <v>0</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cell r="AT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cell r="AT2046">
            <v>0</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cell r="AT2047">
            <v>0</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cell r="AT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cell r="AT2049" t="str">
            <v>56</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cell r="AT2050">
            <v>0</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cell r="AT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cell r="AT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cell r="AT2053" t="str">
            <v>56</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cell r="AT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cell r="AT2055" t="str">
            <v>56</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cell r="AT2056" t="str">
            <v>56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cell r="AT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cell r="AT2058">
            <v>0</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cell r="AT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cell r="AT2060" t="str">
            <v xml:space="preserve"> </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cell r="AT2061" t="str">
            <v>56</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cell r="AT2062" t="str">
            <v>56</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cell r="AT2063">
            <v>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cell r="AT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cell r="AT2065" t="str">
            <v>56</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cell r="AT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cell r="AT2067" t="str">
            <v>56</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cell r="AT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cell r="AT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cell r="AT2070">
            <v>0</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cell r="AT2071" t="str">
            <v>57</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cell r="AT2072">
            <v>0</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cell r="AT2073">
            <v>0</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cell r="AT2074">
            <v>0</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cell r="AT2075">
            <v>0</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cell r="AT2076">
            <v>0</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cell r="AT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cell r="AT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cell r="AT2079" t="str">
            <v xml:space="preserve"> </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cell r="AT2080">
            <v>0</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cell r="AT2081" t="str">
            <v>57</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cell r="AT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cell r="AT2083">
            <v>0</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cell r="AT2084" t="str">
            <v>56</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cell r="AT2085">
            <v>0</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cell r="AT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cell r="AT2087" t="str">
            <v>56</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cell r="AT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cell r="AT2089">
            <v>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cell r="AT2090">
            <v>0</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cell r="AT2091">
            <v>0</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cell r="AT2092">
            <v>0</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cell r="AT2093">
            <v>0</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cell r="AT2094" t="str">
            <v>56</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cell r="AT2095">
            <v>0</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cell r="AT2096" t="str">
            <v>56</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cell r="AT2097">
            <v>0</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cell r="AT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cell r="AT2099" t="str">
            <v>57</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cell r="AT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cell r="AT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cell r="AT2102" t="str">
            <v>56</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cell r="AT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cell r="AT2104" t="str">
            <v>57</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cell r="AT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cell r="AT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cell r="AT2107">
            <v>0</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cell r="AT2108">
            <v>0</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cell r="AT2109">
            <v>0</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cell r="AT2110">
            <v>0</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cell r="AT2111">
            <v>0</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cell r="AT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cell r="AT2113">
            <v>0</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cell r="AT2114">
            <v>0</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cell r="AT2115">
            <v>0</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cell r="AT2116">
            <v>0</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cell r="AT2117">
            <v>0</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cell r="AT2118">
            <v>0</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cell r="AT2119">
            <v>0</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cell r="AT2120">
            <v>0</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cell r="AT2121">
            <v>0</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cell r="AT2122">
            <v>0</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cell r="AT2123">
            <v>0</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cell r="AT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cell r="AT2125">
            <v>0</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cell r="AT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cell r="AT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cell r="AT2128">
            <v>0</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cell r="AT2129">
            <v>0</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cell r="AT2130" t="str">
            <v>56</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cell r="AT2131" t="str">
            <v>57</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cell r="AT2132" t="str">
            <v>57</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cell r="AT2133" t="str">
            <v>56</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cell r="AT2134" t="str">
            <v>56</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cell r="AT2135" t="str">
            <v>55</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cell r="AT2136" t="str">
            <v>56</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cell r="AT2137" t="str">
            <v>56</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cell r="AT2138" t="str">
            <v>56</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cell r="AT2139" t="str">
            <v>56</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cell r="AT2140" t="str">
            <v>56</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cell r="AT2141" t="str">
            <v>56</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cell r="AT2142" t="str">
            <v>56</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cell r="AT2143" t="str">
            <v>56</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cell r="AT2144" t="str">
            <v>56</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cell r="AT2145" t="str">
            <v>56</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cell r="AT2146" t="str">
            <v>56</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cell r="AT2147" t="str">
            <v>56</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cell r="AT2148" t="str">
            <v>56</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cell r="AT2149" t="str">
            <v>56</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cell r="AT2150" t="str">
            <v>56</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cell r="AT2151" t="str">
            <v>56</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cell r="AT2152" t="str">
            <v>56</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cell r="AT2153" t="str">
            <v>56</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cell r="AT2154" t="str">
            <v>56</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cell r="AT2155" t="str">
            <v>56</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cell r="AT2156" t="str">
            <v>56</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cell r="AT2157" t="str">
            <v>56</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cell r="AT2158" t="str">
            <v>56</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cell r="AT2159" t="str">
            <v>56</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cell r="AT2160" t="str">
            <v>56</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cell r="AT2161" t="str">
            <v>56</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cell r="AT2162" t="str">
            <v>56</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cell r="AT2163" t="str">
            <v>20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cell r="AT2164" t="str">
            <v>38</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cell r="AT2165" t="str">
            <v>38</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cell r="AT2166" t="str">
            <v>38</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cell r="AT2167">
            <v>20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cell r="AT2168">
            <v>20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cell r="AT2169" t="str">
            <v>38</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cell r="AT2170" t="str">
            <v>38</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cell r="AT2171">
            <v>20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cell r="AT2172" t="str">
            <v>38</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cell r="AT2173" t="str">
            <v>20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cell r="AT2174" t="str">
            <v>38</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cell r="AT2175">
            <v>20</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cell r="AT2176">
            <v>20</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cell r="AT2177">
            <v>20</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cell r="AT2178">
            <v>20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cell r="AT2179" t="str">
            <v>20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cell r="AT2180" t="str">
            <v>38</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cell r="AT2181" t="str">
            <v>20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cell r="AT2182" t="str">
            <v>38</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cell r="AT2183" t="str">
            <v>38</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cell r="AT2184" t="str">
            <v>38</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cell r="AT2185" t="str">
            <v>38</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cell r="AT2186" t="str">
            <v>38</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cell r="AT2187">
            <v>0</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cell r="AT2188" t="str">
            <v>38</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cell r="AT2189">
            <v>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cell r="AT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cell r="AT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cell r="AT2192">
            <v>0</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cell r="AT2193" t="str">
            <v>53</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cell r="AT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cell r="AT2195" t="str">
            <v>57</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cell r="AT2196" t="str">
            <v>23</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cell r="AT2197">
            <v>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cell r="AT2198" t="str">
            <v>57</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cell r="AT2199" t="str">
            <v>57</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cell r="AT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cell r="AT2201">
            <v>0</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cell r="AT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cell r="AT2203">
            <v>0</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cell r="AT2204">
            <v>0</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cell r="AT2205">
            <v>0</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cell r="AT2206" t="str">
            <v>23</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cell r="AT2207" t="str">
            <v>57</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cell r="AT2208" t="str">
            <v>23</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cell r="AT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cell r="AT2210" t="str">
            <v>57</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cell r="AT2211" t="str">
            <v>57</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cell r="AT2212" t="str">
            <v>35</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cell r="AT2213" t="str">
            <v>57</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cell r="AT2214" t="str">
            <v>57</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cell r="AT2215" t="str">
            <v>57</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cell r="AT2216" t="str">
            <v>57</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cell r="AT2217" t="str">
            <v>57</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cell r="AT2218" t="str">
            <v>57</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cell r="AT2219" t="str">
            <v>57</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cell r="AT2220" t="str">
            <v>57</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cell r="AT2221" t="str">
            <v>23</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cell r="AT2222" t="str">
            <v>57</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cell r="AT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cell r="AT2224">
            <v>0</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cell r="AT2225" t="str">
            <v>57</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cell r="AT2226">
            <v>0</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cell r="AT2227">
            <v>0</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cell r="AT2228" t="str">
            <v>26</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cell r="AT2229" t="str">
            <v>26</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cell r="AT2230">
            <v>0</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cell r="AT2231" t="str">
            <v>57</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cell r="AT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cell r="AT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cell r="AT2234" t="str">
            <v>26</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cell r="AT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cell r="AT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cell r="AT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cell r="AT2238" t="str">
            <v>26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cell r="AT2239">
            <v>0</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cell r="AT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cell r="AT2241">
            <v>0</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cell r="AT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cell r="AT2243" t="str">
            <v>57</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cell r="AT2244" t="str">
            <v>23</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cell r="AT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cell r="AT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cell r="AT2247">
            <v>0</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cell r="AT2248" t="str">
            <v>57</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cell r="AT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cell r="AT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cell r="AT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cell r="AT2252">
            <v>0</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cell r="AT2253">
            <v>0</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cell r="AT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cell r="AT2255">
            <v>0</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cell r="AT2256">
            <v>0</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cell r="AT2257" t="str">
            <v>57</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cell r="AT2258" t="str">
            <v>23</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cell r="AT2259" t="str">
            <v>57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cell r="AT2260" t="str">
            <v>57</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cell r="AT2261" t="str">
            <v>57</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cell r="AT2262" t="str">
            <v>57</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cell r="AT2263" t="str">
            <v>57</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cell r="AT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cell r="AT2265" t="str">
            <v>57</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cell r="AT2266" t="str">
            <v>57</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cell r="AT2267" t="str">
            <v>23</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cell r="AT2268" t="str">
            <v>26</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cell r="AT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cell r="AT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cell r="AT2271">
            <v>0</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cell r="AT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cell r="AT2273">
            <v>0</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cell r="AT2274" t="str">
            <v>57</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cell r="AT2275" t="str">
            <v>57</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cell r="AT2276">
            <v>0</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cell r="AT2277" t="str">
            <v>23</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cell r="AT2278" t="str">
            <v>23</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cell r="AT2279" t="str">
            <v>23</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cell r="AT2280" t="str">
            <v>57</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cell r="AT2281" t="str">
            <v>57</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cell r="AT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cell r="AT2283" t="str">
            <v>23</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cell r="AT2284" t="str">
            <v>23</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cell r="AT2285" t="str">
            <v>23</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cell r="AT2286" t="str">
            <v>23</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cell r="AT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cell r="AT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cell r="AT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cell r="AT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cell r="AT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cell r="AT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cell r="AT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cell r="AT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cell r="AT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cell r="AT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cell r="AT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cell r="AT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cell r="AT2299">
            <v>0</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cell r="AT2300" t="str">
            <v>20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cell r="AT2301" t="str">
            <v>23</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cell r="AT2302" t="str">
            <v>57</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cell r="AT2303" t="str">
            <v>57</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cell r="AT2304" t="str">
            <v>26</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cell r="AT2305" t="str">
            <v>26</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cell r="AT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cell r="AT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cell r="AT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cell r="AT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cell r="AT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cell r="AT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cell r="AT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cell r="AT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cell r="AT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cell r="AT2315" t="str">
            <v>57</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cell r="AT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cell r="AT2317" t="str">
            <v>23</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cell r="AT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cell r="AT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cell r="AT2320">
            <v>0</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cell r="AT2321">
            <v>0</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cell r="AT2322" t="str">
            <v>56</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cell r="AT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cell r="AT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cell r="AT2325">
            <v>0</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cell r="AT2326" t="str">
            <v>57</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cell r="AT2327">
            <v>0</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cell r="AT2328">
            <v>0</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cell r="AT2329" t="str">
            <v>20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cell r="AT2330">
            <v>23</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cell r="AT2331" t="str">
            <v>57</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cell r="AT2332">
            <v>23</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cell r="AT2333" t="str">
            <v>57</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cell r="AT2334">
            <v>23</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cell r="AT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cell r="AT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cell r="AT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cell r="AT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cell r="AT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cell r="AT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cell r="AT2341">
            <v>0</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cell r="AT2342">
            <v>0</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cell r="AT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cell r="AT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cell r="AT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cell r="AT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cell r="AT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cell r="AT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cell r="AT2349" t="str">
            <v>23</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cell r="AT2350">
            <v>0</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cell r="AT2351">
            <v>0</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cell r="AT2352" t="str">
            <v>23</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cell r="AT2353" t="str">
            <v>23</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cell r="AT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cell r="AT2355" t="str">
            <v>23</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cell r="AT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cell r="AT2357" t="str">
            <v>23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cell r="AT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cell r="AT2359" t="str">
            <v>23</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cell r="AT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cell r="AT2361" t="str">
            <v>23</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cell r="AT2362" t="str">
            <v>23</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cell r="AT2363" t="str">
            <v>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cell r="AT2364" t="str">
            <v>23</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cell r="AT2365" t="str">
            <v>23</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cell r="AT2366" t="str">
            <v>23</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cell r="AT2367" t="str">
            <v>23</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cell r="AT2368" t="str">
            <v>23</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cell r="AT2369" t="str">
            <v>56</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cell r="AT2370" t="str">
            <v>56</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cell r="AT2371" t="str">
            <v>23</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cell r="AT2372" t="str">
            <v>35</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cell r="AT2373" t="str">
            <v>23</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cell r="AT2374" t="str">
            <v>35</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cell r="AT2375" t="str">
            <v>23</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cell r="AT2376" t="str">
            <v>35</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cell r="AT2377" t="str">
            <v>23</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cell r="AT2378" t="str">
            <v>35</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cell r="AT2379" t="str">
            <v>23</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cell r="AT2380" t="str">
            <v>23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cell r="AT2381" t="str">
            <v>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cell r="AT2382" t="str">
            <v>23</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cell r="AT2383" t="str">
            <v>35</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cell r="AT2384" t="str">
            <v>23</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cell r="AT2385" t="str">
            <v>57</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cell r="AT2386" t="str">
            <v>57</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cell r="AT2387" t="str">
            <v>23</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cell r="AT2388" t="str">
            <v>23</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cell r="AT2389" t="str">
            <v>23</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cell r="AT2390" t="str">
            <v>23</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cell r="AT2391" t="str">
            <v>25</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cell r="AT2392" t="str">
            <v>25</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cell r="AT2393" t="str">
            <v>57</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cell r="AT2394" t="str">
            <v>23</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cell r="AT2395">
            <v>0</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cell r="AT2396">
            <v>0</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cell r="AT2397">
            <v>0</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cell r="AT2398">
            <v>0</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cell r="AT2399">
            <v>0</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cell r="AT2400">
            <v>0</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cell r="AT2401">
            <v>0</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cell r="AT2402">
            <v>0</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cell r="AT2403">
            <v>0</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cell r="AT2404">
            <v>0</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cell r="AT2405">
            <v>0</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cell r="AT2406">
            <v>0</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cell r="AT2407">
            <v>0</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cell r="AT2408">
            <v>0</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cell r="AT2409">
            <v>0</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cell r="AT2410">
            <v>0</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cell r="AT2411">
            <v>10</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cell r="AT2412">
            <v>10</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cell r="AT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cell r="AT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cell r="AT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cell r="AT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cell r="AT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cell r="AT2418">
            <v>0</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cell r="AT2419">
            <v>0</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cell r="AT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cell r="AT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cell r="AT2422">
            <v>0</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cell r="AT2423">
            <v>0</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cell r="AT2424">
            <v>0</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cell r="AT2425">
            <v>0</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cell r="AT2426">
            <v>12</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cell r="AT2427">
            <v>12</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cell r="AT2428">
            <v>12</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cell r="AT2429" t="str">
            <v>12</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cell r="AT2430" t="str">
            <v>39</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cell r="AT2431" t="str">
            <v>28</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cell r="AT2432" t="str">
            <v>39</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cell r="AT2433">
            <v>22</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cell r="AT2434">
            <v>22</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cell r="AT2435">
            <v>22</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cell r="AT2436">
            <v>22</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cell r="AT2437">
            <v>22</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cell r="AT2438" t="str">
            <v>39</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cell r="AT2439">
            <v>22</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cell r="AT2440" t="str">
            <v>39</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cell r="AT2441">
            <v>22</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cell r="AT2442" t="str">
            <v>22</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cell r="AT2443">
            <v>22</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cell r="AT2444" t="str">
            <v>58</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cell r="AT2445" t="str">
            <v>28</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cell r="AT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cell r="AT2447" t="str">
            <v>58</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cell r="AT2448" t="str">
            <v>28</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cell r="AT2449" t="str">
            <v>58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cell r="AT2450" t="str">
            <v>58</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cell r="AT2451" t="str">
            <v>58</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cell r="AT2452" t="str">
            <v>58</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cell r="AT2453" t="str">
            <v>58</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cell r="AT2454" t="str">
            <v>5</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cell r="AT2455" t="str">
            <v>58</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cell r="AT2456" t="str">
            <v>58</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cell r="AT2457" t="str">
            <v>5</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cell r="AT2458" t="str">
            <v>58</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cell r="AT2459" t="str">
            <v>58</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cell r="AT2460" t="str">
            <v>58</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cell r="AT2461" t="str">
            <v>58</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cell r="AT2462" t="str">
            <v>22</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cell r="AT2463" t="str">
            <v>58</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cell r="AT2464" t="str">
            <v>22</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cell r="AT2465" t="str">
            <v>58</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cell r="AT2466">
            <v>0</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cell r="AT2467" t="str">
            <v>58</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cell r="AT2468" t="str">
            <v>58</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cell r="AT2469" t="str">
            <v>58</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cell r="AT2470" t="str">
            <v>58</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cell r="AT2471" t="str">
            <v>58</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cell r="AT2472" t="str">
            <v>58</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cell r="AT2473" t="str">
            <v>58</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cell r="AT2474" t="str">
            <v>58</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cell r="AT2475" t="str">
            <v>58</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cell r="AT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cell r="AT2477" t="str">
            <v>58</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cell r="AT2478" t="str">
            <v>58</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cell r="AT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cell r="AT2480" t="str">
            <v>58</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cell r="AT2481" t="str">
            <v>28</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cell r="AT2482" t="str">
            <v>58</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cell r="AT2483">
            <v>0</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cell r="AT2484">
            <v>0</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cell r="AT2485" t="str">
            <v>22</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cell r="AT2486" t="str">
            <v>58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cell r="AT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cell r="AT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cell r="AT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cell r="AT2490" t="str">
            <v>58</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cell r="AT2491">
            <v>22</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cell r="AT2492" t="str">
            <v>58</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cell r="AT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cell r="AT2494">
            <v>0</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cell r="AT2495" t="str">
            <v>58</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cell r="AT2496" t="str">
            <v>58</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cell r="AT2497">
            <v>22</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cell r="AT2498" t="str">
            <v>58</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cell r="AT2499" t="str">
            <v>58</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cell r="AT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cell r="AT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cell r="AT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cell r="AT2503">
            <v>22</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cell r="AT2504">
            <v>0</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cell r="AT2505" t="str">
            <v>39</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cell r="AT2506">
            <v>22</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cell r="AT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cell r="AT2508">
            <v>22</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cell r="AT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cell r="AT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cell r="AT2511" t="str">
            <v>58</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cell r="AT2512" t="str">
            <v>28</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cell r="AT2513" t="str">
            <v>5</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cell r="AT2514" t="str">
            <v>22</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cell r="AT2515" t="str">
            <v>28</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cell r="AT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cell r="AT2517">
            <v>22</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cell r="AT2518">
            <v>22</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cell r="AT2519" t="str">
            <v>22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cell r="AT2520" t="str">
            <v>22</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cell r="AT2521" t="str">
            <v>58</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cell r="AT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cell r="AT2523">
            <v>22</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cell r="AT2524">
            <v>22</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cell r="AT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cell r="AT2526">
            <v>22</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cell r="AT2527">
            <v>22</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cell r="AT2528" t="str">
            <v>22</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cell r="AT2529" t="str">
            <v>22</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cell r="AT2530" t="str">
            <v>22</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cell r="AT2531" t="str">
            <v>22</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cell r="AT2532" t="str">
            <v>22</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cell r="AT2533" t="str">
            <v>58</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cell r="AT2534" t="str">
            <v>22</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cell r="AT2535" t="str">
            <v>22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cell r="AT2536" t="str">
            <v>22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cell r="AT2537" t="str">
            <v>22</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cell r="AT2538" t="str">
            <v>57</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cell r="AT2539" t="str">
            <v>22</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cell r="AT2540" t="str">
            <v>39</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cell r="AT2541" t="str">
            <v>22</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cell r="AT2542" t="str">
            <v>39</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cell r="AT2543" t="str">
            <v>22</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cell r="AT2544" t="str">
            <v>39</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cell r="AT2545" t="str">
            <v>22</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cell r="AT2546" t="str">
            <v>39</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cell r="AT2547">
            <v>0</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cell r="AT2548" t="str">
            <v>39</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cell r="AT2549">
            <v>0</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cell r="AT2550" t="str">
            <v>22</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cell r="AT2551" t="str">
            <v>22</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cell r="AT2552">
            <v>0</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cell r="AT2553" t="str">
            <v>1</v>
          </cell>
        </row>
        <row r="2554">
          <cell r="N2554">
            <v>0</v>
          </cell>
          <cell r="P2554">
            <v>-1.9073486328125E-5</v>
          </cell>
          <cell r="AH2554">
            <v>3.9736429850260419E-6</v>
          </cell>
          <cell r="AP2554">
            <v>1.71661376953125E-5</v>
          </cell>
          <cell r="AT2554">
            <v>0</v>
          </cell>
        </row>
        <row r="2555">
          <cell r="N2555">
            <v>11215491565</v>
          </cell>
          <cell r="P2555">
            <v>0</v>
          </cell>
        </row>
        <row r="2556">
          <cell r="N2556">
            <v>-0.45999526977539063</v>
          </cell>
          <cell r="P2556">
            <v>0</v>
          </cell>
        </row>
        <row r="2558">
          <cell r="AT2558" t="str">
            <v>Merch Inv</v>
          </cell>
        </row>
        <row r="2559">
          <cell r="AT2559">
            <v>0</v>
          </cell>
        </row>
        <row r="2560">
          <cell r="AT2560">
            <v>0</v>
          </cell>
        </row>
        <row r="2561">
          <cell r="AT2561" t="str">
            <v>Adjusted Check Total s/b Zero</v>
          </cell>
        </row>
        <row r="2562">
          <cell r="AT2562" t="str">
            <v>Avg</v>
          </cell>
        </row>
        <row r="2563">
          <cell r="AT2563" t="str">
            <v>Op</v>
          </cell>
        </row>
        <row r="2564">
          <cell r="AT2564" t="str">
            <v>Non-Op</v>
          </cell>
        </row>
        <row r="2568">
          <cell r="AT2568">
            <v>0</v>
          </cell>
        </row>
        <row r="2569">
          <cell r="AT2569">
            <v>0</v>
          </cell>
        </row>
        <row r="2570">
          <cell r="AT2570">
            <v>0</v>
          </cell>
        </row>
        <row r="2571">
          <cell r="AT2571">
            <v>0</v>
          </cell>
        </row>
        <row r="2572">
          <cell r="AT2572">
            <v>0</v>
          </cell>
        </row>
        <row r="2573">
          <cell r="AT2573">
            <v>0</v>
          </cell>
        </row>
        <row r="2574">
          <cell r="AT2574">
            <v>0</v>
          </cell>
        </row>
        <row r="2575">
          <cell r="AT2575">
            <v>0</v>
          </cell>
        </row>
        <row r="2576">
          <cell r="AT2576">
            <v>0</v>
          </cell>
        </row>
        <row r="2944">
          <cell r="AT2944">
            <v>0</v>
          </cell>
        </row>
        <row r="2945">
          <cell r="AT2945">
            <v>0</v>
          </cell>
        </row>
        <row r="2946">
          <cell r="AT2946">
            <v>0</v>
          </cell>
        </row>
        <row r="2947">
          <cell r="AT2947">
            <v>0</v>
          </cell>
        </row>
        <row r="2948">
          <cell r="AT2948">
            <v>0</v>
          </cell>
        </row>
        <row r="2949">
          <cell r="AT2949">
            <v>0</v>
          </cell>
        </row>
        <row r="2950">
          <cell r="AT2950">
            <v>0</v>
          </cell>
        </row>
        <row r="3018">
          <cell r="AT3018">
            <v>0</v>
          </cell>
        </row>
        <row r="3025">
          <cell r="AT3025">
            <v>0</v>
          </cell>
        </row>
        <row r="3026">
          <cell r="AT3026">
            <v>0</v>
          </cell>
        </row>
        <row r="3027">
          <cell r="AT3027">
            <v>0</v>
          </cell>
        </row>
        <row r="3028">
          <cell r="AT3028">
            <v>0</v>
          </cell>
        </row>
        <row r="3029">
          <cell r="AT3029">
            <v>0</v>
          </cell>
        </row>
        <row r="3030">
          <cell r="AT3030">
            <v>0</v>
          </cell>
        </row>
        <row r="3031">
          <cell r="AT3031">
            <v>0</v>
          </cell>
        </row>
        <row r="3032">
          <cell r="AT3032">
            <v>0</v>
          </cell>
        </row>
        <row r="3033">
          <cell r="AT3033">
            <v>0</v>
          </cell>
        </row>
        <row r="3034">
          <cell r="AT3034">
            <v>0</v>
          </cell>
        </row>
        <row r="3035">
          <cell r="AT3035">
            <v>0</v>
          </cell>
        </row>
        <row r="3036">
          <cell r="AT3036">
            <v>0</v>
          </cell>
        </row>
        <row r="3037">
          <cell r="AT3037">
            <v>0</v>
          </cell>
        </row>
        <row r="3493">
          <cell r="AT3493">
            <v>0</v>
          </cell>
        </row>
        <row r="3494">
          <cell r="AT349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11">
          <cell r="C11">
            <v>3</v>
          </cell>
        </row>
        <row r="29">
          <cell r="F29">
            <v>7.8399999999999997E-2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refreshError="1"/>
      <sheetData sheetId="1" refreshError="1"/>
      <sheetData sheetId="2" refreshError="1"/>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row>
        <row r="22">
          <cell r="B22" t="str">
            <v>27</v>
          </cell>
          <cell r="G22">
            <v>1931963666</v>
          </cell>
        </row>
        <row r="23">
          <cell r="B23" t="str">
            <v>36</v>
          </cell>
          <cell r="G23">
            <v>70121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es &amp; 3.01-3.18 &amp; 4.01"/>
      <sheetName val="1.01 ROR ROE"/>
      <sheetName val="1.02 COC"/>
      <sheetName val="Electric Earnings Sharing"/>
      <sheetName val="Restating Print Macros"/>
      <sheetName val="Module13"/>
      <sheetName val="Module14"/>
      <sheetName val="Module15"/>
      <sheetName val="Module1"/>
    </sheetNames>
    <sheetDataSet>
      <sheetData sheetId="0">
        <row r="4">
          <cell r="A4" t="str">
            <v>PUGET SOUND ENERGY-ELECTRIC</v>
          </cell>
        </row>
        <row r="6">
          <cell r="A6" t="str">
            <v>FOR THE TWELVE MONTHS ENDED DECEMBER 31, 2017</v>
          </cell>
        </row>
        <row r="7">
          <cell r="A7" t="str">
            <v>COMMISSION BASIS REPORT</v>
          </cell>
        </row>
        <row r="12">
          <cell r="CW12">
            <v>7.7210000000000004E-3</v>
          </cell>
        </row>
        <row r="13">
          <cell r="CW13">
            <v>2E-3</v>
          </cell>
        </row>
        <row r="14">
          <cell r="CV14">
            <v>3.8733999999999998E-2</v>
          </cell>
          <cell r="CW14">
            <v>3.8434999999999997E-2</v>
          </cell>
        </row>
        <row r="19">
          <cell r="CV19">
            <v>0.35</v>
          </cell>
        </row>
      </sheetData>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ies &amp; 3.01-3.18 &amp; 4.01"/>
      <sheetName val="1.01 ROR ROE"/>
      <sheetName val="Electric Earnings Sharing"/>
      <sheetName val="1.02 COC"/>
      <sheetName val="for review only==&gt;"/>
      <sheetName val="Summary of Compare"/>
      <sheetName val="ERB"/>
      <sheetName val="Compare IS"/>
      <sheetName val="Restating Print Macros"/>
      <sheetName val="Module13"/>
      <sheetName val="Module14"/>
      <sheetName val="Module15"/>
      <sheetName val="Module1"/>
      <sheetName val="Not Used FIT Est Only==&gt;"/>
      <sheetName val="ETR"/>
      <sheetName val="Adjustment No 5 FIT"/>
    </sheetNames>
    <sheetDataSet>
      <sheetData sheetId="0" refreshError="1"/>
      <sheetData sheetId="1">
        <row r="4">
          <cell r="A4" t="str">
            <v>PUGET SOUND ENERGY-ELECTRIC</v>
          </cell>
        </row>
        <row r="7">
          <cell r="A7" t="str">
            <v>COMMISSION BASIS REPORT</v>
          </cell>
        </row>
        <row r="12">
          <cell r="CW12">
            <v>7.7210000000000004E-3</v>
          </cell>
        </row>
        <row r="13">
          <cell r="CW13">
            <v>2E-3</v>
          </cell>
        </row>
        <row r="14">
          <cell r="CV14">
            <v>3.8733999999999998E-2</v>
          </cell>
          <cell r="CW14">
            <v>3.8434999999999997E-2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29">
          <cell r="F29">
            <v>7.7399999999999997E-2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Y9">
            <v>0</v>
          </cell>
          <cell r="AA9">
            <v>0</v>
          </cell>
          <cell r="AJ9">
            <v>0</v>
          </cell>
          <cell r="AL9">
            <v>0</v>
          </cell>
          <cell r="AN9">
            <v>0</v>
          </cell>
          <cell r="AR9">
            <v>0</v>
          </cell>
          <cell r="AV9">
            <v>0</v>
          </cell>
          <cell r="AZ9">
            <v>0</v>
          </cell>
        </row>
        <row r="10">
          <cell r="Q10">
            <v>0</v>
          </cell>
          <cell r="S10">
            <v>0</v>
          </cell>
          <cell r="U10">
            <v>0</v>
          </cell>
          <cell r="V10">
            <v>0</v>
          </cell>
          <cell r="Y10">
            <v>0</v>
          </cell>
          <cell r="AA10">
            <v>0</v>
          </cell>
          <cell r="AJ10">
            <v>0</v>
          </cell>
          <cell r="AL10">
            <v>0</v>
          </cell>
          <cell r="AN10">
            <v>0</v>
          </cell>
          <cell r="AR10">
            <v>0</v>
          </cell>
          <cell r="AV10">
            <v>0</v>
          </cell>
          <cell r="AZ10">
            <v>0</v>
          </cell>
        </row>
        <row r="11">
          <cell r="Q11">
            <v>0</v>
          </cell>
          <cell r="S11">
            <v>0</v>
          </cell>
          <cell r="U11">
            <v>0</v>
          </cell>
          <cell r="V11">
            <v>0</v>
          </cell>
          <cell r="Y11">
            <v>0</v>
          </cell>
          <cell r="AA11">
            <v>0</v>
          </cell>
          <cell r="AJ11">
            <v>0</v>
          </cell>
          <cell r="AL11">
            <v>0</v>
          </cell>
          <cell r="AN11">
            <v>0</v>
          </cell>
          <cell r="AR11">
            <v>0</v>
          </cell>
          <cell r="AV11">
            <v>0</v>
          </cell>
          <cell r="AZ11">
            <v>0</v>
          </cell>
        </row>
        <row r="12">
          <cell r="Q12">
            <v>0</v>
          </cell>
          <cell r="S12">
            <v>0</v>
          </cell>
          <cell r="U12">
            <v>0</v>
          </cell>
          <cell r="V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Y21">
            <v>0</v>
          </cell>
          <cell r="AA21">
            <v>0</v>
          </cell>
          <cell r="AJ21">
            <v>0</v>
          </cell>
          <cell r="AL21">
            <v>0</v>
          </cell>
          <cell r="AN21">
            <v>0</v>
          </cell>
          <cell r="AR21">
            <v>0</v>
          </cell>
          <cell r="AV21">
            <v>0</v>
          </cell>
          <cell r="AZ21">
            <v>0</v>
          </cell>
        </row>
        <row r="22">
          <cell r="Q22">
            <v>0</v>
          </cell>
          <cell r="S22">
            <v>0</v>
          </cell>
          <cell r="U22">
            <v>0</v>
          </cell>
          <cell r="V22">
            <v>0</v>
          </cell>
          <cell r="Y22">
            <v>0</v>
          </cell>
          <cell r="AA22">
            <v>0</v>
          </cell>
          <cell r="AJ22">
            <v>0</v>
          </cell>
          <cell r="AL22">
            <v>0</v>
          </cell>
          <cell r="AN22">
            <v>0</v>
          </cell>
          <cell r="AR22">
            <v>0</v>
          </cell>
          <cell r="AV22">
            <v>0</v>
          </cell>
          <cell r="AZ22">
            <v>0</v>
          </cell>
        </row>
        <row r="23">
          <cell r="Q23">
            <v>0</v>
          </cell>
          <cell r="S23">
            <v>0</v>
          </cell>
          <cell r="U23">
            <v>0</v>
          </cell>
          <cell r="V23">
            <v>0</v>
          </cell>
          <cell r="Y23">
            <v>0</v>
          </cell>
          <cell r="AA23">
            <v>0</v>
          </cell>
          <cell r="AJ23">
            <v>0</v>
          </cell>
          <cell r="AL23">
            <v>0</v>
          </cell>
          <cell r="AN23">
            <v>0</v>
          </cell>
          <cell r="AR23">
            <v>0</v>
          </cell>
          <cell r="AV23">
            <v>0</v>
          </cell>
          <cell r="AZ23">
            <v>0</v>
          </cell>
        </row>
        <row r="24">
          <cell r="Q24">
            <v>0</v>
          </cell>
          <cell r="S24">
            <v>0</v>
          </cell>
          <cell r="U24">
            <v>0</v>
          </cell>
          <cell r="V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Y25">
            <v>0</v>
          </cell>
          <cell r="AA25">
            <v>0</v>
          </cell>
          <cell r="AJ25">
            <v>0</v>
          </cell>
          <cell r="AL25">
            <v>0</v>
          </cell>
          <cell r="AN25">
            <v>0</v>
          </cell>
          <cell r="AR25">
            <v>0</v>
          </cell>
          <cell r="AV25">
            <v>0</v>
          </cell>
          <cell r="AZ25">
            <v>0</v>
          </cell>
        </row>
        <row r="26">
          <cell r="Q26">
            <v>0</v>
          </cell>
          <cell r="S26">
            <v>0</v>
          </cell>
          <cell r="U26">
            <v>0</v>
          </cell>
          <cell r="V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Y33">
            <v>0</v>
          </cell>
          <cell r="AA33">
            <v>0</v>
          </cell>
          <cell r="AJ33">
            <v>0</v>
          </cell>
          <cell r="AL33">
            <v>0</v>
          </cell>
          <cell r="AN33">
            <v>0</v>
          </cell>
          <cell r="AR33">
            <v>0</v>
          </cell>
          <cell r="AV33">
            <v>0</v>
          </cell>
          <cell r="AZ33">
            <v>0</v>
          </cell>
        </row>
        <row r="34">
          <cell r="Q34">
            <v>0</v>
          </cell>
          <cell r="S34">
            <v>0</v>
          </cell>
          <cell r="U34">
            <v>0</v>
          </cell>
          <cell r="V34">
            <v>0</v>
          </cell>
          <cell r="Y34">
            <v>0</v>
          </cell>
          <cell r="AA34">
            <v>0</v>
          </cell>
          <cell r="AJ34">
            <v>0</v>
          </cell>
          <cell r="AL34">
            <v>0</v>
          </cell>
          <cell r="AN34">
            <v>0</v>
          </cell>
          <cell r="AR34">
            <v>0</v>
          </cell>
          <cell r="AV34">
            <v>0</v>
          </cell>
          <cell r="AZ34">
            <v>0</v>
          </cell>
        </row>
        <row r="35">
          <cell r="Q35">
            <v>0</v>
          </cell>
          <cell r="S35">
            <v>0</v>
          </cell>
          <cell r="U35">
            <v>0</v>
          </cell>
          <cell r="V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Y46">
            <v>0</v>
          </cell>
          <cell r="AA46">
            <v>0</v>
          </cell>
          <cell r="AJ46">
            <v>0</v>
          </cell>
          <cell r="AN46">
            <v>0</v>
          </cell>
          <cell r="AR46">
            <v>0</v>
          </cell>
          <cell r="AV46">
            <v>0</v>
          </cell>
          <cell r="AZ46">
            <v>0</v>
          </cell>
        </row>
        <row r="47">
          <cell r="Q47">
            <v>0</v>
          </cell>
          <cell r="S47">
            <v>0</v>
          </cell>
          <cell r="U47">
            <v>0</v>
          </cell>
          <cell r="V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Y49">
            <v>0</v>
          </cell>
          <cell r="AA49">
            <v>0</v>
          </cell>
          <cell r="AJ49">
            <v>0</v>
          </cell>
          <cell r="AN49">
            <v>0</v>
          </cell>
          <cell r="AR49">
            <v>0</v>
          </cell>
          <cell r="AV49">
            <v>0</v>
          </cell>
          <cell r="AZ49">
            <v>0</v>
          </cell>
        </row>
        <row r="50">
          <cell r="Q50">
            <v>0</v>
          </cell>
          <cell r="S50">
            <v>0</v>
          </cell>
          <cell r="U50">
            <v>0</v>
          </cell>
          <cell r="V50">
            <v>0</v>
          </cell>
          <cell r="Y50">
            <v>0</v>
          </cell>
          <cell r="AA50">
            <v>0</v>
          </cell>
          <cell r="AJ50">
            <v>0</v>
          </cell>
          <cell r="AN50">
            <v>0</v>
          </cell>
          <cell r="AR50">
            <v>0</v>
          </cell>
          <cell r="AV50">
            <v>0</v>
          </cell>
          <cell r="AZ50">
            <v>0</v>
          </cell>
        </row>
        <row r="51">
          <cell r="Q51">
            <v>0</v>
          </cell>
          <cell r="S51">
            <v>0</v>
          </cell>
          <cell r="U51">
            <v>0</v>
          </cell>
          <cell r="V51">
            <v>0</v>
          </cell>
          <cell r="Y51">
            <v>0</v>
          </cell>
          <cell r="AA51">
            <v>0</v>
          </cell>
          <cell r="AJ51">
            <v>0</v>
          </cell>
          <cell r="AN51">
            <v>0</v>
          </cell>
          <cell r="AR51">
            <v>0</v>
          </cell>
          <cell r="AV51">
            <v>0</v>
          </cell>
          <cell r="AZ51">
            <v>0</v>
          </cell>
        </row>
        <row r="52">
          <cell r="Q52">
            <v>0</v>
          </cell>
          <cell r="S52">
            <v>0</v>
          </cell>
          <cell r="U52">
            <v>0</v>
          </cell>
          <cell r="V52">
            <v>0</v>
          </cell>
          <cell r="Y52">
            <v>0</v>
          </cell>
          <cell r="AA52">
            <v>0</v>
          </cell>
          <cell r="AJ52">
            <v>0</v>
          </cell>
          <cell r="AN52">
            <v>0</v>
          </cell>
          <cell r="AR52">
            <v>0</v>
          </cell>
          <cell r="AV52">
            <v>0</v>
          </cell>
          <cell r="AZ52">
            <v>0</v>
          </cell>
        </row>
        <row r="53">
          <cell r="Q53">
            <v>0</v>
          </cell>
          <cell r="S53">
            <v>0</v>
          </cell>
          <cell r="U53">
            <v>0</v>
          </cell>
          <cell r="V53">
            <v>0</v>
          </cell>
          <cell r="Y53">
            <v>0</v>
          </cell>
          <cell r="AA53">
            <v>0</v>
          </cell>
          <cell r="AJ53">
            <v>0</v>
          </cell>
          <cell r="AN53">
            <v>0</v>
          </cell>
          <cell r="AR53">
            <v>0</v>
          </cell>
          <cell r="AV53">
            <v>0</v>
          </cell>
          <cell r="AZ53">
            <v>0</v>
          </cell>
        </row>
        <row r="54">
          <cell r="Q54">
            <v>-42834236</v>
          </cell>
          <cell r="S54">
            <v>-42834236</v>
          </cell>
          <cell r="U54">
            <v>-42151986</v>
          </cell>
          <cell r="V54">
            <v>-42151986</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Y58">
            <v>0</v>
          </cell>
          <cell r="AA58">
            <v>0</v>
          </cell>
          <cell r="AJ58">
            <v>0</v>
          </cell>
          <cell r="AN58">
            <v>0</v>
          </cell>
          <cell r="AR58">
            <v>0</v>
          </cell>
          <cell r="AV58">
            <v>0</v>
          </cell>
          <cell r="AZ58">
            <v>0</v>
          </cell>
        </row>
        <row r="59">
          <cell r="Q59">
            <v>0</v>
          </cell>
          <cell r="S59">
            <v>0</v>
          </cell>
          <cell r="U59">
            <v>0</v>
          </cell>
          <cell r="V59">
            <v>0</v>
          </cell>
          <cell r="Y59">
            <v>0</v>
          </cell>
          <cell r="AA59">
            <v>0</v>
          </cell>
          <cell r="AJ59">
            <v>0</v>
          </cell>
          <cell r="AN59">
            <v>0</v>
          </cell>
          <cell r="AR59">
            <v>0</v>
          </cell>
          <cell r="AV59">
            <v>0</v>
          </cell>
          <cell r="AZ59">
            <v>0</v>
          </cell>
        </row>
        <row r="60">
          <cell r="Q60">
            <v>0</v>
          </cell>
          <cell r="S60">
            <v>0</v>
          </cell>
          <cell r="U60">
            <v>0</v>
          </cell>
          <cell r="V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Y67">
            <v>0</v>
          </cell>
          <cell r="AA67">
            <v>0</v>
          </cell>
          <cell r="AJ67">
            <v>0</v>
          </cell>
          <cell r="AN67">
            <v>0</v>
          </cell>
          <cell r="AR67">
            <v>0</v>
          </cell>
          <cell r="AV67">
            <v>0</v>
          </cell>
          <cell r="AZ67">
            <v>0</v>
          </cell>
        </row>
        <row r="68">
          <cell r="Q68">
            <v>0</v>
          </cell>
          <cell r="S68">
            <v>0</v>
          </cell>
          <cell r="U68">
            <v>0</v>
          </cell>
          <cell r="V68">
            <v>0</v>
          </cell>
          <cell r="Y68">
            <v>0</v>
          </cell>
          <cell r="AA68">
            <v>0</v>
          </cell>
          <cell r="AJ68">
            <v>0</v>
          </cell>
          <cell r="AN68">
            <v>0</v>
          </cell>
          <cell r="AR68">
            <v>0</v>
          </cell>
          <cell r="AV68">
            <v>0</v>
          </cell>
          <cell r="AZ68">
            <v>0</v>
          </cell>
        </row>
        <row r="69">
          <cell r="Q69">
            <v>0</v>
          </cell>
          <cell r="S69">
            <v>0</v>
          </cell>
          <cell r="U69">
            <v>0</v>
          </cell>
          <cell r="V69">
            <v>0</v>
          </cell>
          <cell r="Y69">
            <v>0</v>
          </cell>
          <cell r="AA69">
            <v>0</v>
          </cell>
          <cell r="AJ69">
            <v>0</v>
          </cell>
          <cell r="AN69">
            <v>0</v>
          </cell>
          <cell r="AR69">
            <v>0</v>
          </cell>
          <cell r="AV69">
            <v>0</v>
          </cell>
          <cell r="AZ69">
            <v>0</v>
          </cell>
        </row>
        <row r="70">
          <cell r="Q70">
            <v>0</v>
          </cell>
          <cell r="S70">
            <v>0</v>
          </cell>
          <cell r="U70">
            <v>0</v>
          </cell>
          <cell r="V70">
            <v>0</v>
          </cell>
          <cell r="Y70">
            <v>0</v>
          </cell>
          <cell r="AA70">
            <v>0</v>
          </cell>
          <cell r="AJ70">
            <v>0</v>
          </cell>
          <cell r="AN70">
            <v>0</v>
          </cell>
          <cell r="AR70">
            <v>0</v>
          </cell>
          <cell r="AV70">
            <v>0</v>
          </cell>
          <cell r="AZ70">
            <v>0</v>
          </cell>
        </row>
        <row r="71">
          <cell r="Q71">
            <v>0</v>
          </cell>
          <cell r="S71">
            <v>0</v>
          </cell>
          <cell r="U71">
            <v>0</v>
          </cell>
          <cell r="V71">
            <v>0</v>
          </cell>
          <cell r="Y71">
            <v>0</v>
          </cell>
          <cell r="AA71">
            <v>0</v>
          </cell>
          <cell r="AJ71">
            <v>0</v>
          </cell>
          <cell r="AN71">
            <v>0</v>
          </cell>
          <cell r="AR71">
            <v>0</v>
          </cell>
          <cell r="AV71">
            <v>0</v>
          </cell>
          <cell r="AZ71">
            <v>0</v>
          </cell>
        </row>
        <row r="72">
          <cell r="Q72">
            <v>0</v>
          </cell>
          <cell r="S72">
            <v>0</v>
          </cell>
          <cell r="U72">
            <v>0</v>
          </cell>
          <cell r="V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Y77">
            <v>0</v>
          </cell>
          <cell r="AA77">
            <v>0</v>
          </cell>
          <cell r="AJ77">
            <v>0</v>
          </cell>
          <cell r="AN77">
            <v>0</v>
          </cell>
          <cell r="AR77">
            <v>0</v>
          </cell>
          <cell r="AV77">
            <v>0</v>
          </cell>
          <cell r="AZ77">
            <v>0</v>
          </cell>
        </row>
        <row r="78">
          <cell r="Q78">
            <v>302358.01</v>
          </cell>
          <cell r="S78">
            <v>302358.01</v>
          </cell>
          <cell r="U78">
            <v>302358.01</v>
          </cell>
          <cell r="V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Y84">
            <v>-710389</v>
          </cell>
          <cell r="AA84">
            <v>-714689</v>
          </cell>
          <cell r="AJ84">
            <v>-680289</v>
          </cell>
          <cell r="AN84">
            <v>-688889</v>
          </cell>
          <cell r="AR84">
            <v>-697489</v>
          </cell>
          <cell r="AV84">
            <v>-706089</v>
          </cell>
          <cell r="AZ84">
            <v>-714689</v>
          </cell>
        </row>
        <row r="85">
          <cell r="Q85">
            <v>0</v>
          </cell>
          <cell r="S85">
            <v>0</v>
          </cell>
          <cell r="U85">
            <v>0</v>
          </cell>
          <cell r="V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Y92">
            <v>0</v>
          </cell>
          <cell r="AA92">
            <v>0</v>
          </cell>
          <cell r="AJ92">
            <v>0</v>
          </cell>
          <cell r="AN92">
            <v>0</v>
          </cell>
          <cell r="AR92">
            <v>0</v>
          </cell>
          <cell r="AV92">
            <v>0</v>
          </cell>
          <cell r="AZ92">
            <v>0</v>
          </cell>
        </row>
        <row r="93">
          <cell r="Q93">
            <v>0</v>
          </cell>
          <cell r="S93">
            <v>0</v>
          </cell>
          <cell r="U93">
            <v>0</v>
          </cell>
          <cell r="V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Y96">
            <v>0</v>
          </cell>
          <cell r="AA96">
            <v>0</v>
          </cell>
          <cell r="AJ96">
            <v>0</v>
          </cell>
          <cell r="AN96">
            <v>0</v>
          </cell>
          <cell r="AR96">
            <v>0</v>
          </cell>
          <cell r="AV96">
            <v>0</v>
          </cell>
          <cell r="AZ96">
            <v>0</v>
          </cell>
        </row>
        <row r="97">
          <cell r="Q97">
            <v>-446720.92</v>
          </cell>
          <cell r="S97">
            <v>-446720.92</v>
          </cell>
          <cell r="U97">
            <v>-446720.92</v>
          </cell>
          <cell r="V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Y99">
            <v>0</v>
          </cell>
          <cell r="AA99">
            <v>0</v>
          </cell>
          <cell r="AJ99">
            <v>0</v>
          </cell>
          <cell r="AN99">
            <v>0</v>
          </cell>
          <cell r="AR99">
            <v>0</v>
          </cell>
          <cell r="AV99">
            <v>0</v>
          </cell>
          <cell r="AZ99">
            <v>0</v>
          </cell>
        </row>
        <row r="100">
          <cell r="Q100">
            <v>100000</v>
          </cell>
          <cell r="S100">
            <v>100000</v>
          </cell>
          <cell r="U100">
            <v>100000</v>
          </cell>
          <cell r="V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Y104">
            <v>0</v>
          </cell>
          <cell r="AA104">
            <v>0</v>
          </cell>
          <cell r="AJ104">
            <v>0</v>
          </cell>
          <cell r="AN104">
            <v>0</v>
          </cell>
          <cell r="AR104">
            <v>0</v>
          </cell>
          <cell r="AV104">
            <v>0</v>
          </cell>
          <cell r="AZ104">
            <v>0</v>
          </cell>
        </row>
        <row r="105">
          <cell r="Q105">
            <v>6324.69</v>
          </cell>
          <cell r="S105">
            <v>6324.69</v>
          </cell>
          <cell r="U105">
            <v>6848.69</v>
          </cell>
          <cell r="V105">
            <v>6848.69</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Y109">
            <v>0</v>
          </cell>
          <cell r="AA109">
            <v>0</v>
          </cell>
          <cell r="AJ109">
            <v>0</v>
          </cell>
          <cell r="AN109">
            <v>0</v>
          </cell>
          <cell r="AR109">
            <v>0</v>
          </cell>
          <cell r="AV109">
            <v>0</v>
          </cell>
          <cell r="AZ109">
            <v>0</v>
          </cell>
        </row>
        <row r="110">
          <cell r="Q110">
            <v>0</v>
          </cell>
          <cell r="S110">
            <v>0</v>
          </cell>
          <cell r="U110">
            <v>0</v>
          </cell>
          <cell r="V110">
            <v>0</v>
          </cell>
          <cell r="Y110">
            <v>0</v>
          </cell>
          <cell r="AA110">
            <v>0</v>
          </cell>
          <cell r="AJ110">
            <v>0</v>
          </cell>
          <cell r="AN110">
            <v>0</v>
          </cell>
          <cell r="AR110">
            <v>0</v>
          </cell>
          <cell r="AV110">
            <v>0</v>
          </cell>
          <cell r="AZ110">
            <v>0</v>
          </cell>
        </row>
        <row r="111">
          <cell r="Q111">
            <v>0</v>
          </cell>
          <cell r="S111">
            <v>0</v>
          </cell>
          <cell r="U111">
            <v>0</v>
          </cell>
          <cell r="V111">
            <v>0</v>
          </cell>
          <cell r="Y111">
            <v>0</v>
          </cell>
          <cell r="AA111">
            <v>0</v>
          </cell>
          <cell r="AJ111">
            <v>0</v>
          </cell>
          <cell r="AN111">
            <v>0</v>
          </cell>
          <cell r="AR111">
            <v>0</v>
          </cell>
          <cell r="AV111">
            <v>0</v>
          </cell>
          <cell r="AZ111">
            <v>0</v>
          </cell>
        </row>
        <row r="112">
          <cell r="Q112">
            <v>0</v>
          </cell>
          <cell r="S112">
            <v>0</v>
          </cell>
          <cell r="U112">
            <v>0</v>
          </cell>
          <cell r="V112">
            <v>0</v>
          </cell>
          <cell r="Y112">
            <v>0</v>
          </cell>
          <cell r="AA112">
            <v>0</v>
          </cell>
          <cell r="AJ112">
            <v>0</v>
          </cell>
          <cell r="AN112">
            <v>0</v>
          </cell>
          <cell r="AR112">
            <v>0</v>
          </cell>
          <cell r="AV112">
            <v>0</v>
          </cell>
          <cell r="AZ112">
            <v>0</v>
          </cell>
        </row>
        <row r="113">
          <cell r="Q113">
            <v>7556.66</v>
          </cell>
          <cell r="S113">
            <v>7556.66</v>
          </cell>
          <cell r="U113">
            <v>7556.66</v>
          </cell>
          <cell r="V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Y114">
            <v>0</v>
          </cell>
          <cell r="AA114">
            <v>0</v>
          </cell>
          <cell r="AJ114">
            <v>0</v>
          </cell>
          <cell r="AN114">
            <v>0</v>
          </cell>
          <cell r="AR114">
            <v>0</v>
          </cell>
          <cell r="AV114">
            <v>0</v>
          </cell>
          <cell r="AZ114">
            <v>0</v>
          </cell>
        </row>
        <row r="115">
          <cell r="Q115">
            <v>0</v>
          </cell>
          <cell r="S115">
            <v>0</v>
          </cell>
          <cell r="U115">
            <v>0</v>
          </cell>
          <cell r="V115">
            <v>0</v>
          </cell>
          <cell r="Y115">
            <v>0</v>
          </cell>
          <cell r="AA115">
            <v>0</v>
          </cell>
          <cell r="AJ115">
            <v>0</v>
          </cell>
          <cell r="AN115">
            <v>0</v>
          </cell>
          <cell r="AR115">
            <v>0</v>
          </cell>
          <cell r="AV115">
            <v>0</v>
          </cell>
          <cell r="AZ115">
            <v>0</v>
          </cell>
        </row>
        <row r="116">
          <cell r="Q116">
            <v>0</v>
          </cell>
          <cell r="S116">
            <v>0</v>
          </cell>
          <cell r="U116">
            <v>0</v>
          </cell>
          <cell r="V116">
            <v>0</v>
          </cell>
          <cell r="Y116">
            <v>0</v>
          </cell>
          <cell r="AA116">
            <v>0</v>
          </cell>
          <cell r="AJ116">
            <v>0</v>
          </cell>
          <cell r="AN116">
            <v>0</v>
          </cell>
          <cell r="AR116">
            <v>0</v>
          </cell>
          <cell r="AV116">
            <v>0</v>
          </cell>
          <cell r="AZ116">
            <v>0</v>
          </cell>
        </row>
        <row r="117">
          <cell r="Q117">
            <v>0</v>
          </cell>
          <cell r="S117">
            <v>0</v>
          </cell>
          <cell r="U117">
            <v>0</v>
          </cell>
          <cell r="V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Y118">
            <v>0</v>
          </cell>
          <cell r="AA118">
            <v>0</v>
          </cell>
          <cell r="AJ118">
            <v>0</v>
          </cell>
          <cell r="AN118">
            <v>0</v>
          </cell>
          <cell r="AR118">
            <v>0</v>
          </cell>
          <cell r="AV118">
            <v>0</v>
          </cell>
          <cell r="AZ118">
            <v>0</v>
          </cell>
        </row>
        <row r="119">
          <cell r="Q119">
            <v>0</v>
          </cell>
          <cell r="S119">
            <v>0</v>
          </cell>
          <cell r="U119">
            <v>0</v>
          </cell>
          <cell r="V119">
            <v>0</v>
          </cell>
          <cell r="Y119">
            <v>0</v>
          </cell>
          <cell r="AA119">
            <v>0</v>
          </cell>
          <cell r="AJ119">
            <v>0</v>
          </cell>
          <cell r="AN119">
            <v>0</v>
          </cell>
          <cell r="AR119">
            <v>0</v>
          </cell>
          <cell r="AV119">
            <v>0</v>
          </cell>
          <cell r="AZ119">
            <v>0</v>
          </cell>
        </row>
        <row r="120">
          <cell r="Q120">
            <v>0</v>
          </cell>
          <cell r="S120">
            <v>0</v>
          </cell>
          <cell r="U120">
            <v>0</v>
          </cell>
          <cell r="V120">
            <v>0</v>
          </cell>
          <cell r="Y120">
            <v>0</v>
          </cell>
          <cell r="AA120">
            <v>0</v>
          </cell>
          <cell r="AJ120">
            <v>0</v>
          </cell>
          <cell r="AN120">
            <v>0</v>
          </cell>
          <cell r="AR120">
            <v>0</v>
          </cell>
          <cell r="AV120">
            <v>0</v>
          </cell>
          <cell r="AZ120">
            <v>0</v>
          </cell>
        </row>
        <row r="121">
          <cell r="Q121">
            <v>0</v>
          </cell>
          <cell r="S121">
            <v>0</v>
          </cell>
          <cell r="U121">
            <v>0</v>
          </cell>
          <cell r="V121">
            <v>0</v>
          </cell>
          <cell r="Y121">
            <v>0</v>
          </cell>
          <cell r="AA121">
            <v>0</v>
          </cell>
          <cell r="AJ121">
            <v>0</v>
          </cell>
          <cell r="AN121">
            <v>0</v>
          </cell>
          <cell r="AR121">
            <v>0</v>
          </cell>
          <cell r="AV121">
            <v>0</v>
          </cell>
          <cell r="AZ121">
            <v>0</v>
          </cell>
        </row>
        <row r="122">
          <cell r="Q122">
            <v>0</v>
          </cell>
          <cell r="S122">
            <v>0</v>
          </cell>
          <cell r="U122">
            <v>0</v>
          </cell>
          <cell r="V122">
            <v>0</v>
          </cell>
          <cell r="Y122">
            <v>0</v>
          </cell>
          <cell r="AA122">
            <v>0</v>
          </cell>
          <cell r="AJ122">
            <v>0</v>
          </cell>
          <cell r="AN122">
            <v>0</v>
          </cell>
          <cell r="AR122">
            <v>0</v>
          </cell>
          <cell r="AV122">
            <v>0</v>
          </cell>
          <cell r="AZ122">
            <v>0</v>
          </cell>
        </row>
        <row r="123">
          <cell r="Q123">
            <v>0</v>
          </cell>
          <cell r="S123">
            <v>0</v>
          </cell>
          <cell r="U123">
            <v>0</v>
          </cell>
          <cell r="V123">
            <v>0</v>
          </cell>
          <cell r="Y123">
            <v>0</v>
          </cell>
          <cell r="AA123">
            <v>0</v>
          </cell>
          <cell r="AJ123">
            <v>0</v>
          </cell>
          <cell r="AN123">
            <v>0</v>
          </cell>
          <cell r="AR123">
            <v>0</v>
          </cell>
          <cell r="AV123">
            <v>0</v>
          </cell>
          <cell r="AZ123">
            <v>0</v>
          </cell>
        </row>
        <row r="124">
          <cell r="Q124">
            <v>0</v>
          </cell>
          <cell r="S124">
            <v>0</v>
          </cell>
          <cell r="U124">
            <v>0</v>
          </cell>
          <cell r="V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Y128">
            <v>0</v>
          </cell>
          <cell r="AA128">
            <v>0</v>
          </cell>
          <cell r="AJ128">
            <v>0</v>
          </cell>
          <cell r="AN128">
            <v>0</v>
          </cell>
          <cell r="AR128">
            <v>0</v>
          </cell>
          <cell r="AV128">
            <v>0</v>
          </cell>
          <cell r="AZ128">
            <v>0</v>
          </cell>
        </row>
        <row r="129">
          <cell r="Q129">
            <v>0</v>
          </cell>
          <cell r="S129">
            <v>0</v>
          </cell>
          <cell r="U129">
            <v>0</v>
          </cell>
          <cell r="V129">
            <v>0</v>
          </cell>
          <cell r="Y129">
            <v>0</v>
          </cell>
          <cell r="AA129">
            <v>0</v>
          </cell>
          <cell r="AJ129">
            <v>0</v>
          </cell>
          <cell r="AN129">
            <v>0</v>
          </cell>
          <cell r="AR129">
            <v>0</v>
          </cell>
          <cell r="AV129">
            <v>0</v>
          </cell>
          <cell r="AZ129">
            <v>0</v>
          </cell>
        </row>
        <row r="130">
          <cell r="Q130">
            <v>0</v>
          </cell>
          <cell r="S130">
            <v>0</v>
          </cell>
          <cell r="U130">
            <v>0</v>
          </cell>
          <cell r="V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Y136">
            <v>0</v>
          </cell>
          <cell r="AA136">
            <v>0</v>
          </cell>
          <cell r="AJ136">
            <v>0</v>
          </cell>
          <cell r="AN136">
            <v>0</v>
          </cell>
          <cell r="AR136">
            <v>0</v>
          </cell>
          <cell r="AV136">
            <v>0</v>
          </cell>
          <cell r="AZ136">
            <v>0</v>
          </cell>
        </row>
        <row r="137">
          <cell r="Q137">
            <v>0</v>
          </cell>
          <cell r="S137">
            <v>0</v>
          </cell>
          <cell r="U137">
            <v>0</v>
          </cell>
          <cell r="V137">
            <v>0</v>
          </cell>
          <cell r="Y137">
            <v>0</v>
          </cell>
          <cell r="AA137">
            <v>0</v>
          </cell>
          <cell r="AJ137">
            <v>0</v>
          </cell>
          <cell r="AN137">
            <v>0</v>
          </cell>
          <cell r="AR137">
            <v>0</v>
          </cell>
          <cell r="AV137">
            <v>0</v>
          </cell>
          <cell r="AZ137">
            <v>0</v>
          </cell>
        </row>
        <row r="138">
          <cell r="Q138">
            <v>54.1</v>
          </cell>
          <cell r="S138">
            <v>-40.96</v>
          </cell>
          <cell r="U138">
            <v>1588.57</v>
          </cell>
          <cell r="V138">
            <v>331.63</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Y151">
            <v>0</v>
          </cell>
          <cell r="AA151">
            <v>0</v>
          </cell>
          <cell r="AJ151">
            <v>0</v>
          </cell>
          <cell r="AN151">
            <v>0</v>
          </cell>
          <cell r="AR151">
            <v>0</v>
          </cell>
          <cell r="AV151">
            <v>0</v>
          </cell>
          <cell r="AZ151">
            <v>0</v>
          </cell>
        </row>
        <row r="152">
          <cell r="Q152">
            <v>0</v>
          </cell>
          <cell r="S152">
            <v>0</v>
          </cell>
          <cell r="U152">
            <v>0</v>
          </cell>
          <cell r="V152">
            <v>0</v>
          </cell>
          <cell r="Y152">
            <v>0</v>
          </cell>
          <cell r="AA152">
            <v>0</v>
          </cell>
          <cell r="AJ152">
            <v>0</v>
          </cell>
          <cell r="AN152">
            <v>0</v>
          </cell>
          <cell r="AR152">
            <v>0</v>
          </cell>
          <cell r="AV152">
            <v>0</v>
          </cell>
          <cell r="AZ152">
            <v>0</v>
          </cell>
        </row>
        <row r="153">
          <cell r="Q153">
            <v>0</v>
          </cell>
          <cell r="S153">
            <v>0</v>
          </cell>
          <cell r="U153">
            <v>0</v>
          </cell>
          <cell r="V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Y155">
            <v>0</v>
          </cell>
          <cell r="AA155">
            <v>0</v>
          </cell>
          <cell r="AJ155">
            <v>0</v>
          </cell>
          <cell r="AN155">
            <v>0</v>
          </cell>
          <cell r="AR155">
            <v>0</v>
          </cell>
          <cell r="AV155">
            <v>0</v>
          </cell>
          <cell r="AZ155">
            <v>0</v>
          </cell>
        </row>
        <row r="156">
          <cell r="Q156">
            <v>0</v>
          </cell>
          <cell r="S156">
            <v>0</v>
          </cell>
          <cell r="U156">
            <v>0</v>
          </cell>
          <cell r="V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Y159">
            <v>0</v>
          </cell>
          <cell r="AA159">
            <v>0</v>
          </cell>
          <cell r="AJ159">
            <v>144400</v>
          </cell>
          <cell r="AN159">
            <v>83600</v>
          </cell>
          <cell r="AR159">
            <v>22800</v>
          </cell>
          <cell r="AV159">
            <v>0</v>
          </cell>
          <cell r="AZ159">
            <v>0</v>
          </cell>
        </row>
        <row r="160">
          <cell r="Q160">
            <v>0</v>
          </cell>
          <cell r="S160">
            <v>0</v>
          </cell>
          <cell r="U160">
            <v>0</v>
          </cell>
          <cell r="V160">
            <v>0</v>
          </cell>
          <cell r="Y160">
            <v>0</v>
          </cell>
          <cell r="AA160">
            <v>0</v>
          </cell>
          <cell r="AJ160">
            <v>0</v>
          </cell>
          <cell r="AN160">
            <v>0</v>
          </cell>
          <cell r="AR160">
            <v>0</v>
          </cell>
          <cell r="AV160">
            <v>0</v>
          </cell>
          <cell r="AZ160">
            <v>0</v>
          </cell>
        </row>
        <row r="161">
          <cell r="Q161">
            <v>8512</v>
          </cell>
          <cell r="S161">
            <v>8512</v>
          </cell>
          <cell r="U161">
            <v>0</v>
          </cell>
          <cell r="V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Y162">
            <v>0</v>
          </cell>
          <cell r="AA162">
            <v>0</v>
          </cell>
          <cell r="AJ162">
            <v>0</v>
          </cell>
          <cell r="AN162">
            <v>0</v>
          </cell>
          <cell r="AR162">
            <v>0</v>
          </cell>
          <cell r="AV162">
            <v>0</v>
          </cell>
          <cell r="AZ162">
            <v>0</v>
          </cell>
        </row>
        <row r="163">
          <cell r="Q163">
            <v>0</v>
          </cell>
          <cell r="S163">
            <v>0</v>
          </cell>
          <cell r="U163">
            <v>0</v>
          </cell>
          <cell r="V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Y169">
            <v>263903</v>
          </cell>
          <cell r="AA169">
            <v>263903</v>
          </cell>
          <cell r="AJ169">
            <v>151196.45833333334</v>
          </cell>
          <cell r="AN169">
            <v>241671.79166666666</v>
          </cell>
          <cell r="AR169">
            <v>282886.25</v>
          </cell>
          <cell r="AV169">
            <v>242335.54416666666</v>
          </cell>
          <cell r="AZ169">
            <v>150399.96083333335</v>
          </cell>
        </row>
        <row r="170">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Y187">
            <v>0</v>
          </cell>
          <cell r="AA187">
            <v>0</v>
          </cell>
          <cell r="AJ187">
            <v>0</v>
          </cell>
          <cell r="AN187">
            <v>0</v>
          </cell>
          <cell r="AR187">
            <v>0</v>
          </cell>
          <cell r="AV187">
            <v>0</v>
          </cell>
          <cell r="AZ187">
            <v>0</v>
          </cell>
        </row>
        <row r="188">
          <cell r="Q188">
            <v>0</v>
          </cell>
          <cell r="S188">
            <v>0</v>
          </cell>
          <cell r="U188">
            <v>0</v>
          </cell>
          <cell r="V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Y191">
            <v>0</v>
          </cell>
          <cell r="AA191">
            <v>0</v>
          </cell>
          <cell r="AJ191">
            <v>0</v>
          </cell>
          <cell r="AN191">
            <v>0</v>
          </cell>
          <cell r="AR191">
            <v>0</v>
          </cell>
          <cell r="AV191">
            <v>0</v>
          </cell>
          <cell r="AZ191">
            <v>0</v>
          </cell>
        </row>
        <row r="192">
          <cell r="Q192">
            <v>0</v>
          </cell>
          <cell r="S192">
            <v>0</v>
          </cell>
          <cell r="U192">
            <v>0</v>
          </cell>
          <cell r="V192">
            <v>0</v>
          </cell>
          <cell r="Y192">
            <v>0</v>
          </cell>
          <cell r="AA192">
            <v>0</v>
          </cell>
          <cell r="AJ192">
            <v>0</v>
          </cell>
          <cell r="AN192">
            <v>0</v>
          </cell>
          <cell r="AR192">
            <v>0</v>
          </cell>
          <cell r="AV192">
            <v>0</v>
          </cell>
          <cell r="AZ192">
            <v>0</v>
          </cell>
        </row>
        <row r="193">
          <cell r="Q193">
            <v>1000</v>
          </cell>
          <cell r="S193">
            <v>1000</v>
          </cell>
          <cell r="U193">
            <v>1000</v>
          </cell>
          <cell r="V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Y194">
            <v>0</v>
          </cell>
          <cell r="AA194">
            <v>0</v>
          </cell>
          <cell r="AJ194">
            <v>0</v>
          </cell>
          <cell r="AN194">
            <v>0</v>
          </cell>
          <cell r="AR194">
            <v>0</v>
          </cell>
          <cell r="AV194">
            <v>0</v>
          </cell>
          <cell r="AZ194">
            <v>0</v>
          </cell>
        </row>
        <row r="195">
          <cell r="Q195">
            <v>0</v>
          </cell>
          <cell r="S195">
            <v>0</v>
          </cell>
          <cell r="U195">
            <v>0</v>
          </cell>
          <cell r="V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Y199">
            <v>0</v>
          </cell>
          <cell r="AA199">
            <v>0</v>
          </cell>
          <cell r="AJ199">
            <v>217206.93666666668</v>
          </cell>
          <cell r="AN199">
            <v>217206.93666666668</v>
          </cell>
          <cell r="AR199">
            <v>0</v>
          </cell>
          <cell r="AV199">
            <v>0</v>
          </cell>
          <cell r="AZ199">
            <v>0</v>
          </cell>
        </row>
        <row r="200">
          <cell r="U200">
            <v>658810.86</v>
          </cell>
          <cell r="V200">
            <v>659217.71</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Y207">
            <v>0</v>
          </cell>
          <cell r="AA207">
            <v>0</v>
          </cell>
          <cell r="AJ207">
            <v>0</v>
          </cell>
          <cell r="AN207">
            <v>0</v>
          </cell>
          <cell r="AR207">
            <v>0</v>
          </cell>
          <cell r="AV207">
            <v>0</v>
          </cell>
          <cell r="AZ207">
            <v>0</v>
          </cell>
        </row>
        <row r="208">
          <cell r="Q208">
            <v>158000000</v>
          </cell>
          <cell r="S208">
            <v>0</v>
          </cell>
          <cell r="U208">
            <v>0</v>
          </cell>
          <cell r="V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Y209">
            <v>0</v>
          </cell>
          <cell r="AA209">
            <v>0</v>
          </cell>
          <cell r="AJ209">
            <v>0</v>
          </cell>
          <cell r="AN209">
            <v>0</v>
          </cell>
          <cell r="AR209">
            <v>0</v>
          </cell>
          <cell r="AV209">
            <v>0</v>
          </cell>
          <cell r="AZ209">
            <v>0</v>
          </cell>
        </row>
        <row r="210">
          <cell r="Q210">
            <v>0</v>
          </cell>
          <cell r="S210">
            <v>0</v>
          </cell>
          <cell r="U210">
            <v>0</v>
          </cell>
          <cell r="V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Y214">
            <v>0</v>
          </cell>
          <cell r="AA214">
            <v>0</v>
          </cell>
          <cell r="AJ214">
            <v>0</v>
          </cell>
          <cell r="AN214">
            <v>0</v>
          </cell>
          <cell r="AR214">
            <v>0</v>
          </cell>
          <cell r="AV214">
            <v>0</v>
          </cell>
          <cell r="AZ214">
            <v>0</v>
          </cell>
        </row>
        <row r="215">
          <cell r="Q215">
            <v>0</v>
          </cell>
          <cell r="S215">
            <v>0</v>
          </cell>
          <cell r="U215">
            <v>0</v>
          </cell>
          <cell r="V215">
            <v>0</v>
          </cell>
          <cell r="Y215">
            <v>0</v>
          </cell>
          <cell r="AA215">
            <v>0</v>
          </cell>
          <cell r="AJ215">
            <v>0</v>
          </cell>
          <cell r="AN215">
            <v>0</v>
          </cell>
          <cell r="AR215">
            <v>0</v>
          </cell>
          <cell r="AV215">
            <v>0</v>
          </cell>
          <cell r="AZ215">
            <v>0</v>
          </cell>
        </row>
        <row r="216">
          <cell r="Q216">
            <v>49801.93</v>
          </cell>
          <cell r="S216">
            <v>0</v>
          </cell>
          <cell r="U216">
            <v>0</v>
          </cell>
          <cell r="V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Y236">
            <v>0</v>
          </cell>
          <cell r="AA236">
            <v>0</v>
          </cell>
          <cell r="AJ236">
            <v>0</v>
          </cell>
          <cell r="AN236">
            <v>423.95</v>
          </cell>
          <cell r="AR236">
            <v>847.9</v>
          </cell>
          <cell r="AV236">
            <v>847.9</v>
          </cell>
          <cell r="AZ236">
            <v>423.95</v>
          </cell>
        </row>
        <row r="237">
          <cell r="U237">
            <v>850698.03</v>
          </cell>
          <cell r="V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Y248">
            <v>0</v>
          </cell>
          <cell r="AA248">
            <v>0</v>
          </cell>
          <cell r="AJ248">
            <v>0</v>
          </cell>
          <cell r="AN248">
            <v>0</v>
          </cell>
          <cell r="AR248">
            <v>0</v>
          </cell>
          <cell r="AV248">
            <v>0</v>
          </cell>
          <cell r="AZ248">
            <v>0</v>
          </cell>
        </row>
        <row r="249">
          <cell r="Q249">
            <v>0</v>
          </cell>
          <cell r="S249">
            <v>0</v>
          </cell>
          <cell r="U249">
            <v>0</v>
          </cell>
          <cell r="V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Y254">
            <v>0</v>
          </cell>
          <cell r="AA254">
            <v>0</v>
          </cell>
          <cell r="AJ254">
            <v>0</v>
          </cell>
          <cell r="AN254">
            <v>0</v>
          </cell>
          <cell r="AR254">
            <v>0</v>
          </cell>
          <cell r="AV254">
            <v>0</v>
          </cell>
          <cell r="AZ254">
            <v>0</v>
          </cell>
        </row>
        <row r="255">
          <cell r="Q255">
            <v>0</v>
          </cell>
          <cell r="S255">
            <v>0</v>
          </cell>
          <cell r="U255">
            <v>0</v>
          </cell>
          <cell r="V255">
            <v>0</v>
          </cell>
          <cell r="Y255">
            <v>0</v>
          </cell>
          <cell r="AA255">
            <v>0</v>
          </cell>
          <cell r="AJ255">
            <v>0</v>
          </cell>
          <cell r="AN255">
            <v>0</v>
          </cell>
          <cell r="AR255">
            <v>0</v>
          </cell>
          <cell r="AV255">
            <v>0</v>
          </cell>
          <cell r="AZ255">
            <v>0</v>
          </cell>
        </row>
        <row r="256">
          <cell r="Q256">
            <v>8327.23</v>
          </cell>
          <cell r="S256">
            <v>7249.76</v>
          </cell>
          <cell r="U256">
            <v>7049.76</v>
          </cell>
          <cell r="V256">
            <v>6949.76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Y261">
            <v>0</v>
          </cell>
          <cell r="AA261">
            <v>0</v>
          </cell>
          <cell r="AJ261">
            <v>0</v>
          </cell>
          <cell r="AN261">
            <v>0</v>
          </cell>
          <cell r="AR261">
            <v>0</v>
          </cell>
          <cell r="AV261">
            <v>0</v>
          </cell>
          <cell r="AZ261">
            <v>0</v>
          </cell>
        </row>
        <row r="262">
          <cell r="Q262">
            <v>0</v>
          </cell>
          <cell r="S262">
            <v>0</v>
          </cell>
          <cell r="U262">
            <v>0</v>
          </cell>
          <cell r="V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Y266">
            <v>0</v>
          </cell>
          <cell r="AA266">
            <v>0</v>
          </cell>
          <cell r="AJ266">
            <v>0</v>
          </cell>
          <cell r="AN266">
            <v>0</v>
          </cell>
          <cell r="AR266">
            <v>0</v>
          </cell>
          <cell r="AV266">
            <v>0</v>
          </cell>
          <cell r="AZ266">
            <v>0</v>
          </cell>
        </row>
        <row r="267">
          <cell r="Q267">
            <v>3199410.1</v>
          </cell>
          <cell r="S267">
            <v>0</v>
          </cell>
          <cell r="U267">
            <v>0</v>
          </cell>
          <cell r="V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Y275">
            <v>0</v>
          </cell>
          <cell r="AA275">
            <v>0</v>
          </cell>
          <cell r="AJ275">
            <v>0</v>
          </cell>
          <cell r="AN275">
            <v>0</v>
          </cell>
          <cell r="AR275">
            <v>0</v>
          </cell>
          <cell r="AV275">
            <v>0</v>
          </cell>
          <cell r="AZ275">
            <v>0</v>
          </cell>
        </row>
        <row r="276">
          <cell r="Q276">
            <v>0</v>
          </cell>
          <cell r="S276">
            <v>0</v>
          </cell>
          <cell r="U276">
            <v>0</v>
          </cell>
          <cell r="V276">
            <v>0</v>
          </cell>
          <cell r="Y276">
            <v>0</v>
          </cell>
          <cell r="AA276">
            <v>0</v>
          </cell>
          <cell r="AJ276">
            <v>0</v>
          </cell>
          <cell r="AN276">
            <v>0</v>
          </cell>
          <cell r="AR276">
            <v>0</v>
          </cell>
          <cell r="AV276">
            <v>0</v>
          </cell>
          <cell r="AZ276">
            <v>0</v>
          </cell>
        </row>
        <row r="277">
          <cell r="Q277">
            <v>0</v>
          </cell>
          <cell r="S277">
            <v>0</v>
          </cell>
          <cell r="U277">
            <v>0</v>
          </cell>
          <cell r="V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Y290">
            <v>0</v>
          </cell>
          <cell r="AA290">
            <v>0</v>
          </cell>
          <cell r="AJ290">
            <v>0</v>
          </cell>
          <cell r="AN290">
            <v>0</v>
          </cell>
          <cell r="AR290">
            <v>0</v>
          </cell>
          <cell r="AV290">
            <v>0</v>
          </cell>
          <cell r="AZ290">
            <v>0</v>
          </cell>
        </row>
        <row r="291">
          <cell r="Q291">
            <v>0</v>
          </cell>
          <cell r="S291">
            <v>0</v>
          </cell>
          <cell r="U291">
            <v>0</v>
          </cell>
          <cell r="V291">
            <v>0</v>
          </cell>
          <cell r="Y291">
            <v>0</v>
          </cell>
          <cell r="AA291">
            <v>0</v>
          </cell>
          <cell r="AJ291">
            <v>0</v>
          </cell>
          <cell r="AN291">
            <v>0</v>
          </cell>
          <cell r="AR291">
            <v>0</v>
          </cell>
          <cell r="AV291">
            <v>0</v>
          </cell>
          <cell r="AZ291">
            <v>0</v>
          </cell>
        </row>
        <row r="292">
          <cell r="Q292">
            <v>0</v>
          </cell>
          <cell r="S292">
            <v>0</v>
          </cell>
          <cell r="U292">
            <v>0</v>
          </cell>
          <cell r="V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Y299">
            <v>0</v>
          </cell>
          <cell r="AA299">
            <v>0</v>
          </cell>
          <cell r="AJ299">
            <v>0</v>
          </cell>
          <cell r="AN299">
            <v>0</v>
          </cell>
          <cell r="AR299">
            <v>0</v>
          </cell>
          <cell r="AV299">
            <v>0</v>
          </cell>
          <cell r="AZ299">
            <v>0</v>
          </cell>
        </row>
        <row r="300">
          <cell r="Q300">
            <v>0</v>
          </cell>
          <cell r="S300">
            <v>0</v>
          </cell>
          <cell r="U300">
            <v>0</v>
          </cell>
          <cell r="V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Y325">
            <v>0</v>
          </cell>
          <cell r="AA325">
            <v>0</v>
          </cell>
          <cell r="AJ325">
            <v>0</v>
          </cell>
          <cell r="AN325">
            <v>0</v>
          </cell>
          <cell r="AR325">
            <v>0</v>
          </cell>
          <cell r="AV325">
            <v>0</v>
          </cell>
          <cell r="AZ325">
            <v>0</v>
          </cell>
        </row>
        <row r="326">
          <cell r="Q326">
            <v>0</v>
          </cell>
          <cell r="S326">
            <v>0</v>
          </cell>
          <cell r="U326">
            <v>0</v>
          </cell>
          <cell r="V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Y352">
            <v>0</v>
          </cell>
          <cell r="AA352">
            <v>0</v>
          </cell>
          <cell r="AJ352">
            <v>0</v>
          </cell>
          <cell r="AN352">
            <v>0</v>
          </cell>
          <cell r="AR352">
            <v>0</v>
          </cell>
          <cell r="AV352">
            <v>0</v>
          </cell>
          <cell r="AZ352">
            <v>0</v>
          </cell>
        </row>
        <row r="353">
          <cell r="Q353">
            <v>0</v>
          </cell>
          <cell r="S353">
            <v>0</v>
          </cell>
          <cell r="U353">
            <v>0</v>
          </cell>
          <cell r="V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Y358">
            <v>12100</v>
          </cell>
          <cell r="AA358">
            <v>9075</v>
          </cell>
          <cell r="AJ358">
            <v>33275</v>
          </cell>
          <cell r="AN358">
            <v>27225</v>
          </cell>
          <cell r="AR358">
            <v>21175</v>
          </cell>
          <cell r="AV358">
            <v>15125</v>
          </cell>
          <cell r="AZ358">
            <v>9075</v>
          </cell>
        </row>
        <row r="359">
          <cell r="Q359">
            <v>0</v>
          </cell>
          <cell r="S359">
            <v>0</v>
          </cell>
          <cell r="U359">
            <v>0</v>
          </cell>
          <cell r="V359">
            <v>0</v>
          </cell>
          <cell r="Y359">
            <v>0</v>
          </cell>
          <cell r="AA359">
            <v>0</v>
          </cell>
          <cell r="AJ359">
            <v>0</v>
          </cell>
          <cell r="AN359">
            <v>0</v>
          </cell>
          <cell r="AR359">
            <v>0</v>
          </cell>
          <cell r="AV359">
            <v>0</v>
          </cell>
          <cell r="AZ359">
            <v>0</v>
          </cell>
        </row>
        <row r="360">
          <cell r="Q360">
            <v>0</v>
          </cell>
          <cell r="S360">
            <v>0</v>
          </cell>
          <cell r="U360">
            <v>0</v>
          </cell>
          <cell r="V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Y367">
            <v>0</v>
          </cell>
          <cell r="AA367">
            <v>0</v>
          </cell>
          <cell r="AJ367">
            <v>0</v>
          </cell>
          <cell r="AN367">
            <v>0</v>
          </cell>
          <cell r="AR367">
            <v>0</v>
          </cell>
          <cell r="AV367">
            <v>0</v>
          </cell>
          <cell r="AZ367">
            <v>0</v>
          </cell>
        </row>
        <row r="368">
          <cell r="Q368">
            <v>0</v>
          </cell>
          <cell r="S368">
            <v>0</v>
          </cell>
          <cell r="U368">
            <v>0</v>
          </cell>
          <cell r="V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Y370">
            <v>0</v>
          </cell>
          <cell r="AA370">
            <v>0</v>
          </cell>
          <cell r="AJ370">
            <v>0</v>
          </cell>
          <cell r="AN370">
            <v>0</v>
          </cell>
          <cell r="AR370">
            <v>0</v>
          </cell>
          <cell r="AV370">
            <v>0</v>
          </cell>
          <cell r="AZ370">
            <v>0</v>
          </cell>
        </row>
        <row r="371">
          <cell r="Q371">
            <v>0</v>
          </cell>
          <cell r="S371">
            <v>0</v>
          </cell>
          <cell r="U371">
            <v>0</v>
          </cell>
          <cell r="V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Y387">
            <v>0</v>
          </cell>
          <cell r="AA387">
            <v>0</v>
          </cell>
          <cell r="AJ387">
            <v>0</v>
          </cell>
          <cell r="AN387">
            <v>0</v>
          </cell>
          <cell r="AR387">
            <v>0</v>
          </cell>
          <cell r="AV387">
            <v>0</v>
          </cell>
          <cell r="AZ387">
            <v>0</v>
          </cell>
        </row>
        <row r="388">
          <cell r="S388">
            <v>221443.22</v>
          </cell>
          <cell r="U388">
            <v>208417.14</v>
          </cell>
          <cell r="V388">
            <v>201904.1</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Y389">
            <v>30797.759999999998</v>
          </cell>
          <cell r="AA389">
            <v>108449.96</v>
          </cell>
          <cell r="AJ389">
            <v>23669.454999999998</v>
          </cell>
          <cell r="AN389">
            <v>70470.728750000009</v>
          </cell>
          <cell r="AR389">
            <v>93291.893333333355</v>
          </cell>
          <cell r="AV389">
            <v>104809.7375</v>
          </cell>
          <cell r="AZ389">
            <v>117630.96208333335</v>
          </cell>
        </row>
        <row r="390">
          <cell r="Y390">
            <v>0</v>
          </cell>
          <cell r="AA390">
            <v>0</v>
          </cell>
          <cell r="AJ390">
            <v>0</v>
          </cell>
          <cell r="AN390">
            <v>0</v>
          </cell>
          <cell r="AR390">
            <v>0</v>
          </cell>
          <cell r="AV390">
            <v>0</v>
          </cell>
          <cell r="AZ390">
            <v>0</v>
          </cell>
        </row>
        <row r="391">
          <cell r="Q391">
            <v>245103.43</v>
          </cell>
          <cell r="S391">
            <v>282507.26</v>
          </cell>
          <cell r="U391">
            <v>365257.8</v>
          </cell>
          <cell r="V391">
            <v>365292.89</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Y404">
            <v>0</v>
          </cell>
          <cell r="AA404">
            <v>0</v>
          </cell>
          <cell r="AJ404">
            <v>0</v>
          </cell>
          <cell r="AN404">
            <v>0</v>
          </cell>
          <cell r="AR404">
            <v>0</v>
          </cell>
          <cell r="AV404">
            <v>0</v>
          </cell>
          <cell r="AZ404">
            <v>0</v>
          </cell>
        </row>
        <row r="405">
          <cell r="Q405">
            <v>0</v>
          </cell>
          <cell r="S405">
            <v>0</v>
          </cell>
          <cell r="U405">
            <v>0</v>
          </cell>
          <cell r="V405">
            <v>0</v>
          </cell>
          <cell r="Y405">
            <v>0</v>
          </cell>
          <cell r="AA405">
            <v>0</v>
          </cell>
          <cell r="AJ405">
            <v>0</v>
          </cell>
          <cell r="AN405">
            <v>0</v>
          </cell>
          <cell r="AR405">
            <v>0</v>
          </cell>
          <cell r="AV405">
            <v>0</v>
          </cell>
          <cell r="AZ405">
            <v>0</v>
          </cell>
        </row>
        <row r="406">
          <cell r="Q406">
            <v>0</v>
          </cell>
          <cell r="S406">
            <v>0</v>
          </cell>
          <cell r="U406">
            <v>0</v>
          </cell>
          <cell r="V406">
            <v>0</v>
          </cell>
          <cell r="Y406">
            <v>0</v>
          </cell>
          <cell r="AA406">
            <v>0</v>
          </cell>
          <cell r="AJ406">
            <v>0</v>
          </cell>
          <cell r="AN406">
            <v>0</v>
          </cell>
          <cell r="AR406">
            <v>0</v>
          </cell>
          <cell r="AV406">
            <v>0</v>
          </cell>
          <cell r="AZ406">
            <v>0</v>
          </cell>
        </row>
        <row r="407">
          <cell r="Q407">
            <v>442116</v>
          </cell>
          <cell r="S407">
            <v>0</v>
          </cell>
          <cell r="U407">
            <v>0</v>
          </cell>
          <cell r="V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Y410">
            <v>0</v>
          </cell>
          <cell r="AA410">
            <v>0</v>
          </cell>
          <cell r="AJ410">
            <v>0</v>
          </cell>
          <cell r="AN410">
            <v>35031.666666666664</v>
          </cell>
          <cell r="AR410">
            <v>35031.666666666664</v>
          </cell>
          <cell r="AV410">
            <v>35031.666666666664</v>
          </cell>
          <cell r="AZ410">
            <v>0</v>
          </cell>
        </row>
        <row r="411">
          <cell r="U411">
            <v>0</v>
          </cell>
          <cell r="V411">
            <v>0</v>
          </cell>
          <cell r="Y411">
            <v>0</v>
          </cell>
          <cell r="AA411">
            <v>0</v>
          </cell>
          <cell r="AJ411">
            <v>0</v>
          </cell>
          <cell r="AN411">
            <v>0</v>
          </cell>
          <cell r="AR411">
            <v>0</v>
          </cell>
          <cell r="AV411">
            <v>0</v>
          </cell>
          <cell r="AZ411">
            <v>0</v>
          </cell>
        </row>
        <row r="412">
          <cell r="U412">
            <v>62092.4</v>
          </cell>
          <cell r="V412">
            <v>62092.4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Y424">
            <v>0</v>
          </cell>
          <cell r="AA424">
            <v>0</v>
          </cell>
          <cell r="AJ424">
            <v>0</v>
          </cell>
          <cell r="AN424">
            <v>0</v>
          </cell>
          <cell r="AR424">
            <v>0</v>
          </cell>
          <cell r="AV424">
            <v>0</v>
          </cell>
          <cell r="AZ424">
            <v>0</v>
          </cell>
        </row>
        <row r="425">
          <cell r="Q425">
            <v>0</v>
          </cell>
          <cell r="S425">
            <v>0</v>
          </cell>
          <cell r="U425">
            <v>0</v>
          </cell>
          <cell r="V425">
            <v>0</v>
          </cell>
          <cell r="Y425">
            <v>0</v>
          </cell>
          <cell r="AA425">
            <v>0</v>
          </cell>
          <cell r="AJ425">
            <v>0</v>
          </cell>
          <cell r="AN425">
            <v>0</v>
          </cell>
          <cell r="AR425">
            <v>0</v>
          </cell>
          <cell r="AV425">
            <v>0</v>
          </cell>
          <cell r="AZ425">
            <v>0</v>
          </cell>
        </row>
        <row r="426">
          <cell r="Q426">
            <v>0</v>
          </cell>
          <cell r="S426">
            <v>0</v>
          </cell>
          <cell r="U426">
            <v>0</v>
          </cell>
          <cell r="V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Y439">
            <v>0</v>
          </cell>
          <cell r="AA439">
            <v>0</v>
          </cell>
          <cell r="AJ439">
            <v>0</v>
          </cell>
          <cell r="AN439">
            <v>0</v>
          </cell>
          <cell r="AR439">
            <v>0</v>
          </cell>
          <cell r="AV439">
            <v>0</v>
          </cell>
          <cell r="AZ439">
            <v>0</v>
          </cell>
        </row>
        <row r="440">
          <cell r="Q440">
            <v>-28332</v>
          </cell>
          <cell r="S440">
            <v>-28332</v>
          </cell>
          <cell r="U440">
            <v>0</v>
          </cell>
          <cell r="V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Y443">
            <v>0</v>
          </cell>
          <cell r="AA443">
            <v>0</v>
          </cell>
          <cell r="AJ443">
            <v>-9.25</v>
          </cell>
          <cell r="AN443">
            <v>-55.5</v>
          </cell>
          <cell r="AR443">
            <v>-55.5</v>
          </cell>
          <cell r="AV443">
            <v>-46.25</v>
          </cell>
          <cell r="AZ443">
            <v>0</v>
          </cell>
        </row>
        <row r="444">
          <cell r="Q444">
            <v>0</v>
          </cell>
          <cell r="S444">
            <v>0</v>
          </cell>
          <cell r="U444">
            <v>0</v>
          </cell>
          <cell r="V444">
            <v>0</v>
          </cell>
          <cell r="Y444">
            <v>0</v>
          </cell>
          <cell r="AA444">
            <v>0</v>
          </cell>
          <cell r="AJ444">
            <v>195299.75</v>
          </cell>
          <cell r="AN444">
            <v>129955</v>
          </cell>
          <cell r="AR444">
            <v>0</v>
          </cell>
          <cell r="AV444">
            <v>0</v>
          </cell>
          <cell r="AZ444">
            <v>0</v>
          </cell>
        </row>
        <row r="445">
          <cell r="Q445">
            <v>53005</v>
          </cell>
          <cell r="S445">
            <v>0</v>
          </cell>
          <cell r="U445">
            <v>0</v>
          </cell>
          <cell r="V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Y448">
            <v>0</v>
          </cell>
          <cell r="AA448">
            <v>0</v>
          </cell>
          <cell r="AJ448">
            <v>2249357.375</v>
          </cell>
          <cell r="AN448">
            <v>0</v>
          </cell>
          <cell r="AR448">
            <v>0</v>
          </cell>
          <cell r="AV448">
            <v>0</v>
          </cell>
          <cell r="AZ448">
            <v>0</v>
          </cell>
        </row>
        <row r="449">
          <cell r="Q449">
            <v>0</v>
          </cell>
          <cell r="S449">
            <v>0</v>
          </cell>
          <cell r="U449">
            <v>0</v>
          </cell>
          <cell r="V449">
            <v>0</v>
          </cell>
          <cell r="Y449">
            <v>0</v>
          </cell>
          <cell r="AA449">
            <v>0</v>
          </cell>
          <cell r="AJ449">
            <v>393.5</v>
          </cell>
          <cell r="AN449">
            <v>196.75</v>
          </cell>
          <cell r="AR449">
            <v>0</v>
          </cell>
          <cell r="AV449">
            <v>0</v>
          </cell>
          <cell r="AZ449">
            <v>0</v>
          </cell>
        </row>
        <row r="450">
          <cell r="Q450">
            <v>0</v>
          </cell>
          <cell r="S450">
            <v>0</v>
          </cell>
          <cell r="U450">
            <v>0</v>
          </cell>
          <cell r="V450">
            <v>0</v>
          </cell>
          <cell r="Y450">
            <v>0</v>
          </cell>
          <cell r="AA450">
            <v>0</v>
          </cell>
          <cell r="AJ450">
            <v>0</v>
          </cell>
          <cell r="AN450">
            <v>0</v>
          </cell>
          <cell r="AR450">
            <v>0</v>
          </cell>
          <cell r="AV450">
            <v>0</v>
          </cell>
          <cell r="AZ450">
            <v>0</v>
          </cell>
        </row>
        <row r="451">
          <cell r="Q451">
            <v>0</v>
          </cell>
          <cell r="S451">
            <v>0</v>
          </cell>
          <cell r="U451">
            <v>0</v>
          </cell>
          <cell r="V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Y452">
            <v>0</v>
          </cell>
          <cell r="AA452">
            <v>0</v>
          </cell>
          <cell r="AJ452">
            <v>-14993.75</v>
          </cell>
          <cell r="AN452">
            <v>0</v>
          </cell>
          <cell r="AR452">
            <v>0</v>
          </cell>
          <cell r="AV452">
            <v>0</v>
          </cell>
          <cell r="AZ452">
            <v>0</v>
          </cell>
        </row>
        <row r="453">
          <cell r="Q453">
            <v>0</v>
          </cell>
          <cell r="S453">
            <v>0</v>
          </cell>
          <cell r="U453">
            <v>0</v>
          </cell>
          <cell r="V453">
            <v>0</v>
          </cell>
          <cell r="Y453">
            <v>0</v>
          </cell>
          <cell r="AA453">
            <v>0</v>
          </cell>
          <cell r="AJ453">
            <v>0</v>
          </cell>
          <cell r="AN453">
            <v>0</v>
          </cell>
          <cell r="AR453">
            <v>0</v>
          </cell>
          <cell r="AV453">
            <v>0</v>
          </cell>
          <cell r="AZ453">
            <v>0</v>
          </cell>
        </row>
        <row r="454">
          <cell r="Q454">
            <v>0</v>
          </cell>
          <cell r="S454">
            <v>0</v>
          </cell>
          <cell r="U454">
            <v>0</v>
          </cell>
          <cell r="V454">
            <v>0</v>
          </cell>
          <cell r="Y454">
            <v>0</v>
          </cell>
          <cell r="AA454">
            <v>0</v>
          </cell>
          <cell r="AJ454">
            <v>-4685.083333333333</v>
          </cell>
          <cell r="AN454">
            <v>0</v>
          </cell>
          <cell r="AR454">
            <v>0</v>
          </cell>
          <cell r="AV454">
            <v>0</v>
          </cell>
          <cell r="AZ454">
            <v>0</v>
          </cell>
        </row>
        <row r="455">
          <cell r="Q455">
            <v>0</v>
          </cell>
          <cell r="S455">
            <v>0</v>
          </cell>
          <cell r="U455">
            <v>0</v>
          </cell>
          <cell r="V455">
            <v>0</v>
          </cell>
          <cell r="Y455">
            <v>0</v>
          </cell>
          <cell r="AA455">
            <v>0</v>
          </cell>
          <cell r="AJ455">
            <v>626364.625</v>
          </cell>
          <cell r="AN455">
            <v>0</v>
          </cell>
          <cell r="AR455">
            <v>0</v>
          </cell>
          <cell r="AV455">
            <v>0</v>
          </cell>
          <cell r="AZ455">
            <v>0</v>
          </cell>
        </row>
        <row r="456">
          <cell r="Q456">
            <v>0</v>
          </cell>
          <cell r="S456">
            <v>0</v>
          </cell>
          <cell r="U456">
            <v>0</v>
          </cell>
          <cell r="V456">
            <v>0</v>
          </cell>
          <cell r="Y456">
            <v>0</v>
          </cell>
          <cell r="AA456">
            <v>0</v>
          </cell>
          <cell r="AJ456">
            <v>0</v>
          </cell>
          <cell r="AN456">
            <v>0</v>
          </cell>
          <cell r="AR456">
            <v>0</v>
          </cell>
          <cell r="AV456">
            <v>0</v>
          </cell>
          <cell r="AZ456">
            <v>0</v>
          </cell>
        </row>
        <row r="457">
          <cell r="Q457">
            <v>0</v>
          </cell>
          <cell r="S457">
            <v>0</v>
          </cell>
          <cell r="U457">
            <v>0</v>
          </cell>
          <cell r="V457">
            <v>0</v>
          </cell>
          <cell r="Y457">
            <v>0</v>
          </cell>
          <cell r="AA457">
            <v>0</v>
          </cell>
          <cell r="AJ457">
            <v>0</v>
          </cell>
          <cell r="AN457">
            <v>0</v>
          </cell>
          <cell r="AR457">
            <v>0</v>
          </cell>
          <cell r="AV457">
            <v>0</v>
          </cell>
          <cell r="AZ457">
            <v>0</v>
          </cell>
        </row>
        <row r="458">
          <cell r="Q458">
            <v>-122</v>
          </cell>
          <cell r="S458">
            <v>-122</v>
          </cell>
          <cell r="U458">
            <v>0</v>
          </cell>
          <cell r="V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Y464">
            <v>0</v>
          </cell>
          <cell r="AA464">
            <v>0</v>
          </cell>
          <cell r="AJ464">
            <v>0</v>
          </cell>
          <cell r="AN464">
            <v>0</v>
          </cell>
          <cell r="AR464">
            <v>0</v>
          </cell>
          <cell r="AV464">
            <v>0</v>
          </cell>
          <cell r="AZ464">
            <v>0</v>
          </cell>
        </row>
        <row r="465">
          <cell r="Q465">
            <v>0</v>
          </cell>
          <cell r="S465">
            <v>0</v>
          </cell>
          <cell r="U465">
            <v>0</v>
          </cell>
          <cell r="V465">
            <v>0</v>
          </cell>
          <cell r="Y465">
            <v>0</v>
          </cell>
          <cell r="AA465">
            <v>0</v>
          </cell>
          <cell r="AJ465">
            <v>0</v>
          </cell>
          <cell r="AN465">
            <v>0</v>
          </cell>
          <cell r="AR465">
            <v>0</v>
          </cell>
          <cell r="AV465">
            <v>0</v>
          </cell>
          <cell r="AZ465">
            <v>0</v>
          </cell>
        </row>
        <row r="466">
          <cell r="Q466">
            <v>0</v>
          </cell>
          <cell r="S466">
            <v>0</v>
          </cell>
          <cell r="U466">
            <v>0</v>
          </cell>
          <cell r="V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Y468">
            <v>0</v>
          </cell>
          <cell r="AA468">
            <v>0</v>
          </cell>
          <cell r="AJ468">
            <v>0</v>
          </cell>
          <cell r="AN468">
            <v>0</v>
          </cell>
          <cell r="AR468">
            <v>0</v>
          </cell>
          <cell r="AV468">
            <v>0</v>
          </cell>
          <cell r="AZ468">
            <v>0</v>
          </cell>
        </row>
        <row r="469">
          <cell r="Q469">
            <v>0</v>
          </cell>
          <cell r="S469">
            <v>0</v>
          </cell>
          <cell r="U469">
            <v>0</v>
          </cell>
          <cell r="V469">
            <v>0</v>
          </cell>
          <cell r="Y469">
            <v>0</v>
          </cell>
          <cell r="AA469">
            <v>0</v>
          </cell>
          <cell r="AJ469">
            <v>0</v>
          </cell>
          <cell r="AN469">
            <v>0</v>
          </cell>
          <cell r="AR469">
            <v>0</v>
          </cell>
          <cell r="AV469">
            <v>0</v>
          </cell>
          <cell r="AZ469">
            <v>0</v>
          </cell>
        </row>
        <row r="470">
          <cell r="Q470">
            <v>0</v>
          </cell>
          <cell r="S470">
            <v>0</v>
          </cell>
          <cell r="U470">
            <v>0</v>
          </cell>
          <cell r="V470">
            <v>0</v>
          </cell>
          <cell r="Y470">
            <v>0</v>
          </cell>
          <cell r="AA470">
            <v>0</v>
          </cell>
          <cell r="AJ470">
            <v>0</v>
          </cell>
          <cell r="AN470">
            <v>0</v>
          </cell>
          <cell r="AR470">
            <v>0</v>
          </cell>
          <cell r="AV470">
            <v>0</v>
          </cell>
          <cell r="AZ470">
            <v>0</v>
          </cell>
        </row>
        <row r="471">
          <cell r="Q471">
            <v>138086.82999999999</v>
          </cell>
          <cell r="S471">
            <v>0</v>
          </cell>
          <cell r="U471">
            <v>0</v>
          </cell>
          <cell r="V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Y472">
            <v>0</v>
          </cell>
          <cell r="AA472">
            <v>0</v>
          </cell>
          <cell r="AJ472">
            <v>0</v>
          </cell>
          <cell r="AN472">
            <v>0</v>
          </cell>
          <cell r="AR472">
            <v>0</v>
          </cell>
          <cell r="AV472">
            <v>0</v>
          </cell>
          <cell r="AZ472">
            <v>0</v>
          </cell>
        </row>
        <row r="473">
          <cell r="Q473">
            <v>0</v>
          </cell>
          <cell r="S473">
            <v>0</v>
          </cell>
          <cell r="U473">
            <v>0</v>
          </cell>
          <cell r="V473">
            <v>0</v>
          </cell>
          <cell r="Y473">
            <v>0</v>
          </cell>
          <cell r="AA473">
            <v>0</v>
          </cell>
          <cell r="AJ473">
            <v>0</v>
          </cell>
          <cell r="AN473">
            <v>0</v>
          </cell>
          <cell r="AR473">
            <v>0</v>
          </cell>
          <cell r="AV473">
            <v>0</v>
          </cell>
          <cell r="AZ473">
            <v>0</v>
          </cell>
        </row>
        <row r="474">
          <cell r="Q474">
            <v>0</v>
          </cell>
          <cell r="S474">
            <v>0</v>
          </cell>
          <cell r="U474">
            <v>0</v>
          </cell>
          <cell r="V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Y485">
            <v>0</v>
          </cell>
          <cell r="AA485">
            <v>0</v>
          </cell>
          <cell r="AJ485">
            <v>0</v>
          </cell>
          <cell r="AN485">
            <v>0</v>
          </cell>
          <cell r="AR485">
            <v>0</v>
          </cell>
          <cell r="AV485">
            <v>0</v>
          </cell>
          <cell r="AZ485">
            <v>0</v>
          </cell>
        </row>
        <row r="486">
          <cell r="Q486">
            <v>0</v>
          </cell>
          <cell r="S486">
            <v>0</v>
          </cell>
          <cell r="U486">
            <v>0</v>
          </cell>
          <cell r="V486">
            <v>0</v>
          </cell>
          <cell r="Y486">
            <v>0</v>
          </cell>
          <cell r="AA486">
            <v>0</v>
          </cell>
          <cell r="AJ486">
            <v>0</v>
          </cell>
          <cell r="AN486">
            <v>0</v>
          </cell>
          <cell r="AR486">
            <v>0</v>
          </cell>
          <cell r="AV486">
            <v>0</v>
          </cell>
          <cell r="AZ486">
            <v>0</v>
          </cell>
        </row>
        <row r="487">
          <cell r="Q487">
            <v>0</v>
          </cell>
          <cell r="S487">
            <v>0</v>
          </cell>
          <cell r="U487">
            <v>0</v>
          </cell>
          <cell r="V487">
            <v>0</v>
          </cell>
          <cell r="Y487">
            <v>0</v>
          </cell>
          <cell r="AA487">
            <v>0</v>
          </cell>
          <cell r="AJ487">
            <v>0</v>
          </cell>
          <cell r="AN487">
            <v>0</v>
          </cell>
          <cell r="AR487">
            <v>0</v>
          </cell>
          <cell r="AV487">
            <v>0</v>
          </cell>
          <cell r="AZ487">
            <v>0</v>
          </cell>
        </row>
        <row r="488">
          <cell r="Q488">
            <v>0</v>
          </cell>
          <cell r="S488">
            <v>0</v>
          </cell>
          <cell r="U488">
            <v>0</v>
          </cell>
          <cell r="V488">
            <v>0</v>
          </cell>
          <cell r="Y488">
            <v>0</v>
          </cell>
          <cell r="AA488">
            <v>0</v>
          </cell>
          <cell r="AJ488">
            <v>0</v>
          </cell>
          <cell r="AN488">
            <v>0</v>
          </cell>
          <cell r="AR488">
            <v>0</v>
          </cell>
          <cell r="AV488">
            <v>0</v>
          </cell>
          <cell r="AZ488">
            <v>0</v>
          </cell>
        </row>
        <row r="489">
          <cell r="Q489">
            <v>0</v>
          </cell>
          <cell r="S489">
            <v>0</v>
          </cell>
          <cell r="U489">
            <v>0</v>
          </cell>
          <cell r="V489">
            <v>0</v>
          </cell>
          <cell r="Y489">
            <v>0</v>
          </cell>
          <cell r="AA489">
            <v>0</v>
          </cell>
          <cell r="AJ489">
            <v>0</v>
          </cell>
          <cell r="AN489">
            <v>0</v>
          </cell>
          <cell r="AR489">
            <v>0</v>
          </cell>
          <cell r="AV489">
            <v>0</v>
          </cell>
          <cell r="AZ489">
            <v>0</v>
          </cell>
        </row>
        <row r="490">
          <cell r="Q490">
            <v>0</v>
          </cell>
          <cell r="S490">
            <v>0</v>
          </cell>
          <cell r="U490">
            <v>0</v>
          </cell>
          <cell r="V490">
            <v>0</v>
          </cell>
          <cell r="Y490">
            <v>0</v>
          </cell>
          <cell r="AA490">
            <v>0</v>
          </cell>
          <cell r="AJ490">
            <v>0</v>
          </cell>
          <cell r="AN490">
            <v>0</v>
          </cell>
          <cell r="AR490">
            <v>0</v>
          </cell>
          <cell r="AV490">
            <v>0</v>
          </cell>
          <cell r="AZ490">
            <v>0</v>
          </cell>
        </row>
        <row r="491">
          <cell r="Q491">
            <v>0</v>
          </cell>
          <cell r="S491">
            <v>0</v>
          </cell>
          <cell r="U491">
            <v>0</v>
          </cell>
          <cell r="V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Y506">
            <v>0</v>
          </cell>
          <cell r="AA506">
            <v>0</v>
          </cell>
          <cell r="AJ506">
            <v>0</v>
          </cell>
          <cell r="AN506">
            <v>0</v>
          </cell>
          <cell r="AR506">
            <v>0</v>
          </cell>
          <cell r="AV506">
            <v>0</v>
          </cell>
          <cell r="AZ506">
            <v>0</v>
          </cell>
        </row>
        <row r="507">
          <cell r="Q507">
            <v>0</v>
          </cell>
          <cell r="S507">
            <v>0</v>
          </cell>
          <cell r="U507">
            <v>0</v>
          </cell>
          <cell r="V507">
            <v>0</v>
          </cell>
          <cell r="Y507">
            <v>0</v>
          </cell>
          <cell r="AA507">
            <v>0</v>
          </cell>
          <cell r="AJ507">
            <v>0</v>
          </cell>
          <cell r="AN507">
            <v>0</v>
          </cell>
          <cell r="AR507">
            <v>0</v>
          </cell>
          <cell r="AV507">
            <v>0</v>
          </cell>
          <cell r="AZ507">
            <v>0</v>
          </cell>
        </row>
        <row r="508">
          <cell r="Q508">
            <v>0</v>
          </cell>
          <cell r="S508">
            <v>0</v>
          </cell>
          <cell r="U508">
            <v>0</v>
          </cell>
          <cell r="V508">
            <v>0</v>
          </cell>
          <cell r="Y508">
            <v>0</v>
          </cell>
          <cell r="AA508">
            <v>0</v>
          </cell>
          <cell r="AJ508">
            <v>0</v>
          </cell>
          <cell r="AN508">
            <v>0</v>
          </cell>
          <cell r="AR508">
            <v>0</v>
          </cell>
          <cell r="AV508">
            <v>0</v>
          </cell>
          <cell r="AZ508">
            <v>0</v>
          </cell>
        </row>
        <row r="509">
          <cell r="Q509">
            <v>2125913.37</v>
          </cell>
          <cell r="S509">
            <v>937910.71</v>
          </cell>
          <cell r="U509">
            <v>0</v>
          </cell>
          <cell r="V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Y537">
            <v>0</v>
          </cell>
          <cell r="AA537">
            <v>0</v>
          </cell>
          <cell r="AJ537">
            <v>0</v>
          </cell>
          <cell r="AN537">
            <v>0</v>
          </cell>
          <cell r="AR537">
            <v>0</v>
          </cell>
          <cell r="AV537">
            <v>0</v>
          </cell>
          <cell r="AZ537">
            <v>0</v>
          </cell>
        </row>
        <row r="538">
          <cell r="Q538">
            <v>65629.84</v>
          </cell>
          <cell r="S538">
            <v>0</v>
          </cell>
          <cell r="U538">
            <v>0</v>
          </cell>
          <cell r="V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Y573">
            <v>0</v>
          </cell>
          <cell r="AA573">
            <v>0</v>
          </cell>
          <cell r="AJ573">
            <v>0</v>
          </cell>
          <cell r="AN573">
            <v>0</v>
          </cell>
          <cell r="AR573">
            <v>0</v>
          </cell>
          <cell r="AV573">
            <v>0</v>
          </cell>
          <cell r="AZ573">
            <v>0</v>
          </cell>
        </row>
        <row r="574">
          <cell r="Q574">
            <v>-57848</v>
          </cell>
          <cell r="S574">
            <v>-57848</v>
          </cell>
          <cell r="U574">
            <v>-57848</v>
          </cell>
          <cell r="V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Y599">
            <v>0</v>
          </cell>
          <cell r="AA599">
            <v>0</v>
          </cell>
          <cell r="AJ599">
            <v>0</v>
          </cell>
          <cell r="AN599">
            <v>0</v>
          </cell>
          <cell r="AR599">
            <v>0</v>
          </cell>
          <cell r="AV599">
            <v>0</v>
          </cell>
          <cell r="AZ599">
            <v>0</v>
          </cell>
        </row>
        <row r="600">
          <cell r="Q600">
            <v>0</v>
          </cell>
          <cell r="S600">
            <v>0</v>
          </cell>
          <cell r="U600">
            <v>0</v>
          </cell>
          <cell r="V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Y604">
            <v>0</v>
          </cell>
          <cell r="AA604">
            <v>0</v>
          </cell>
          <cell r="AJ604">
            <v>0</v>
          </cell>
          <cell r="AN604">
            <v>0</v>
          </cell>
          <cell r="AR604">
            <v>0</v>
          </cell>
          <cell r="AV604">
            <v>0</v>
          </cell>
          <cell r="AZ604">
            <v>0</v>
          </cell>
        </row>
        <row r="605">
          <cell r="Q605">
            <v>0</v>
          </cell>
          <cell r="S605">
            <v>0</v>
          </cell>
          <cell r="U605">
            <v>0</v>
          </cell>
          <cell r="V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Y608">
            <v>0</v>
          </cell>
          <cell r="AA608">
            <v>0</v>
          </cell>
          <cell r="AJ608">
            <v>0</v>
          </cell>
          <cell r="AN608">
            <v>0</v>
          </cell>
          <cell r="AR608">
            <v>0</v>
          </cell>
          <cell r="AV608">
            <v>0</v>
          </cell>
          <cell r="AZ608">
            <v>0</v>
          </cell>
        </row>
        <row r="609">
          <cell r="Q609">
            <v>0</v>
          </cell>
          <cell r="S609">
            <v>307.75</v>
          </cell>
          <cell r="U609">
            <v>0</v>
          </cell>
          <cell r="V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Y629">
            <v>0</v>
          </cell>
          <cell r="AA629">
            <v>0</v>
          </cell>
          <cell r="AJ629">
            <v>0</v>
          </cell>
          <cell r="AN629">
            <v>0</v>
          </cell>
          <cell r="AR629">
            <v>0</v>
          </cell>
          <cell r="AV629">
            <v>0</v>
          </cell>
          <cell r="AZ629">
            <v>0</v>
          </cell>
        </row>
        <row r="630">
          <cell r="Q630">
            <v>0</v>
          </cell>
          <cell r="S630">
            <v>0</v>
          </cell>
          <cell r="U630">
            <v>0</v>
          </cell>
          <cell r="V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Y638">
            <v>0</v>
          </cell>
          <cell r="AA638">
            <v>0</v>
          </cell>
          <cell r="AJ638">
            <v>0</v>
          </cell>
          <cell r="AN638">
            <v>0</v>
          </cell>
          <cell r="AR638">
            <v>0</v>
          </cell>
          <cell r="AV638">
            <v>0</v>
          </cell>
          <cell r="AZ638">
            <v>0</v>
          </cell>
        </row>
        <row r="639">
          <cell r="Q639">
            <v>0</v>
          </cell>
          <cell r="S639">
            <v>0</v>
          </cell>
          <cell r="U639">
            <v>0</v>
          </cell>
          <cell r="V639">
            <v>0</v>
          </cell>
          <cell r="Y639">
            <v>0</v>
          </cell>
          <cell r="AA639">
            <v>0</v>
          </cell>
          <cell r="AJ639">
            <v>0</v>
          </cell>
          <cell r="AN639">
            <v>0</v>
          </cell>
          <cell r="AR639">
            <v>0</v>
          </cell>
          <cell r="AV639">
            <v>0</v>
          </cell>
          <cell r="AZ639">
            <v>0</v>
          </cell>
        </row>
        <row r="640">
          <cell r="Q640">
            <v>0</v>
          </cell>
          <cell r="S640">
            <v>0</v>
          </cell>
          <cell r="U640">
            <v>0</v>
          </cell>
          <cell r="V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Y660">
            <v>0</v>
          </cell>
          <cell r="AA660">
            <v>0</v>
          </cell>
          <cell r="AJ660">
            <v>0</v>
          </cell>
          <cell r="AN660">
            <v>0</v>
          </cell>
          <cell r="AR660">
            <v>0</v>
          </cell>
          <cell r="AV660">
            <v>0</v>
          </cell>
          <cell r="AZ660">
            <v>0</v>
          </cell>
        </row>
        <row r="661">
          <cell r="Q661">
            <v>0</v>
          </cell>
          <cell r="S661">
            <v>0</v>
          </cell>
          <cell r="U661">
            <v>0</v>
          </cell>
          <cell r="V661">
            <v>0</v>
          </cell>
          <cell r="Y661">
            <v>0</v>
          </cell>
          <cell r="AA661">
            <v>0</v>
          </cell>
          <cell r="AJ661">
            <v>0</v>
          </cell>
          <cell r="AN661">
            <v>0</v>
          </cell>
          <cell r="AR661">
            <v>0</v>
          </cell>
          <cell r="AV661">
            <v>0</v>
          </cell>
          <cell r="AZ661">
            <v>0</v>
          </cell>
        </row>
        <row r="662">
          <cell r="Q662">
            <v>0</v>
          </cell>
          <cell r="S662">
            <v>0</v>
          </cell>
          <cell r="U662">
            <v>0</v>
          </cell>
          <cell r="V662">
            <v>0</v>
          </cell>
          <cell r="Y662">
            <v>0</v>
          </cell>
          <cell r="AA662">
            <v>0</v>
          </cell>
          <cell r="AJ662">
            <v>0</v>
          </cell>
          <cell r="AN662">
            <v>0</v>
          </cell>
          <cell r="AR662">
            <v>0</v>
          </cell>
          <cell r="AV662">
            <v>0</v>
          </cell>
          <cell r="AZ662">
            <v>0</v>
          </cell>
        </row>
        <row r="663">
          <cell r="Q663">
            <v>0</v>
          </cell>
          <cell r="S663">
            <v>0</v>
          </cell>
          <cell r="U663">
            <v>0</v>
          </cell>
          <cell r="V663">
            <v>0</v>
          </cell>
          <cell r="Y663">
            <v>0</v>
          </cell>
          <cell r="AA663">
            <v>0</v>
          </cell>
          <cell r="AJ663">
            <v>0</v>
          </cell>
          <cell r="AN663">
            <v>0</v>
          </cell>
          <cell r="AR663">
            <v>0</v>
          </cell>
          <cell r="AV663">
            <v>0</v>
          </cell>
          <cell r="AZ663">
            <v>0</v>
          </cell>
        </row>
        <row r="664">
          <cell r="Q664">
            <v>280246.48</v>
          </cell>
          <cell r="S664">
            <v>0</v>
          </cell>
          <cell r="U664">
            <v>13157.17</v>
          </cell>
          <cell r="V664">
            <v>13157.17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Y665">
            <v>0</v>
          </cell>
          <cell r="AA665">
            <v>0</v>
          </cell>
          <cell r="AJ665">
            <v>0</v>
          </cell>
          <cell r="AN665">
            <v>0</v>
          </cell>
          <cell r="AR665">
            <v>0</v>
          </cell>
          <cell r="AV665">
            <v>0</v>
          </cell>
          <cell r="AZ665">
            <v>0</v>
          </cell>
        </row>
        <row r="666">
          <cell r="Q666">
            <v>0</v>
          </cell>
          <cell r="S666">
            <v>0</v>
          </cell>
          <cell r="U666">
            <v>0</v>
          </cell>
          <cell r="V666">
            <v>0</v>
          </cell>
          <cell r="Y666">
            <v>0</v>
          </cell>
          <cell r="AA666">
            <v>0</v>
          </cell>
          <cell r="AJ666">
            <v>0</v>
          </cell>
          <cell r="AN666">
            <v>0</v>
          </cell>
          <cell r="AR666">
            <v>0</v>
          </cell>
          <cell r="AV666">
            <v>0</v>
          </cell>
          <cell r="AZ666">
            <v>0</v>
          </cell>
        </row>
        <row r="667">
          <cell r="Q667">
            <v>0</v>
          </cell>
          <cell r="S667">
            <v>0</v>
          </cell>
          <cell r="U667">
            <v>0</v>
          </cell>
          <cell r="V667">
            <v>0</v>
          </cell>
          <cell r="Y667">
            <v>0</v>
          </cell>
          <cell r="AA667">
            <v>0</v>
          </cell>
          <cell r="AJ667">
            <v>0</v>
          </cell>
          <cell r="AN667">
            <v>0</v>
          </cell>
          <cell r="AR667">
            <v>0</v>
          </cell>
          <cell r="AV667">
            <v>0</v>
          </cell>
          <cell r="AZ667">
            <v>0</v>
          </cell>
        </row>
        <row r="668">
          <cell r="Q668">
            <v>0</v>
          </cell>
          <cell r="S668">
            <v>0</v>
          </cell>
          <cell r="U668">
            <v>0</v>
          </cell>
          <cell r="V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Y670">
            <v>0</v>
          </cell>
          <cell r="AA670">
            <v>0</v>
          </cell>
          <cell r="AJ670">
            <v>0</v>
          </cell>
          <cell r="AN670">
            <v>0</v>
          </cell>
          <cell r="AR670">
            <v>0</v>
          </cell>
          <cell r="AV670">
            <v>0</v>
          </cell>
          <cell r="AZ670">
            <v>0</v>
          </cell>
        </row>
        <row r="671">
          <cell r="Q671">
            <v>0</v>
          </cell>
          <cell r="S671">
            <v>0</v>
          </cell>
          <cell r="U671">
            <v>0</v>
          </cell>
          <cell r="V671">
            <v>0</v>
          </cell>
          <cell r="Y671">
            <v>0</v>
          </cell>
          <cell r="AA671">
            <v>0</v>
          </cell>
          <cell r="AJ671">
            <v>0</v>
          </cell>
          <cell r="AN671">
            <v>0</v>
          </cell>
          <cell r="AR671">
            <v>0</v>
          </cell>
          <cell r="AV671">
            <v>0</v>
          </cell>
          <cell r="AZ671">
            <v>0</v>
          </cell>
        </row>
        <row r="672">
          <cell r="Q672">
            <v>0</v>
          </cell>
          <cell r="S672">
            <v>0</v>
          </cell>
          <cell r="U672">
            <v>0</v>
          </cell>
          <cell r="V672">
            <v>0</v>
          </cell>
          <cell r="Y672">
            <v>0</v>
          </cell>
          <cell r="AA672">
            <v>0</v>
          </cell>
          <cell r="AJ672">
            <v>0</v>
          </cell>
          <cell r="AN672">
            <v>0</v>
          </cell>
          <cell r="AR672">
            <v>0</v>
          </cell>
          <cell r="AV672">
            <v>0</v>
          </cell>
          <cell r="AZ672">
            <v>0</v>
          </cell>
        </row>
        <row r="673">
          <cell r="U673">
            <v>0</v>
          </cell>
          <cell r="V673">
            <v>0</v>
          </cell>
          <cell r="Y673">
            <v>0</v>
          </cell>
          <cell r="AA673">
            <v>0</v>
          </cell>
          <cell r="AJ673">
            <v>0</v>
          </cell>
          <cell r="AN673">
            <v>0</v>
          </cell>
          <cell r="AR673">
            <v>0</v>
          </cell>
          <cell r="AV673">
            <v>0</v>
          </cell>
          <cell r="AZ673">
            <v>0</v>
          </cell>
        </row>
        <row r="674">
          <cell r="U674">
            <v>0</v>
          </cell>
          <cell r="V674">
            <v>0</v>
          </cell>
          <cell r="Y674">
            <v>0</v>
          </cell>
          <cell r="AA674">
            <v>0</v>
          </cell>
          <cell r="AJ674">
            <v>0</v>
          </cell>
          <cell r="AN674">
            <v>0</v>
          </cell>
          <cell r="AR674">
            <v>0</v>
          </cell>
          <cell r="AV674">
            <v>0</v>
          </cell>
          <cell r="AZ674">
            <v>0</v>
          </cell>
        </row>
        <row r="675">
          <cell r="Q675">
            <v>0</v>
          </cell>
          <cell r="S675">
            <v>0</v>
          </cell>
          <cell r="U675">
            <v>0</v>
          </cell>
          <cell r="V675">
            <v>0</v>
          </cell>
          <cell r="Y675">
            <v>0</v>
          </cell>
          <cell r="AA675">
            <v>0</v>
          </cell>
          <cell r="AJ675">
            <v>0</v>
          </cell>
          <cell r="AN675">
            <v>0</v>
          </cell>
          <cell r="AR675">
            <v>0</v>
          </cell>
          <cell r="AV675">
            <v>0</v>
          </cell>
          <cell r="AZ675">
            <v>0</v>
          </cell>
        </row>
        <row r="676">
          <cell r="Q676">
            <v>0</v>
          </cell>
          <cell r="S676">
            <v>0</v>
          </cell>
          <cell r="U676">
            <v>0</v>
          </cell>
          <cell r="V676">
            <v>0</v>
          </cell>
          <cell r="Y676">
            <v>0</v>
          </cell>
          <cell r="AA676">
            <v>0</v>
          </cell>
          <cell r="AJ676">
            <v>0</v>
          </cell>
          <cell r="AN676">
            <v>0</v>
          </cell>
          <cell r="AR676">
            <v>0</v>
          </cell>
          <cell r="AV676">
            <v>0</v>
          </cell>
          <cell r="AZ676">
            <v>0</v>
          </cell>
        </row>
        <row r="677">
          <cell r="Q677">
            <v>0</v>
          </cell>
          <cell r="S677">
            <v>0</v>
          </cell>
          <cell r="U677">
            <v>0</v>
          </cell>
          <cell r="V677">
            <v>0</v>
          </cell>
          <cell r="Y677">
            <v>0</v>
          </cell>
          <cell r="AA677">
            <v>0</v>
          </cell>
          <cell r="AJ677">
            <v>0</v>
          </cell>
          <cell r="AN677">
            <v>0</v>
          </cell>
          <cell r="AR677">
            <v>0</v>
          </cell>
          <cell r="AV677">
            <v>0</v>
          </cell>
          <cell r="AZ677">
            <v>0</v>
          </cell>
        </row>
        <row r="678">
          <cell r="Q678">
            <v>0</v>
          </cell>
          <cell r="S678">
            <v>0</v>
          </cell>
          <cell r="U678">
            <v>0</v>
          </cell>
          <cell r="V678">
            <v>0</v>
          </cell>
          <cell r="Y678">
            <v>0</v>
          </cell>
          <cell r="AA678">
            <v>0</v>
          </cell>
          <cell r="AJ678">
            <v>0</v>
          </cell>
          <cell r="AN678">
            <v>0</v>
          </cell>
          <cell r="AR678">
            <v>0</v>
          </cell>
          <cell r="AV678">
            <v>0</v>
          </cell>
          <cell r="AZ678">
            <v>0</v>
          </cell>
        </row>
        <row r="679">
          <cell r="Q679">
            <v>0</v>
          </cell>
          <cell r="S679">
            <v>0</v>
          </cell>
          <cell r="U679">
            <v>0</v>
          </cell>
          <cell r="V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Y681">
            <v>0</v>
          </cell>
          <cell r="AA681">
            <v>0</v>
          </cell>
          <cell r="AJ681">
            <v>0</v>
          </cell>
          <cell r="AN681">
            <v>0</v>
          </cell>
          <cell r="AR681">
            <v>0</v>
          </cell>
          <cell r="AV681">
            <v>0</v>
          </cell>
          <cell r="AZ681">
            <v>0</v>
          </cell>
        </row>
        <row r="682">
          <cell r="Q682">
            <v>0</v>
          </cell>
          <cell r="S682">
            <v>0</v>
          </cell>
          <cell r="U682">
            <v>0</v>
          </cell>
          <cell r="V682">
            <v>0</v>
          </cell>
          <cell r="Y682">
            <v>0</v>
          </cell>
          <cell r="AA682">
            <v>0</v>
          </cell>
          <cell r="AJ682">
            <v>0</v>
          </cell>
          <cell r="AN682">
            <v>0</v>
          </cell>
          <cell r="AR682">
            <v>0</v>
          </cell>
          <cell r="AV682">
            <v>0</v>
          </cell>
          <cell r="AZ682">
            <v>0</v>
          </cell>
        </row>
        <row r="683">
          <cell r="Q683">
            <v>0</v>
          </cell>
          <cell r="S683">
            <v>0</v>
          </cell>
          <cell r="U683">
            <v>0</v>
          </cell>
          <cell r="V683">
            <v>0</v>
          </cell>
          <cell r="Y683">
            <v>0</v>
          </cell>
          <cell r="AA683">
            <v>0</v>
          </cell>
          <cell r="AJ683">
            <v>0</v>
          </cell>
          <cell r="AN683">
            <v>0</v>
          </cell>
          <cell r="AR683">
            <v>0</v>
          </cell>
          <cell r="AV683">
            <v>0</v>
          </cell>
          <cell r="AZ683">
            <v>0</v>
          </cell>
        </row>
        <row r="684">
          <cell r="U684">
            <v>0</v>
          </cell>
          <cell r="V684">
            <v>0</v>
          </cell>
          <cell r="Y684">
            <v>0</v>
          </cell>
          <cell r="AA684">
            <v>0</v>
          </cell>
          <cell r="AJ684">
            <v>0</v>
          </cell>
          <cell r="AN684">
            <v>-8.3333333333333339E-4</v>
          </cell>
          <cell r="AR684">
            <v>-8.3333333333333339E-4</v>
          </cell>
          <cell r="AV684">
            <v>-8.3333333333333339E-4</v>
          </cell>
          <cell r="AZ684">
            <v>0</v>
          </cell>
        </row>
        <row r="685">
          <cell r="U685">
            <v>0</v>
          </cell>
          <cell r="V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Y700">
            <v>0</v>
          </cell>
          <cell r="AA700">
            <v>0</v>
          </cell>
          <cell r="AJ700">
            <v>0</v>
          </cell>
          <cell r="AN700">
            <v>0</v>
          </cell>
          <cell r="AR700">
            <v>0</v>
          </cell>
          <cell r="AV700">
            <v>0</v>
          </cell>
          <cell r="AZ700">
            <v>0</v>
          </cell>
        </row>
        <row r="701">
          <cell r="Q701">
            <v>0</v>
          </cell>
          <cell r="S701">
            <v>0</v>
          </cell>
          <cell r="U701">
            <v>0</v>
          </cell>
          <cell r="V701">
            <v>0</v>
          </cell>
          <cell r="Y701">
            <v>0</v>
          </cell>
          <cell r="AA701">
            <v>0</v>
          </cell>
          <cell r="AJ701">
            <v>0</v>
          </cell>
          <cell r="AN701">
            <v>0</v>
          </cell>
          <cell r="AR701">
            <v>0</v>
          </cell>
          <cell r="AV701">
            <v>0</v>
          </cell>
          <cell r="AZ701">
            <v>0</v>
          </cell>
        </row>
        <row r="702">
          <cell r="Q702">
            <v>0</v>
          </cell>
          <cell r="S702">
            <v>0</v>
          </cell>
          <cell r="U702">
            <v>0</v>
          </cell>
          <cell r="V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Y709">
            <v>0</v>
          </cell>
          <cell r="AA709">
            <v>0</v>
          </cell>
          <cell r="AJ709">
            <v>0</v>
          </cell>
          <cell r="AN709">
            <v>0</v>
          </cell>
          <cell r="AR709">
            <v>0</v>
          </cell>
          <cell r="AV709">
            <v>0</v>
          </cell>
          <cell r="AZ709">
            <v>0</v>
          </cell>
        </row>
        <row r="710">
          <cell r="Q710">
            <v>798675.66</v>
          </cell>
          <cell r="S710">
            <v>0</v>
          </cell>
          <cell r="U710">
            <v>0</v>
          </cell>
          <cell r="V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Y711">
            <v>0</v>
          </cell>
          <cell r="AA711">
            <v>0</v>
          </cell>
          <cell r="AJ711">
            <v>0</v>
          </cell>
          <cell r="AN711">
            <v>0</v>
          </cell>
          <cell r="AR711">
            <v>0</v>
          </cell>
          <cell r="AV711">
            <v>0</v>
          </cell>
          <cell r="AZ711">
            <v>0</v>
          </cell>
        </row>
        <row r="712">
          <cell r="Q712">
            <v>22434.03</v>
          </cell>
          <cell r="S712">
            <v>0</v>
          </cell>
          <cell r="U712">
            <v>0</v>
          </cell>
          <cell r="V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Y717">
            <v>0</v>
          </cell>
          <cell r="AA717">
            <v>0</v>
          </cell>
          <cell r="AJ717">
            <v>0</v>
          </cell>
          <cell r="AN717">
            <v>0</v>
          </cell>
          <cell r="AR717">
            <v>0</v>
          </cell>
          <cell r="AV717">
            <v>0</v>
          </cell>
          <cell r="AZ717">
            <v>0</v>
          </cell>
        </row>
        <row r="718">
          <cell r="Q718">
            <v>0</v>
          </cell>
          <cell r="S718">
            <v>0</v>
          </cell>
          <cell r="U718">
            <v>0</v>
          </cell>
          <cell r="V718">
            <v>0</v>
          </cell>
          <cell r="Y718">
            <v>0</v>
          </cell>
          <cell r="AA718">
            <v>0</v>
          </cell>
          <cell r="AJ718">
            <v>1832.9875</v>
          </cell>
          <cell r="AN718">
            <v>0</v>
          </cell>
          <cell r="AR718">
            <v>0</v>
          </cell>
          <cell r="AV718">
            <v>0</v>
          </cell>
          <cell r="AZ718">
            <v>0</v>
          </cell>
        </row>
        <row r="719">
          <cell r="U719">
            <v>30871.599999999999</v>
          </cell>
          <cell r="V719">
            <v>31131.599999999999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Y727">
            <v>0</v>
          </cell>
          <cell r="AA727">
            <v>0</v>
          </cell>
          <cell r="AJ727">
            <v>0</v>
          </cell>
          <cell r="AN727">
            <v>0</v>
          </cell>
          <cell r="AR727">
            <v>0</v>
          </cell>
          <cell r="AV727">
            <v>0</v>
          </cell>
          <cell r="AZ727">
            <v>0</v>
          </cell>
        </row>
        <row r="728">
          <cell r="Q728">
            <v>0</v>
          </cell>
          <cell r="S728">
            <v>0</v>
          </cell>
          <cell r="U728">
            <v>0</v>
          </cell>
          <cell r="V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Y731">
            <v>0</v>
          </cell>
          <cell r="AA731">
            <v>0</v>
          </cell>
          <cell r="AJ731">
            <v>-383455.83333333331</v>
          </cell>
          <cell r="AN731">
            <v>-484363.33333333331</v>
          </cell>
          <cell r="AR731">
            <v>-484363.33333333331</v>
          </cell>
          <cell r="AV731">
            <v>-100907.5</v>
          </cell>
          <cell r="AZ731">
            <v>0</v>
          </cell>
        </row>
        <row r="732">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Y745">
            <v>0</v>
          </cell>
          <cell r="AA745">
            <v>0</v>
          </cell>
          <cell r="AJ745">
            <v>0</v>
          </cell>
          <cell r="AN745">
            <v>0</v>
          </cell>
          <cell r="AR745">
            <v>0</v>
          </cell>
          <cell r="AV745">
            <v>0</v>
          </cell>
          <cell r="AZ745">
            <v>0</v>
          </cell>
        </row>
        <row r="746">
          <cell r="Q746">
            <v>0</v>
          </cell>
          <cell r="S746">
            <v>0</v>
          </cell>
          <cell r="U746">
            <v>0</v>
          </cell>
          <cell r="V746">
            <v>0</v>
          </cell>
          <cell r="Y746">
            <v>0</v>
          </cell>
          <cell r="AA746">
            <v>0</v>
          </cell>
          <cell r="AJ746">
            <v>19670.1675</v>
          </cell>
          <cell r="AN746">
            <v>7965.6274999999987</v>
          </cell>
          <cell r="AR746">
            <v>1463.0874999999999</v>
          </cell>
          <cell r="AV746">
            <v>0</v>
          </cell>
          <cell r="AZ746">
            <v>0</v>
          </cell>
        </row>
        <row r="747">
          <cell r="U747">
            <v>3088604.12</v>
          </cell>
          <cell r="V747">
            <v>3151785.34</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Y748">
            <v>0</v>
          </cell>
          <cell r="AA748">
            <v>0</v>
          </cell>
          <cell r="AJ748">
            <v>0</v>
          </cell>
          <cell r="AN748">
            <v>0</v>
          </cell>
          <cell r="AR748">
            <v>0</v>
          </cell>
          <cell r="AV748">
            <v>0</v>
          </cell>
          <cell r="AZ748">
            <v>0</v>
          </cell>
        </row>
        <row r="749">
          <cell r="U749">
            <v>441471.45</v>
          </cell>
          <cell r="V749">
            <v>490336.87</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Y752">
            <v>0</v>
          </cell>
          <cell r="AA752">
            <v>0</v>
          </cell>
          <cell r="AJ752">
            <v>0</v>
          </cell>
          <cell r="AN752">
            <v>0</v>
          </cell>
          <cell r="AR752">
            <v>0</v>
          </cell>
          <cell r="AV752">
            <v>0</v>
          </cell>
          <cell r="AZ752">
            <v>0</v>
          </cell>
        </row>
        <row r="753">
          <cell r="Q753">
            <v>0</v>
          </cell>
          <cell r="S753">
            <v>0</v>
          </cell>
          <cell r="U753">
            <v>0</v>
          </cell>
          <cell r="V753">
            <v>0</v>
          </cell>
          <cell r="Y753">
            <v>0</v>
          </cell>
          <cell r="AA753">
            <v>0</v>
          </cell>
          <cell r="AJ753">
            <v>0</v>
          </cell>
          <cell r="AN753">
            <v>0</v>
          </cell>
          <cell r="AR753">
            <v>0</v>
          </cell>
          <cell r="AV753">
            <v>0</v>
          </cell>
          <cell r="AZ753">
            <v>0</v>
          </cell>
        </row>
        <row r="754">
          <cell r="V754">
            <v>0</v>
          </cell>
          <cell r="Y754">
            <v>329941.96999999997</v>
          </cell>
          <cell r="AA754">
            <v>306374.69</v>
          </cell>
          <cell r="AJ754">
            <v>0</v>
          </cell>
          <cell r="AN754">
            <v>0</v>
          </cell>
          <cell r="AR754">
            <v>71683.820416666669</v>
          </cell>
          <cell r="AV754">
            <v>173808.71708333332</v>
          </cell>
          <cell r="AZ754">
            <v>260222.09375</v>
          </cell>
        </row>
        <row r="755">
          <cell r="V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Y757">
            <v>0</v>
          </cell>
          <cell r="AA757">
            <v>0</v>
          </cell>
          <cell r="AJ757">
            <v>0</v>
          </cell>
          <cell r="AN757">
            <v>0</v>
          </cell>
          <cell r="AR757">
            <v>0</v>
          </cell>
          <cell r="AV757">
            <v>0</v>
          </cell>
          <cell r="AZ757">
            <v>0</v>
          </cell>
        </row>
        <row r="758">
          <cell r="U758">
            <v>0</v>
          </cell>
          <cell r="V758">
            <v>0</v>
          </cell>
          <cell r="Y758">
            <v>0</v>
          </cell>
          <cell r="AA758">
            <v>0</v>
          </cell>
          <cell r="AJ758">
            <v>0</v>
          </cell>
          <cell r="AN758">
            <v>0</v>
          </cell>
          <cell r="AR758">
            <v>0</v>
          </cell>
          <cell r="AV758">
            <v>0</v>
          </cell>
          <cell r="AZ758">
            <v>0</v>
          </cell>
        </row>
        <row r="759">
          <cell r="Q759">
            <v>0</v>
          </cell>
          <cell r="S759">
            <v>0</v>
          </cell>
          <cell r="U759">
            <v>0</v>
          </cell>
          <cell r="V759">
            <v>0</v>
          </cell>
          <cell r="Y759">
            <v>0</v>
          </cell>
          <cell r="AA759">
            <v>0</v>
          </cell>
          <cell r="AJ759">
            <v>0</v>
          </cell>
          <cell r="AN759">
            <v>0</v>
          </cell>
          <cell r="AR759">
            <v>0</v>
          </cell>
          <cell r="AV759">
            <v>0</v>
          </cell>
          <cell r="AZ759">
            <v>0</v>
          </cell>
        </row>
        <row r="760">
          <cell r="Q760">
            <v>0</v>
          </cell>
          <cell r="S760">
            <v>0</v>
          </cell>
          <cell r="U760">
            <v>0</v>
          </cell>
          <cell r="V760">
            <v>0</v>
          </cell>
          <cell r="Y760">
            <v>0</v>
          </cell>
          <cell r="AA760">
            <v>0</v>
          </cell>
          <cell r="AJ760">
            <v>0</v>
          </cell>
          <cell r="AN760">
            <v>0</v>
          </cell>
          <cell r="AR760">
            <v>0</v>
          </cell>
          <cell r="AV760">
            <v>0</v>
          </cell>
          <cell r="AZ760">
            <v>0</v>
          </cell>
        </row>
        <row r="761">
          <cell r="Q761">
            <v>0</v>
          </cell>
          <cell r="S761">
            <v>0</v>
          </cell>
          <cell r="U761">
            <v>0</v>
          </cell>
          <cell r="V761">
            <v>0</v>
          </cell>
          <cell r="Y761">
            <v>0</v>
          </cell>
          <cell r="AA761">
            <v>0</v>
          </cell>
          <cell r="AJ761">
            <v>0</v>
          </cell>
          <cell r="AN761">
            <v>0</v>
          </cell>
          <cell r="AR761">
            <v>0</v>
          </cell>
          <cell r="AV761">
            <v>0</v>
          </cell>
          <cell r="AZ761">
            <v>0</v>
          </cell>
        </row>
        <row r="762">
          <cell r="Q762">
            <v>0</v>
          </cell>
          <cell r="S762">
            <v>0</v>
          </cell>
          <cell r="U762">
            <v>0</v>
          </cell>
          <cell r="V762">
            <v>0</v>
          </cell>
          <cell r="Y762">
            <v>0</v>
          </cell>
          <cell r="AA762">
            <v>0</v>
          </cell>
          <cell r="AJ762">
            <v>0</v>
          </cell>
          <cell r="AN762">
            <v>0</v>
          </cell>
          <cell r="AR762">
            <v>0</v>
          </cell>
          <cell r="AV762">
            <v>0</v>
          </cell>
          <cell r="AZ762">
            <v>0</v>
          </cell>
        </row>
        <row r="763">
          <cell r="Q763">
            <v>0</v>
          </cell>
          <cell r="S763">
            <v>0</v>
          </cell>
          <cell r="U763">
            <v>0</v>
          </cell>
          <cell r="V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Y782">
            <v>0</v>
          </cell>
          <cell r="AA782">
            <v>0</v>
          </cell>
          <cell r="AJ782">
            <v>0</v>
          </cell>
          <cell r="AN782">
            <v>0</v>
          </cell>
          <cell r="AR782">
            <v>0</v>
          </cell>
          <cell r="AV782">
            <v>0</v>
          </cell>
          <cell r="AZ782">
            <v>0</v>
          </cell>
        </row>
        <row r="783">
          <cell r="Q783">
            <v>0</v>
          </cell>
          <cell r="S783">
            <v>0</v>
          </cell>
          <cell r="U783">
            <v>0</v>
          </cell>
          <cell r="V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Y786">
            <v>0</v>
          </cell>
          <cell r="AA786">
            <v>0</v>
          </cell>
          <cell r="AJ786">
            <v>948.33333333333337</v>
          </cell>
          <cell r="AN786">
            <v>948.33333333333337</v>
          </cell>
          <cell r="AR786">
            <v>948.33333333333337</v>
          </cell>
          <cell r="AV786">
            <v>0</v>
          </cell>
          <cell r="AZ786">
            <v>0</v>
          </cell>
        </row>
        <row r="787">
          <cell r="Y787">
            <v>0</v>
          </cell>
          <cell r="AA787">
            <v>0</v>
          </cell>
          <cell r="AJ787">
            <v>0</v>
          </cell>
          <cell r="AN787">
            <v>0</v>
          </cell>
          <cell r="AR787">
            <v>0</v>
          </cell>
          <cell r="AV787">
            <v>0</v>
          </cell>
          <cell r="AZ787">
            <v>0</v>
          </cell>
        </row>
        <row r="788">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Y805">
            <v>0</v>
          </cell>
          <cell r="AA805">
            <v>0</v>
          </cell>
          <cell r="AJ805">
            <v>0</v>
          </cell>
          <cell r="AN805">
            <v>0</v>
          </cell>
          <cell r="AR805">
            <v>0</v>
          </cell>
          <cell r="AV805">
            <v>0</v>
          </cell>
          <cell r="AZ805">
            <v>0</v>
          </cell>
        </row>
        <row r="806">
          <cell r="Q806">
            <v>0</v>
          </cell>
          <cell r="S806">
            <v>0</v>
          </cell>
          <cell r="U806">
            <v>0</v>
          </cell>
          <cell r="V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Y808">
            <v>0</v>
          </cell>
          <cell r="AA808">
            <v>0</v>
          </cell>
          <cell r="AJ808">
            <v>0</v>
          </cell>
          <cell r="AN808">
            <v>0</v>
          </cell>
          <cell r="AR808">
            <v>0</v>
          </cell>
          <cell r="AV808">
            <v>0</v>
          </cell>
          <cell r="AZ808">
            <v>0</v>
          </cell>
        </row>
        <row r="809">
          <cell r="Q809">
            <v>0</v>
          </cell>
          <cell r="S809">
            <v>0</v>
          </cell>
          <cell r="U809">
            <v>0</v>
          </cell>
          <cell r="V809">
            <v>0</v>
          </cell>
          <cell r="Y809">
            <v>0</v>
          </cell>
          <cell r="AA809">
            <v>0</v>
          </cell>
          <cell r="AJ809">
            <v>0</v>
          </cell>
          <cell r="AN809">
            <v>0</v>
          </cell>
          <cell r="AR809">
            <v>0</v>
          </cell>
          <cell r="AV809">
            <v>0</v>
          </cell>
          <cell r="AZ809">
            <v>0</v>
          </cell>
        </row>
        <row r="810">
          <cell r="Q810">
            <v>0</v>
          </cell>
          <cell r="S810">
            <v>0</v>
          </cell>
          <cell r="U810">
            <v>0</v>
          </cell>
          <cell r="V810">
            <v>0</v>
          </cell>
          <cell r="Y810">
            <v>0</v>
          </cell>
          <cell r="AA810">
            <v>0</v>
          </cell>
          <cell r="AJ810">
            <v>0</v>
          </cell>
          <cell r="AN810">
            <v>0</v>
          </cell>
          <cell r="AR810">
            <v>0</v>
          </cell>
          <cell r="AV810">
            <v>0</v>
          </cell>
          <cell r="AZ810">
            <v>0</v>
          </cell>
        </row>
        <row r="811">
          <cell r="Q811">
            <v>0</v>
          </cell>
          <cell r="S811">
            <v>0</v>
          </cell>
          <cell r="U811">
            <v>0</v>
          </cell>
          <cell r="V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Y831">
            <v>-9671.51</v>
          </cell>
          <cell r="AA831">
            <v>-8927.51</v>
          </cell>
          <cell r="AJ831">
            <v>-13360.51</v>
          </cell>
          <cell r="AN831">
            <v>-12864.51</v>
          </cell>
          <cell r="AR831">
            <v>-11872.509999999997</v>
          </cell>
          <cell r="AV831">
            <v>-10415.509999999997</v>
          </cell>
          <cell r="AZ831">
            <v>-8648.5304166666665</v>
          </cell>
        </row>
        <row r="832">
          <cell r="V832">
            <v>2733.07</v>
          </cell>
          <cell r="Y832">
            <v>3442.61</v>
          </cell>
          <cell r="AA832">
            <v>3442.61</v>
          </cell>
          <cell r="AJ832">
            <v>0</v>
          </cell>
          <cell r="AN832">
            <v>0</v>
          </cell>
          <cell r="AR832">
            <v>878.50458333333336</v>
          </cell>
          <cell r="AV832">
            <v>2026.0412500000002</v>
          </cell>
          <cell r="AZ832">
            <v>3030.1358333333337</v>
          </cell>
        </row>
        <row r="833">
          <cell r="V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Y837">
            <v>0</v>
          </cell>
          <cell r="AA837">
            <v>0</v>
          </cell>
          <cell r="AJ837">
            <v>0</v>
          </cell>
          <cell r="AN837">
            <v>0</v>
          </cell>
          <cell r="AR837">
            <v>0</v>
          </cell>
          <cell r="AV837">
            <v>0</v>
          </cell>
          <cell r="AZ837">
            <v>0</v>
          </cell>
        </row>
        <row r="838">
          <cell r="Q838">
            <v>144422</v>
          </cell>
          <cell r="S838">
            <v>141366</v>
          </cell>
          <cell r="U838">
            <v>138310</v>
          </cell>
          <cell r="V838">
            <v>136782</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Y839">
            <v>0</v>
          </cell>
          <cell r="AA839">
            <v>0</v>
          </cell>
          <cell r="AJ839">
            <v>0</v>
          </cell>
          <cell r="AN839">
            <v>0</v>
          </cell>
          <cell r="AR839">
            <v>0</v>
          </cell>
          <cell r="AV839">
            <v>0</v>
          </cell>
          <cell r="AZ839">
            <v>0</v>
          </cell>
        </row>
        <row r="840">
          <cell r="Q840">
            <v>0</v>
          </cell>
          <cell r="S840">
            <v>0</v>
          </cell>
          <cell r="U840">
            <v>0</v>
          </cell>
          <cell r="V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Y861">
            <v>0</v>
          </cell>
          <cell r="AA861">
            <v>0</v>
          </cell>
          <cell r="AJ861">
            <v>0</v>
          </cell>
          <cell r="AN861">
            <v>0</v>
          </cell>
          <cell r="AR861">
            <v>0</v>
          </cell>
          <cell r="AV861">
            <v>0</v>
          </cell>
          <cell r="AZ861">
            <v>0</v>
          </cell>
        </row>
        <row r="862">
          <cell r="Q862">
            <v>0</v>
          </cell>
          <cell r="S862">
            <v>0</v>
          </cell>
          <cell r="U862">
            <v>0</v>
          </cell>
          <cell r="V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Y872">
            <v>0</v>
          </cell>
          <cell r="AA872">
            <v>0</v>
          </cell>
          <cell r="AJ872">
            <v>0</v>
          </cell>
          <cell r="AN872">
            <v>0</v>
          </cell>
          <cell r="AR872">
            <v>0</v>
          </cell>
          <cell r="AV872">
            <v>0</v>
          </cell>
          <cell r="AZ872">
            <v>0</v>
          </cell>
        </row>
        <row r="873">
          <cell r="Q873">
            <v>0</v>
          </cell>
          <cell r="S873">
            <v>0</v>
          </cell>
          <cell r="U873">
            <v>0</v>
          </cell>
          <cell r="V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Y894">
            <v>0</v>
          </cell>
          <cell r="AA894">
            <v>0</v>
          </cell>
          <cell r="AJ894">
            <v>0</v>
          </cell>
          <cell r="AN894">
            <v>0</v>
          </cell>
          <cell r="AR894">
            <v>0</v>
          </cell>
          <cell r="AV894">
            <v>0</v>
          </cell>
          <cell r="AZ894">
            <v>0</v>
          </cell>
        </row>
        <row r="895">
          <cell r="Q895">
            <v>0</v>
          </cell>
          <cell r="S895">
            <v>0</v>
          </cell>
          <cell r="U895">
            <v>0</v>
          </cell>
          <cell r="V895">
            <v>0</v>
          </cell>
          <cell r="Y895">
            <v>0</v>
          </cell>
          <cell r="AA895">
            <v>0</v>
          </cell>
          <cell r="AJ895">
            <v>0</v>
          </cell>
          <cell r="AN895">
            <v>0</v>
          </cell>
          <cell r="AR895">
            <v>0</v>
          </cell>
          <cell r="AV895">
            <v>0</v>
          </cell>
          <cell r="AZ895">
            <v>0</v>
          </cell>
        </row>
        <row r="896">
          <cell r="Q896">
            <v>1595730</v>
          </cell>
          <cell r="S896">
            <v>1595730</v>
          </cell>
          <cell r="U896">
            <v>0</v>
          </cell>
          <cell r="V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Y901">
            <v>0</v>
          </cell>
          <cell r="AA901">
            <v>0</v>
          </cell>
          <cell r="AJ901">
            <v>0</v>
          </cell>
          <cell r="AN901">
            <v>0</v>
          </cell>
          <cell r="AR901">
            <v>0</v>
          </cell>
          <cell r="AV901">
            <v>0</v>
          </cell>
          <cell r="AZ901">
            <v>0</v>
          </cell>
        </row>
        <row r="902">
          <cell r="Q902">
            <v>-122602</v>
          </cell>
          <cell r="S902">
            <v>-122602</v>
          </cell>
          <cell r="U902">
            <v>0</v>
          </cell>
          <cell r="V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Y903">
            <v>0</v>
          </cell>
          <cell r="AA903">
            <v>0</v>
          </cell>
          <cell r="AJ903">
            <v>0</v>
          </cell>
          <cell r="AN903">
            <v>0</v>
          </cell>
          <cell r="AR903">
            <v>0</v>
          </cell>
          <cell r="AV903">
            <v>0</v>
          </cell>
          <cell r="AZ903">
            <v>0</v>
          </cell>
        </row>
        <row r="904">
          <cell r="Q904">
            <v>-215214</v>
          </cell>
          <cell r="S904">
            <v>-215214</v>
          </cell>
          <cell r="U904">
            <v>0</v>
          </cell>
          <cell r="V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Y907">
            <v>0</v>
          </cell>
          <cell r="AA907">
            <v>0</v>
          </cell>
          <cell r="AJ907">
            <v>0</v>
          </cell>
          <cell r="AN907">
            <v>0</v>
          </cell>
          <cell r="AR907">
            <v>0</v>
          </cell>
          <cell r="AV907">
            <v>0</v>
          </cell>
          <cell r="AZ907">
            <v>0</v>
          </cell>
        </row>
        <row r="908">
          <cell r="Q908">
            <v>0</v>
          </cell>
          <cell r="S908">
            <v>0</v>
          </cell>
          <cell r="U908">
            <v>0</v>
          </cell>
          <cell r="V908">
            <v>0</v>
          </cell>
          <cell r="Y908">
            <v>0</v>
          </cell>
          <cell r="AA908">
            <v>0</v>
          </cell>
          <cell r="AJ908">
            <v>0</v>
          </cell>
          <cell r="AN908">
            <v>0</v>
          </cell>
          <cell r="AR908">
            <v>0</v>
          </cell>
          <cell r="AV908">
            <v>0</v>
          </cell>
          <cell r="AZ908">
            <v>0</v>
          </cell>
        </row>
        <row r="909">
          <cell r="Q909">
            <v>0</v>
          </cell>
          <cell r="S909">
            <v>0</v>
          </cell>
          <cell r="U909">
            <v>0</v>
          </cell>
          <cell r="V909">
            <v>0</v>
          </cell>
          <cell r="Y909">
            <v>0</v>
          </cell>
          <cell r="AA909">
            <v>0</v>
          </cell>
          <cell r="AJ909">
            <v>0</v>
          </cell>
          <cell r="AN909">
            <v>0</v>
          </cell>
          <cell r="AR909">
            <v>0</v>
          </cell>
          <cell r="AV909">
            <v>0</v>
          </cell>
          <cell r="AZ909">
            <v>0</v>
          </cell>
        </row>
        <row r="910">
          <cell r="Q910">
            <v>0</v>
          </cell>
          <cell r="S910">
            <v>0</v>
          </cell>
          <cell r="U910">
            <v>0</v>
          </cell>
          <cell r="V910">
            <v>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Y911">
            <v>0</v>
          </cell>
          <cell r="AA911">
            <v>0</v>
          </cell>
          <cell r="AJ911">
            <v>0</v>
          </cell>
          <cell r="AN911">
            <v>0</v>
          </cell>
          <cell r="AR911">
            <v>0</v>
          </cell>
          <cell r="AV911">
            <v>0</v>
          </cell>
          <cell r="AZ911">
            <v>0</v>
          </cell>
        </row>
        <row r="912">
          <cell r="Q912">
            <v>0</v>
          </cell>
          <cell r="S912">
            <v>0</v>
          </cell>
          <cell r="U912">
            <v>0</v>
          </cell>
          <cell r="V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Y914">
            <v>0</v>
          </cell>
          <cell r="AA914">
            <v>0</v>
          </cell>
          <cell r="AJ914">
            <v>0</v>
          </cell>
          <cell r="AN914">
            <v>0</v>
          </cell>
          <cell r="AR914">
            <v>0</v>
          </cell>
          <cell r="AV914">
            <v>0</v>
          </cell>
          <cell r="AZ914">
            <v>0</v>
          </cell>
        </row>
        <row r="915">
          <cell r="Q915">
            <v>0</v>
          </cell>
          <cell r="S915">
            <v>0</v>
          </cell>
          <cell r="U915">
            <v>0</v>
          </cell>
          <cell r="V915">
            <v>0</v>
          </cell>
          <cell r="Y915">
            <v>0</v>
          </cell>
          <cell r="AA915">
            <v>0</v>
          </cell>
          <cell r="AJ915">
            <v>0</v>
          </cell>
          <cell r="AN915">
            <v>0</v>
          </cell>
          <cell r="AR915">
            <v>0</v>
          </cell>
          <cell r="AV915">
            <v>0</v>
          </cell>
          <cell r="AZ915">
            <v>0</v>
          </cell>
        </row>
        <row r="916">
          <cell r="Q916">
            <v>0</v>
          </cell>
          <cell r="S916">
            <v>0</v>
          </cell>
          <cell r="U916">
            <v>0</v>
          </cell>
          <cell r="V916">
            <v>0</v>
          </cell>
          <cell r="Y916">
            <v>0</v>
          </cell>
          <cell r="AA916">
            <v>0</v>
          </cell>
          <cell r="AJ916">
            <v>0</v>
          </cell>
          <cell r="AN916">
            <v>0</v>
          </cell>
          <cell r="AR916">
            <v>0</v>
          </cell>
          <cell r="AV916">
            <v>0</v>
          </cell>
          <cell r="AZ916">
            <v>0</v>
          </cell>
        </row>
        <row r="917">
          <cell r="Q917">
            <v>159437</v>
          </cell>
          <cell r="S917">
            <v>159437</v>
          </cell>
          <cell r="U917">
            <v>159437</v>
          </cell>
          <cell r="V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Y919">
            <v>0</v>
          </cell>
          <cell r="AA919">
            <v>0</v>
          </cell>
          <cell r="AJ919">
            <v>0</v>
          </cell>
          <cell r="AN919">
            <v>0</v>
          </cell>
          <cell r="AR919">
            <v>0</v>
          </cell>
          <cell r="AV919">
            <v>0</v>
          </cell>
          <cell r="AZ919">
            <v>0</v>
          </cell>
        </row>
        <row r="920">
          <cell r="Q920">
            <v>0</v>
          </cell>
          <cell r="S920">
            <v>0</v>
          </cell>
          <cell r="U920">
            <v>0</v>
          </cell>
          <cell r="V920">
            <v>0</v>
          </cell>
          <cell r="Y920">
            <v>0</v>
          </cell>
          <cell r="AA920">
            <v>0</v>
          </cell>
          <cell r="AJ920">
            <v>0</v>
          </cell>
          <cell r="AN920">
            <v>0</v>
          </cell>
          <cell r="AR920">
            <v>0</v>
          </cell>
          <cell r="AV920">
            <v>0</v>
          </cell>
          <cell r="AZ920">
            <v>0</v>
          </cell>
        </row>
        <row r="921">
          <cell r="Q921">
            <v>199681</v>
          </cell>
          <cell r="S921">
            <v>198437</v>
          </cell>
          <cell r="U921">
            <v>197193</v>
          </cell>
          <cell r="V921">
            <v>196571</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Y922">
            <v>0</v>
          </cell>
          <cell r="AA922">
            <v>0</v>
          </cell>
          <cell r="AJ922">
            <v>0</v>
          </cell>
          <cell r="AN922">
            <v>0</v>
          </cell>
          <cell r="AR922">
            <v>0</v>
          </cell>
          <cell r="AV922">
            <v>0</v>
          </cell>
          <cell r="AZ922">
            <v>0</v>
          </cell>
        </row>
        <row r="923">
          <cell r="Q923">
            <v>0</v>
          </cell>
          <cell r="S923">
            <v>0</v>
          </cell>
          <cell r="U923">
            <v>0</v>
          </cell>
          <cell r="V923">
            <v>0</v>
          </cell>
          <cell r="Y923">
            <v>0</v>
          </cell>
          <cell r="AA923">
            <v>0</v>
          </cell>
          <cell r="AJ923">
            <v>0</v>
          </cell>
          <cell r="AN923">
            <v>0</v>
          </cell>
          <cell r="AR923">
            <v>0</v>
          </cell>
          <cell r="AV923">
            <v>0</v>
          </cell>
          <cell r="AZ923">
            <v>0</v>
          </cell>
        </row>
        <row r="924">
          <cell r="Q924">
            <v>0</v>
          </cell>
          <cell r="S924">
            <v>0</v>
          </cell>
          <cell r="U924">
            <v>0</v>
          </cell>
          <cell r="V924">
            <v>0</v>
          </cell>
          <cell r="Y924">
            <v>0</v>
          </cell>
          <cell r="AA924">
            <v>0</v>
          </cell>
          <cell r="AJ924">
            <v>0</v>
          </cell>
          <cell r="AN924">
            <v>0</v>
          </cell>
          <cell r="AR924">
            <v>0</v>
          </cell>
          <cell r="AV924">
            <v>0</v>
          </cell>
          <cell r="AZ924">
            <v>0</v>
          </cell>
        </row>
        <row r="925">
          <cell r="Q925">
            <v>0</v>
          </cell>
          <cell r="S925">
            <v>2042000</v>
          </cell>
          <cell r="U925">
            <v>0</v>
          </cell>
          <cell r="V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Y935">
            <v>0</v>
          </cell>
          <cell r="AA935">
            <v>0</v>
          </cell>
          <cell r="AJ935">
            <v>0</v>
          </cell>
          <cell r="AN935">
            <v>0</v>
          </cell>
          <cell r="AR935">
            <v>0</v>
          </cell>
          <cell r="AV935">
            <v>0</v>
          </cell>
          <cell r="AZ935">
            <v>0</v>
          </cell>
        </row>
        <row r="936">
          <cell r="Q936">
            <v>0</v>
          </cell>
          <cell r="S936">
            <v>0</v>
          </cell>
          <cell r="U936">
            <v>0</v>
          </cell>
          <cell r="V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Y946">
            <v>0</v>
          </cell>
          <cell r="AA946">
            <v>0</v>
          </cell>
          <cell r="AJ946">
            <v>0</v>
          </cell>
          <cell r="AN946">
            <v>0</v>
          </cell>
          <cell r="AR946">
            <v>0</v>
          </cell>
          <cell r="AV946">
            <v>0</v>
          </cell>
          <cell r="AZ946">
            <v>0</v>
          </cell>
        </row>
        <row r="947">
          <cell r="Q947">
            <v>0</v>
          </cell>
          <cell r="S947">
            <v>0</v>
          </cell>
          <cell r="U947">
            <v>0</v>
          </cell>
          <cell r="V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Y970">
            <v>-194546.38</v>
          </cell>
          <cell r="AA970">
            <v>-66586398.020000003</v>
          </cell>
          <cell r="AJ970">
            <v>-15000079.814166667</v>
          </cell>
          <cell r="AN970">
            <v>-8408858.4875000007</v>
          </cell>
          <cell r="AR970">
            <v>-7505948.1625000006</v>
          </cell>
          <cell r="AV970">
            <v>-16095840.709583335</v>
          </cell>
          <cell r="AZ970">
            <v>-23561772.892500002</v>
          </cell>
        </row>
        <row r="971">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Y996">
            <v>0</v>
          </cell>
          <cell r="AA996">
            <v>0</v>
          </cell>
          <cell r="AJ996">
            <v>0</v>
          </cell>
          <cell r="AN996">
            <v>0</v>
          </cell>
          <cell r="AR996">
            <v>0</v>
          </cell>
          <cell r="AV996">
            <v>0</v>
          </cell>
          <cell r="AZ996">
            <v>0</v>
          </cell>
        </row>
        <row r="997">
          <cell r="Q997">
            <v>0</v>
          </cell>
          <cell r="S997">
            <v>0</v>
          </cell>
          <cell r="U997">
            <v>0</v>
          </cell>
          <cell r="V997">
            <v>0</v>
          </cell>
          <cell r="Y997">
            <v>0</v>
          </cell>
          <cell r="AA997">
            <v>0</v>
          </cell>
          <cell r="AJ997">
            <v>0</v>
          </cell>
          <cell r="AN997">
            <v>0</v>
          </cell>
          <cell r="AR997">
            <v>0</v>
          </cell>
          <cell r="AV997">
            <v>0</v>
          </cell>
          <cell r="AZ997">
            <v>0</v>
          </cell>
        </row>
        <row r="998">
          <cell r="Q998">
            <v>0</v>
          </cell>
          <cell r="S998">
            <v>0</v>
          </cell>
          <cell r="U998">
            <v>0</v>
          </cell>
          <cell r="V998">
            <v>0</v>
          </cell>
          <cell r="Y998">
            <v>0</v>
          </cell>
          <cell r="AA998">
            <v>0</v>
          </cell>
          <cell r="AJ998">
            <v>0</v>
          </cell>
          <cell r="AN998">
            <v>0</v>
          </cell>
          <cell r="AR998">
            <v>0</v>
          </cell>
          <cell r="AV998">
            <v>0</v>
          </cell>
          <cell r="AZ998">
            <v>0</v>
          </cell>
        </row>
        <row r="999">
          <cell r="Q999">
            <v>0</v>
          </cell>
          <cell r="S999">
            <v>0</v>
          </cell>
          <cell r="U999">
            <v>0</v>
          </cell>
          <cell r="V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Y1014">
            <v>0</v>
          </cell>
          <cell r="AA1014">
            <v>0</v>
          </cell>
          <cell r="AJ1014">
            <v>0</v>
          </cell>
          <cell r="AN1014">
            <v>0</v>
          </cell>
          <cell r="AR1014">
            <v>0</v>
          </cell>
          <cell r="AV1014">
            <v>0</v>
          </cell>
          <cell r="AZ1014">
            <v>0</v>
          </cell>
        </row>
        <row r="1015">
          <cell r="Q1015">
            <v>0</v>
          </cell>
          <cell r="S1015">
            <v>0</v>
          </cell>
          <cell r="U1015">
            <v>0</v>
          </cell>
          <cell r="V1015">
            <v>0</v>
          </cell>
          <cell r="Y1015">
            <v>0</v>
          </cell>
          <cell r="AA1015">
            <v>0</v>
          </cell>
          <cell r="AJ1015">
            <v>0</v>
          </cell>
          <cell r="AN1015">
            <v>0</v>
          </cell>
          <cell r="AR1015">
            <v>0</v>
          </cell>
          <cell r="AV1015">
            <v>0</v>
          </cell>
          <cell r="AZ1015">
            <v>0</v>
          </cell>
        </row>
        <row r="1016">
          <cell r="Q1016">
            <v>0</v>
          </cell>
          <cell r="S1016">
            <v>0</v>
          </cell>
          <cell r="U1016">
            <v>0</v>
          </cell>
          <cell r="V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Y1035">
            <v>0</v>
          </cell>
          <cell r="AA1035">
            <v>0</v>
          </cell>
          <cell r="AJ1035">
            <v>0</v>
          </cell>
          <cell r="AN1035">
            <v>0</v>
          </cell>
          <cell r="AR1035">
            <v>0</v>
          </cell>
          <cell r="AV1035">
            <v>0</v>
          </cell>
          <cell r="AZ1035">
            <v>0</v>
          </cell>
        </row>
        <row r="1036">
          <cell r="Q1036">
            <v>0</v>
          </cell>
          <cell r="S1036">
            <v>0</v>
          </cell>
          <cell r="U1036">
            <v>0</v>
          </cell>
          <cell r="V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Y1038">
            <v>0</v>
          </cell>
          <cell r="AA1038">
            <v>0</v>
          </cell>
          <cell r="AJ1038">
            <v>0</v>
          </cell>
          <cell r="AN1038">
            <v>0</v>
          </cell>
          <cell r="AR1038">
            <v>0</v>
          </cell>
          <cell r="AV1038">
            <v>0</v>
          </cell>
          <cell r="AZ1038">
            <v>0</v>
          </cell>
        </row>
        <row r="1039">
          <cell r="Q1039">
            <v>0</v>
          </cell>
          <cell r="S1039">
            <v>0</v>
          </cell>
          <cell r="U1039">
            <v>0</v>
          </cell>
          <cell r="V1039">
            <v>0</v>
          </cell>
          <cell r="Y1039">
            <v>0</v>
          </cell>
          <cell r="AA1039">
            <v>0</v>
          </cell>
          <cell r="AJ1039">
            <v>0</v>
          </cell>
          <cell r="AN1039">
            <v>0</v>
          </cell>
          <cell r="AR1039">
            <v>0</v>
          </cell>
          <cell r="AV1039">
            <v>0</v>
          </cell>
          <cell r="AZ1039">
            <v>0</v>
          </cell>
        </row>
        <row r="1040">
          <cell r="Q1040">
            <v>0</v>
          </cell>
          <cell r="S1040">
            <v>0</v>
          </cell>
          <cell r="U1040">
            <v>0</v>
          </cell>
          <cell r="V1040">
            <v>0</v>
          </cell>
          <cell r="Y1040">
            <v>0</v>
          </cell>
          <cell r="AA1040">
            <v>0</v>
          </cell>
          <cell r="AJ1040">
            <v>0</v>
          </cell>
          <cell r="AN1040">
            <v>0</v>
          </cell>
          <cell r="AR1040">
            <v>0</v>
          </cell>
          <cell r="AV1040">
            <v>0</v>
          </cell>
          <cell r="AZ1040">
            <v>0</v>
          </cell>
        </row>
        <row r="1041">
          <cell r="Q1041">
            <v>0</v>
          </cell>
          <cell r="S1041">
            <v>0</v>
          </cell>
          <cell r="U1041">
            <v>0</v>
          </cell>
          <cell r="V1041">
            <v>0</v>
          </cell>
          <cell r="Y1041">
            <v>0</v>
          </cell>
          <cell r="AA1041">
            <v>0</v>
          </cell>
          <cell r="AJ1041">
            <v>0</v>
          </cell>
          <cell r="AN1041">
            <v>0</v>
          </cell>
          <cell r="AR1041">
            <v>0</v>
          </cell>
          <cell r="AV1041">
            <v>0</v>
          </cell>
          <cell r="AZ1041">
            <v>0</v>
          </cell>
        </row>
        <row r="1042">
          <cell r="Q1042">
            <v>0</v>
          </cell>
          <cell r="S1042">
            <v>0</v>
          </cell>
          <cell r="U1042">
            <v>0</v>
          </cell>
          <cell r="V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Y1051">
            <v>0</v>
          </cell>
          <cell r="AA1051">
            <v>0</v>
          </cell>
          <cell r="AJ1051">
            <v>0</v>
          </cell>
          <cell r="AN1051">
            <v>0</v>
          </cell>
          <cell r="AR1051">
            <v>0</v>
          </cell>
          <cell r="AV1051">
            <v>0</v>
          </cell>
          <cell r="AZ1051">
            <v>0</v>
          </cell>
        </row>
        <row r="1052">
          <cell r="Q1052">
            <v>0</v>
          </cell>
          <cell r="S1052">
            <v>0</v>
          </cell>
          <cell r="U1052">
            <v>0</v>
          </cell>
          <cell r="V1052">
            <v>0</v>
          </cell>
          <cell r="Y1052">
            <v>0</v>
          </cell>
          <cell r="AA1052">
            <v>0</v>
          </cell>
          <cell r="AJ1052">
            <v>0</v>
          </cell>
          <cell r="AN1052">
            <v>0</v>
          </cell>
          <cell r="AR1052">
            <v>0</v>
          </cell>
          <cell r="AV1052">
            <v>0</v>
          </cell>
          <cell r="AZ1052">
            <v>0</v>
          </cell>
        </row>
        <row r="1053">
          <cell r="Q1053">
            <v>0</v>
          </cell>
          <cell r="S1053">
            <v>0</v>
          </cell>
          <cell r="U1053">
            <v>0</v>
          </cell>
          <cell r="V1053">
            <v>0</v>
          </cell>
          <cell r="Y1053">
            <v>0</v>
          </cell>
          <cell r="AA1053">
            <v>0</v>
          </cell>
          <cell r="AJ1053">
            <v>0</v>
          </cell>
          <cell r="AN1053">
            <v>0</v>
          </cell>
          <cell r="AR1053">
            <v>0</v>
          </cell>
          <cell r="AV1053">
            <v>0</v>
          </cell>
          <cell r="AZ1053">
            <v>0</v>
          </cell>
        </row>
        <row r="1054">
          <cell r="Q1054">
            <v>0</v>
          </cell>
          <cell r="S1054">
            <v>0</v>
          </cell>
          <cell r="U1054">
            <v>0</v>
          </cell>
          <cell r="V1054">
            <v>0</v>
          </cell>
          <cell r="Y1054">
            <v>0</v>
          </cell>
          <cell r="AA1054">
            <v>0</v>
          </cell>
          <cell r="AJ1054">
            <v>0</v>
          </cell>
          <cell r="AN1054">
            <v>0</v>
          </cell>
          <cell r="AR1054">
            <v>0</v>
          </cell>
          <cell r="AV1054">
            <v>0</v>
          </cell>
          <cell r="AZ1054">
            <v>0</v>
          </cell>
        </row>
        <row r="1055">
          <cell r="Q1055">
            <v>0</v>
          </cell>
          <cell r="S1055">
            <v>0</v>
          </cell>
          <cell r="U1055">
            <v>0</v>
          </cell>
          <cell r="V1055">
            <v>0</v>
          </cell>
          <cell r="Y1055">
            <v>0</v>
          </cell>
          <cell r="AA1055">
            <v>0</v>
          </cell>
          <cell r="AJ1055">
            <v>0</v>
          </cell>
          <cell r="AN1055">
            <v>0</v>
          </cell>
          <cell r="AR1055">
            <v>0</v>
          </cell>
          <cell r="AV1055">
            <v>0</v>
          </cell>
          <cell r="AZ1055">
            <v>0</v>
          </cell>
        </row>
        <row r="1056">
          <cell r="Q1056">
            <v>0</v>
          </cell>
          <cell r="S1056">
            <v>0</v>
          </cell>
          <cell r="U1056">
            <v>0</v>
          </cell>
          <cell r="V1056">
            <v>0</v>
          </cell>
          <cell r="Y1056">
            <v>0</v>
          </cell>
          <cell r="AA1056">
            <v>0</v>
          </cell>
          <cell r="AJ1056">
            <v>0</v>
          </cell>
          <cell r="AN1056">
            <v>0</v>
          </cell>
          <cell r="AR1056">
            <v>0</v>
          </cell>
          <cell r="AV1056">
            <v>0</v>
          </cell>
          <cell r="AZ1056">
            <v>0</v>
          </cell>
        </row>
        <row r="1057">
          <cell r="Q1057">
            <v>0</v>
          </cell>
          <cell r="S1057">
            <v>0</v>
          </cell>
          <cell r="U1057">
            <v>0</v>
          </cell>
          <cell r="V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Y1079">
            <v>0</v>
          </cell>
          <cell r="AA1079">
            <v>0</v>
          </cell>
          <cell r="AJ1079">
            <v>0</v>
          </cell>
          <cell r="AN1079">
            <v>0</v>
          </cell>
          <cell r="AR1079">
            <v>0</v>
          </cell>
          <cell r="AV1079">
            <v>0</v>
          </cell>
          <cell r="AZ1079">
            <v>0</v>
          </cell>
        </row>
        <row r="1080">
          <cell r="Q1080">
            <v>0</v>
          </cell>
          <cell r="S1080">
            <v>0</v>
          </cell>
          <cell r="U1080">
            <v>0</v>
          </cell>
          <cell r="V1080">
            <v>0</v>
          </cell>
          <cell r="Y1080">
            <v>0</v>
          </cell>
          <cell r="AA1080">
            <v>0</v>
          </cell>
          <cell r="AJ1080">
            <v>0</v>
          </cell>
          <cell r="AN1080">
            <v>0</v>
          </cell>
          <cell r="AR1080">
            <v>0</v>
          </cell>
          <cell r="AV1080">
            <v>0</v>
          </cell>
          <cell r="AZ1080">
            <v>0</v>
          </cell>
        </row>
        <row r="1081">
          <cell r="Q1081">
            <v>-431100</v>
          </cell>
          <cell r="S1081">
            <v>0</v>
          </cell>
          <cell r="U1081">
            <v>0</v>
          </cell>
          <cell r="V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Y1083">
            <v>0</v>
          </cell>
          <cell r="AA1083">
            <v>0</v>
          </cell>
          <cell r="AJ1083">
            <v>0</v>
          </cell>
          <cell r="AN1083">
            <v>0</v>
          </cell>
          <cell r="AR1083">
            <v>0</v>
          </cell>
          <cell r="AV1083">
            <v>0</v>
          </cell>
          <cell r="AZ1083">
            <v>0</v>
          </cell>
        </row>
        <row r="1084">
          <cell r="V1084">
            <v>7505790.9299999997</v>
          </cell>
          <cell r="Y1084">
            <v>0</v>
          </cell>
          <cell r="AA1084">
            <v>0</v>
          </cell>
          <cell r="AJ1084">
            <v>0</v>
          </cell>
          <cell r="AN1084">
            <v>0</v>
          </cell>
          <cell r="AR1084">
            <v>625482.57750000001</v>
          </cell>
          <cell r="AV1084">
            <v>625482.57750000001</v>
          </cell>
          <cell r="AZ1084">
            <v>625482.57750000001</v>
          </cell>
        </row>
        <row r="1085">
          <cell r="V1085">
            <v>7505790.9299999997</v>
          </cell>
          <cell r="Y1085">
            <v>0</v>
          </cell>
          <cell r="AA1085">
            <v>0</v>
          </cell>
          <cell r="AJ1085">
            <v>0</v>
          </cell>
          <cell r="AN1085">
            <v>0</v>
          </cell>
          <cell r="AR1085">
            <v>625482.57750000001</v>
          </cell>
          <cell r="AV1085">
            <v>625482.57750000001</v>
          </cell>
          <cell r="AZ1085">
            <v>625482.57750000001</v>
          </cell>
        </row>
        <row r="1086">
          <cell r="V1086">
            <v>6567824.7999999998</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Y1103">
            <v>0</v>
          </cell>
          <cell r="AA1103">
            <v>0</v>
          </cell>
          <cell r="AJ1103">
            <v>0</v>
          </cell>
          <cell r="AN1103">
            <v>0</v>
          </cell>
          <cell r="AR1103">
            <v>0</v>
          </cell>
          <cell r="AV1103">
            <v>0</v>
          </cell>
          <cell r="AZ1103">
            <v>0</v>
          </cell>
        </row>
        <row r="1104">
          <cell r="Q1104">
            <v>0</v>
          </cell>
          <cell r="S1104">
            <v>0</v>
          </cell>
          <cell r="U1104">
            <v>0</v>
          </cell>
          <cell r="V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Y1114">
            <v>-402168.54</v>
          </cell>
          <cell r="AA1114">
            <v>-364262.97</v>
          </cell>
          <cell r="AJ1114">
            <v>-19796.028750000001</v>
          </cell>
          <cell r="AN1114">
            <v>-171491.90541666668</v>
          </cell>
          <cell r="AR1114">
            <v>-307942.6816666667</v>
          </cell>
          <cell r="AV1114">
            <v>-397718.60541666654</v>
          </cell>
          <cell r="AZ1114">
            <v>-245451.68708333329</v>
          </cell>
        </row>
        <row r="1115">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Y1158">
            <v>0</v>
          </cell>
          <cell r="AA1158">
            <v>0</v>
          </cell>
          <cell r="AJ1158">
            <v>0</v>
          </cell>
          <cell r="AN1158">
            <v>0</v>
          </cell>
          <cell r="AR1158">
            <v>0</v>
          </cell>
          <cell r="AV1158">
            <v>0</v>
          </cell>
          <cell r="AZ1158">
            <v>0</v>
          </cell>
        </row>
        <row r="1159">
          <cell r="Q1159">
            <v>0</v>
          </cell>
          <cell r="S1159">
            <v>0</v>
          </cell>
          <cell r="U1159">
            <v>0</v>
          </cell>
          <cell r="V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Y1163">
            <v>0</v>
          </cell>
          <cell r="AA1163">
            <v>0</v>
          </cell>
          <cell r="AJ1163">
            <v>0</v>
          </cell>
          <cell r="AN1163">
            <v>0</v>
          </cell>
          <cell r="AR1163">
            <v>0</v>
          </cell>
          <cell r="AV1163">
            <v>0</v>
          </cell>
          <cell r="AZ1163">
            <v>0</v>
          </cell>
        </row>
        <row r="1164">
          <cell r="Q1164">
            <v>0</v>
          </cell>
          <cell r="S1164">
            <v>0</v>
          </cell>
          <cell r="U1164">
            <v>0</v>
          </cell>
          <cell r="V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Y1167">
            <v>0</v>
          </cell>
          <cell r="AA1167">
            <v>0</v>
          </cell>
          <cell r="AJ1167">
            <v>0</v>
          </cell>
          <cell r="AN1167">
            <v>0</v>
          </cell>
          <cell r="AR1167">
            <v>0</v>
          </cell>
          <cell r="AV1167">
            <v>0</v>
          </cell>
          <cell r="AZ1167">
            <v>0</v>
          </cell>
        </row>
        <row r="1168">
          <cell r="Q1168">
            <v>-431700000</v>
          </cell>
          <cell r="S1168">
            <v>0</v>
          </cell>
          <cell r="U1168">
            <v>0</v>
          </cell>
          <cell r="V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Y1188">
            <v>0</v>
          </cell>
          <cell r="AA1188">
            <v>0</v>
          </cell>
          <cell r="AJ1188">
            <v>0</v>
          </cell>
          <cell r="AN1188">
            <v>0</v>
          </cell>
          <cell r="AR1188">
            <v>0</v>
          </cell>
          <cell r="AV1188">
            <v>0</v>
          </cell>
          <cell r="AZ1188">
            <v>0</v>
          </cell>
        </row>
        <row r="1189">
          <cell r="Q1189">
            <v>0</v>
          </cell>
          <cell r="S1189">
            <v>0</v>
          </cell>
          <cell r="U1189">
            <v>0</v>
          </cell>
          <cell r="V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Y1203">
            <v>0</v>
          </cell>
          <cell r="AA1203">
            <v>0</v>
          </cell>
          <cell r="AJ1203">
            <v>0</v>
          </cell>
          <cell r="AN1203">
            <v>0</v>
          </cell>
          <cell r="AR1203">
            <v>0</v>
          </cell>
          <cell r="AV1203">
            <v>0</v>
          </cell>
          <cell r="AZ1203">
            <v>0</v>
          </cell>
        </row>
        <row r="1204">
          <cell r="Q1204">
            <v>0</v>
          </cell>
          <cell r="S1204">
            <v>0</v>
          </cell>
          <cell r="U1204">
            <v>0</v>
          </cell>
          <cell r="V1204">
            <v>0</v>
          </cell>
          <cell r="Y1204">
            <v>0</v>
          </cell>
          <cell r="AA1204">
            <v>0</v>
          </cell>
          <cell r="AJ1204">
            <v>0</v>
          </cell>
          <cell r="AN1204">
            <v>0</v>
          </cell>
          <cell r="AR1204">
            <v>0</v>
          </cell>
          <cell r="AV1204">
            <v>0</v>
          </cell>
          <cell r="AZ1204">
            <v>0</v>
          </cell>
        </row>
        <row r="1205">
          <cell r="Q1205">
            <v>0</v>
          </cell>
          <cell r="S1205">
            <v>0</v>
          </cell>
          <cell r="U1205">
            <v>0</v>
          </cell>
          <cell r="V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Y1208">
            <v>0</v>
          </cell>
          <cell r="AA1208">
            <v>0</v>
          </cell>
          <cell r="AJ1208">
            <v>0</v>
          </cell>
          <cell r="AN1208">
            <v>0</v>
          </cell>
          <cell r="AR1208">
            <v>0</v>
          </cell>
          <cell r="AV1208">
            <v>0</v>
          </cell>
          <cell r="AZ1208">
            <v>0</v>
          </cell>
        </row>
        <row r="1209">
          <cell r="Q1209">
            <v>0</v>
          </cell>
          <cell r="S1209">
            <v>0</v>
          </cell>
          <cell r="U1209">
            <v>0</v>
          </cell>
          <cell r="V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Y1213">
            <v>0</v>
          </cell>
          <cell r="AA1213">
            <v>0</v>
          </cell>
          <cell r="AJ1213">
            <v>0</v>
          </cell>
          <cell r="AN1213">
            <v>0</v>
          </cell>
          <cell r="AR1213">
            <v>0</v>
          </cell>
          <cell r="AV1213">
            <v>0</v>
          </cell>
          <cell r="AZ1213">
            <v>0</v>
          </cell>
        </row>
        <row r="1214">
          <cell r="Q1214">
            <v>0</v>
          </cell>
          <cell r="S1214">
            <v>0</v>
          </cell>
          <cell r="U1214">
            <v>0</v>
          </cell>
          <cell r="V1214">
            <v>0</v>
          </cell>
          <cell r="Y1214">
            <v>0</v>
          </cell>
          <cell r="AA1214">
            <v>0</v>
          </cell>
          <cell r="AJ1214">
            <v>0</v>
          </cell>
          <cell r="AN1214">
            <v>0</v>
          </cell>
          <cell r="AR1214">
            <v>0</v>
          </cell>
          <cell r="AV1214">
            <v>0</v>
          </cell>
          <cell r="AZ1214">
            <v>0</v>
          </cell>
        </row>
        <row r="1215">
          <cell r="Q1215">
            <v>0</v>
          </cell>
          <cell r="S1215">
            <v>0</v>
          </cell>
          <cell r="U1215">
            <v>0</v>
          </cell>
          <cell r="V1215">
            <v>0</v>
          </cell>
          <cell r="Y1215">
            <v>0</v>
          </cell>
          <cell r="AA1215">
            <v>0</v>
          </cell>
          <cell r="AJ1215">
            <v>0</v>
          </cell>
          <cell r="AN1215">
            <v>0</v>
          </cell>
          <cell r="AR1215">
            <v>0</v>
          </cell>
          <cell r="AV1215">
            <v>0</v>
          </cell>
          <cell r="AZ1215">
            <v>0</v>
          </cell>
        </row>
        <row r="1216">
          <cell r="Q1216">
            <v>0</v>
          </cell>
          <cell r="S1216">
            <v>0</v>
          </cell>
          <cell r="U1216">
            <v>0</v>
          </cell>
          <cell r="V1216">
            <v>0</v>
          </cell>
          <cell r="Y1216">
            <v>0</v>
          </cell>
          <cell r="AA1216">
            <v>0</v>
          </cell>
          <cell r="AJ1216">
            <v>0</v>
          </cell>
          <cell r="AN1216">
            <v>0</v>
          </cell>
          <cell r="AR1216">
            <v>0</v>
          </cell>
          <cell r="AV1216">
            <v>0</v>
          </cell>
          <cell r="AZ1216">
            <v>0</v>
          </cell>
        </row>
        <row r="1217">
          <cell r="Q1217">
            <v>0</v>
          </cell>
          <cell r="S1217">
            <v>0</v>
          </cell>
          <cell r="U1217">
            <v>0</v>
          </cell>
          <cell r="V1217">
            <v>0</v>
          </cell>
          <cell r="Y1217">
            <v>0</v>
          </cell>
          <cell r="AA1217">
            <v>0</v>
          </cell>
          <cell r="AJ1217">
            <v>0</v>
          </cell>
          <cell r="AN1217">
            <v>0</v>
          </cell>
          <cell r="AR1217">
            <v>0</v>
          </cell>
          <cell r="AV1217">
            <v>0</v>
          </cell>
          <cell r="AZ1217">
            <v>0</v>
          </cell>
        </row>
        <row r="1218">
          <cell r="Q1218">
            <v>0</v>
          </cell>
          <cell r="S1218">
            <v>0</v>
          </cell>
          <cell r="U1218">
            <v>0</v>
          </cell>
          <cell r="V1218">
            <v>0</v>
          </cell>
          <cell r="Y1218">
            <v>0</v>
          </cell>
          <cell r="AA1218">
            <v>0</v>
          </cell>
          <cell r="AJ1218">
            <v>0</v>
          </cell>
          <cell r="AN1218">
            <v>0</v>
          </cell>
          <cell r="AR1218">
            <v>0</v>
          </cell>
          <cell r="AV1218">
            <v>0</v>
          </cell>
          <cell r="AZ1218">
            <v>0</v>
          </cell>
        </row>
        <row r="1219">
          <cell r="Q1219">
            <v>0</v>
          </cell>
          <cell r="S1219">
            <v>0</v>
          </cell>
          <cell r="U1219">
            <v>0</v>
          </cell>
          <cell r="V1219">
            <v>0</v>
          </cell>
          <cell r="Y1219">
            <v>0</v>
          </cell>
          <cell r="AA1219">
            <v>0</v>
          </cell>
          <cell r="AJ1219">
            <v>0</v>
          </cell>
          <cell r="AN1219">
            <v>0</v>
          </cell>
          <cell r="AR1219">
            <v>0</v>
          </cell>
          <cell r="AV1219">
            <v>0</v>
          </cell>
          <cell r="AZ1219">
            <v>0</v>
          </cell>
        </row>
        <row r="1220">
          <cell r="Q1220">
            <v>0</v>
          </cell>
          <cell r="S1220">
            <v>0</v>
          </cell>
          <cell r="U1220">
            <v>0</v>
          </cell>
          <cell r="V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Y1223">
            <v>0</v>
          </cell>
          <cell r="AA1223">
            <v>0</v>
          </cell>
          <cell r="AJ1223">
            <v>0</v>
          </cell>
          <cell r="AN1223">
            <v>0</v>
          </cell>
          <cell r="AR1223">
            <v>0</v>
          </cell>
          <cell r="AV1223">
            <v>0</v>
          </cell>
          <cell r="AZ1223">
            <v>0</v>
          </cell>
        </row>
        <row r="1224">
          <cell r="Q1224">
            <v>0</v>
          </cell>
          <cell r="S1224">
            <v>0</v>
          </cell>
          <cell r="U1224">
            <v>0</v>
          </cell>
          <cell r="V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Y1248">
            <v>0</v>
          </cell>
          <cell r="AA1248">
            <v>0</v>
          </cell>
          <cell r="AJ1248">
            <v>0</v>
          </cell>
          <cell r="AN1248">
            <v>0</v>
          </cell>
          <cell r="AR1248">
            <v>0</v>
          </cell>
          <cell r="AV1248">
            <v>0</v>
          </cell>
          <cell r="AZ1248">
            <v>0</v>
          </cell>
        </row>
        <row r="1249">
          <cell r="Q1249">
            <v>0</v>
          </cell>
          <cell r="S1249">
            <v>0</v>
          </cell>
          <cell r="U1249">
            <v>0</v>
          </cell>
          <cell r="V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Y1266">
            <v>0</v>
          </cell>
          <cell r="AA1266">
            <v>0</v>
          </cell>
          <cell r="AJ1266">
            <v>0</v>
          </cell>
          <cell r="AN1266">
            <v>0</v>
          </cell>
          <cell r="AR1266">
            <v>0</v>
          </cell>
          <cell r="AV1266">
            <v>0</v>
          </cell>
          <cell r="AZ1266">
            <v>0</v>
          </cell>
        </row>
        <row r="1267">
          <cell r="Q1267">
            <v>0</v>
          </cell>
          <cell r="S1267">
            <v>0</v>
          </cell>
          <cell r="U1267">
            <v>0</v>
          </cell>
          <cell r="V1267">
            <v>0</v>
          </cell>
          <cell r="Y1267">
            <v>0</v>
          </cell>
          <cell r="AA1267">
            <v>0</v>
          </cell>
          <cell r="AJ1267">
            <v>0</v>
          </cell>
          <cell r="AN1267">
            <v>0</v>
          </cell>
          <cell r="AR1267">
            <v>0</v>
          </cell>
          <cell r="AV1267">
            <v>0</v>
          </cell>
          <cell r="AZ1267">
            <v>0</v>
          </cell>
        </row>
        <row r="1268">
          <cell r="U1268">
            <v>-5426820</v>
          </cell>
          <cell r="V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Y1279">
            <v>0</v>
          </cell>
          <cell r="AA1279">
            <v>0</v>
          </cell>
          <cell r="AJ1279">
            <v>0</v>
          </cell>
          <cell r="AN1279">
            <v>0</v>
          </cell>
          <cell r="AR1279">
            <v>0</v>
          </cell>
          <cell r="AV1279">
            <v>0</v>
          </cell>
          <cell r="AZ1279">
            <v>0</v>
          </cell>
        </row>
        <row r="1280">
          <cell r="Q1280">
            <v>0</v>
          </cell>
          <cell r="S1280">
            <v>0</v>
          </cell>
          <cell r="U1280">
            <v>0</v>
          </cell>
          <cell r="V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Y1283">
            <v>0</v>
          </cell>
          <cell r="AA1283">
            <v>0</v>
          </cell>
          <cell r="AJ1283">
            <v>0</v>
          </cell>
          <cell r="AN1283">
            <v>0</v>
          </cell>
          <cell r="AR1283">
            <v>0</v>
          </cell>
          <cell r="AV1283">
            <v>0</v>
          </cell>
          <cell r="AZ1283">
            <v>0</v>
          </cell>
        </row>
        <row r="1284">
          <cell r="Q1284">
            <v>0</v>
          </cell>
          <cell r="S1284">
            <v>0</v>
          </cell>
          <cell r="U1284">
            <v>0</v>
          </cell>
          <cell r="V1284">
            <v>0</v>
          </cell>
          <cell r="Y1284">
            <v>0</v>
          </cell>
          <cell r="AA1284">
            <v>0</v>
          </cell>
          <cell r="AJ1284">
            <v>0</v>
          </cell>
          <cell r="AN1284">
            <v>0</v>
          </cell>
          <cell r="AR1284">
            <v>0</v>
          </cell>
          <cell r="AV1284">
            <v>0</v>
          </cell>
          <cell r="AZ1284">
            <v>0</v>
          </cell>
        </row>
        <row r="1285">
          <cell r="Q1285">
            <v>0</v>
          </cell>
          <cell r="S1285">
            <v>0</v>
          </cell>
          <cell r="U1285">
            <v>0</v>
          </cell>
          <cell r="V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Y1301">
            <v>0</v>
          </cell>
          <cell r="AA1301">
            <v>0</v>
          </cell>
          <cell r="AJ1301">
            <v>0</v>
          </cell>
          <cell r="AN1301">
            <v>0</v>
          </cell>
          <cell r="AR1301">
            <v>0</v>
          </cell>
          <cell r="AV1301">
            <v>0</v>
          </cell>
          <cell r="AZ1301">
            <v>0</v>
          </cell>
        </row>
        <row r="1302">
          <cell r="Q1302">
            <v>0</v>
          </cell>
          <cell r="S1302">
            <v>0</v>
          </cell>
          <cell r="U1302">
            <v>0</v>
          </cell>
          <cell r="V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Y1308">
            <v>0</v>
          </cell>
          <cell r="AA1308">
            <v>0</v>
          </cell>
          <cell r="AJ1308">
            <v>0</v>
          </cell>
          <cell r="AN1308">
            <v>0</v>
          </cell>
          <cell r="AR1308">
            <v>0</v>
          </cell>
          <cell r="AV1308">
            <v>0</v>
          </cell>
          <cell r="AZ1308">
            <v>0</v>
          </cell>
        </row>
        <row r="1309">
          <cell r="Q1309">
            <v>0</v>
          </cell>
          <cell r="S1309">
            <v>0</v>
          </cell>
          <cell r="U1309">
            <v>0</v>
          </cell>
          <cell r="V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Y1317">
            <v>0</v>
          </cell>
          <cell r="AA1317">
            <v>0</v>
          </cell>
          <cell r="AJ1317">
            <v>0</v>
          </cell>
          <cell r="AN1317">
            <v>0</v>
          </cell>
          <cell r="AR1317">
            <v>0</v>
          </cell>
          <cell r="AV1317">
            <v>0</v>
          </cell>
          <cell r="AZ1317">
            <v>0</v>
          </cell>
        </row>
        <row r="1318">
          <cell r="Q1318">
            <v>0</v>
          </cell>
          <cell r="S1318">
            <v>0</v>
          </cell>
          <cell r="U1318">
            <v>0</v>
          </cell>
          <cell r="V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Y1320">
            <v>0</v>
          </cell>
          <cell r="AA1320">
            <v>0</v>
          </cell>
          <cell r="AJ1320">
            <v>0</v>
          </cell>
          <cell r="AN1320">
            <v>0</v>
          </cell>
          <cell r="AR1320">
            <v>0</v>
          </cell>
          <cell r="AV1320">
            <v>0</v>
          </cell>
          <cell r="AZ1320">
            <v>0</v>
          </cell>
        </row>
        <row r="1321">
          <cell r="Q1321">
            <v>0</v>
          </cell>
          <cell r="S1321">
            <v>0</v>
          </cell>
          <cell r="U1321">
            <v>0</v>
          </cell>
          <cell r="V1321">
            <v>0</v>
          </cell>
          <cell r="Y1321">
            <v>0</v>
          </cell>
          <cell r="AA1321">
            <v>0</v>
          </cell>
          <cell r="AJ1321">
            <v>0</v>
          </cell>
          <cell r="AN1321">
            <v>0</v>
          </cell>
          <cell r="AR1321">
            <v>0</v>
          </cell>
          <cell r="AV1321">
            <v>0</v>
          </cell>
          <cell r="AZ1321">
            <v>0</v>
          </cell>
        </row>
        <row r="1322">
          <cell r="Q1322">
            <v>0</v>
          </cell>
          <cell r="S1322">
            <v>0</v>
          </cell>
          <cell r="U1322">
            <v>0</v>
          </cell>
          <cell r="V1322">
            <v>0</v>
          </cell>
          <cell r="Y1322">
            <v>0</v>
          </cell>
          <cell r="AA1322">
            <v>0</v>
          </cell>
          <cell r="AJ1322">
            <v>0</v>
          </cell>
          <cell r="AN1322">
            <v>0</v>
          </cell>
          <cell r="AR1322">
            <v>0</v>
          </cell>
          <cell r="AV1322">
            <v>0</v>
          </cell>
          <cell r="AZ1322">
            <v>0</v>
          </cell>
        </row>
        <row r="1323">
          <cell r="Q1323">
            <v>0</v>
          </cell>
          <cell r="S1323">
            <v>0</v>
          </cell>
          <cell r="U1323">
            <v>0</v>
          </cell>
          <cell r="V1323">
            <v>0</v>
          </cell>
          <cell r="Y1323">
            <v>0</v>
          </cell>
          <cell r="AA1323">
            <v>0</v>
          </cell>
          <cell r="AJ1323">
            <v>0</v>
          </cell>
          <cell r="AN1323">
            <v>0</v>
          </cell>
          <cell r="AR1323">
            <v>0</v>
          </cell>
          <cell r="AV1323">
            <v>0</v>
          </cell>
          <cell r="AZ1323">
            <v>0</v>
          </cell>
        </row>
        <row r="1324">
          <cell r="Q1324">
            <v>0</v>
          </cell>
          <cell r="S1324">
            <v>0</v>
          </cell>
          <cell r="U1324">
            <v>0</v>
          </cell>
          <cell r="V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Y1333">
            <v>0</v>
          </cell>
          <cell r="AA1333">
            <v>0</v>
          </cell>
          <cell r="AJ1333">
            <v>0</v>
          </cell>
          <cell r="AN1333">
            <v>0</v>
          </cell>
          <cell r="AR1333">
            <v>0</v>
          </cell>
          <cell r="AV1333">
            <v>0</v>
          </cell>
          <cell r="AZ1333">
            <v>0</v>
          </cell>
        </row>
        <row r="1334">
          <cell r="Q1334">
            <v>0</v>
          </cell>
          <cell r="S1334">
            <v>0</v>
          </cell>
          <cell r="U1334">
            <v>0</v>
          </cell>
          <cell r="V1334">
            <v>0</v>
          </cell>
          <cell r="Y1334">
            <v>0</v>
          </cell>
          <cell r="AA1334">
            <v>0</v>
          </cell>
          <cell r="AJ1334">
            <v>0</v>
          </cell>
          <cell r="AN1334">
            <v>0</v>
          </cell>
          <cell r="AR1334">
            <v>0</v>
          </cell>
          <cell r="AV1334">
            <v>0</v>
          </cell>
          <cell r="AZ1334">
            <v>0</v>
          </cell>
        </row>
        <row r="1335">
          <cell r="Q1335">
            <v>0</v>
          </cell>
          <cell r="S1335">
            <v>0</v>
          </cell>
          <cell r="U1335">
            <v>0</v>
          </cell>
          <cell r="V1335">
            <v>0</v>
          </cell>
          <cell r="Y1335">
            <v>0</v>
          </cell>
          <cell r="AA1335">
            <v>0</v>
          </cell>
          <cell r="AJ1335">
            <v>0</v>
          </cell>
          <cell r="AN1335">
            <v>0</v>
          </cell>
          <cell r="AR1335">
            <v>0</v>
          </cell>
          <cell r="AV1335">
            <v>0</v>
          </cell>
          <cell r="AZ1335">
            <v>0</v>
          </cell>
        </row>
        <row r="1336">
          <cell r="Q1336">
            <v>0</v>
          </cell>
          <cell r="S1336">
            <v>0</v>
          </cell>
          <cell r="U1336">
            <v>0</v>
          </cell>
          <cell r="V1336">
            <v>0</v>
          </cell>
          <cell r="Y1336">
            <v>0</v>
          </cell>
          <cell r="AA1336">
            <v>0</v>
          </cell>
          <cell r="AJ1336">
            <v>0</v>
          </cell>
          <cell r="AN1336">
            <v>0</v>
          </cell>
          <cell r="AR1336">
            <v>0</v>
          </cell>
          <cell r="AV1336">
            <v>0</v>
          </cell>
          <cell r="AZ1336">
            <v>0</v>
          </cell>
        </row>
        <row r="1337">
          <cell r="Q1337">
            <v>0</v>
          </cell>
          <cell r="S1337">
            <v>0</v>
          </cell>
          <cell r="U1337">
            <v>0</v>
          </cell>
          <cell r="V1337">
            <v>0</v>
          </cell>
          <cell r="Y1337">
            <v>0</v>
          </cell>
          <cell r="AA1337">
            <v>0</v>
          </cell>
          <cell r="AJ1337">
            <v>0</v>
          </cell>
          <cell r="AN1337">
            <v>0</v>
          </cell>
          <cell r="AR1337">
            <v>0</v>
          </cell>
          <cell r="AV1337">
            <v>0</v>
          </cell>
          <cell r="AZ1337">
            <v>0</v>
          </cell>
        </row>
        <row r="1338">
          <cell r="Q1338">
            <v>0</v>
          </cell>
          <cell r="S1338">
            <v>0</v>
          </cell>
          <cell r="U1338">
            <v>0</v>
          </cell>
          <cell r="V1338">
            <v>0</v>
          </cell>
          <cell r="Y1338">
            <v>0</v>
          </cell>
          <cell r="AA1338">
            <v>0</v>
          </cell>
          <cell r="AJ1338">
            <v>0</v>
          </cell>
          <cell r="AN1338">
            <v>0</v>
          </cell>
          <cell r="AR1338">
            <v>0</v>
          </cell>
          <cell r="AV1338">
            <v>0</v>
          </cell>
          <cell r="AZ1338">
            <v>0</v>
          </cell>
        </row>
        <row r="1339">
          <cell r="Q1339">
            <v>0</v>
          </cell>
          <cell r="S1339">
            <v>0</v>
          </cell>
          <cell r="U1339">
            <v>0</v>
          </cell>
          <cell r="V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Y1341">
            <v>0</v>
          </cell>
          <cell r="AA1341">
            <v>0</v>
          </cell>
          <cell r="AJ1341">
            <v>0</v>
          </cell>
          <cell r="AN1341">
            <v>0</v>
          </cell>
          <cell r="AR1341">
            <v>0</v>
          </cell>
          <cell r="AV1341">
            <v>0</v>
          </cell>
          <cell r="AZ1341">
            <v>0</v>
          </cell>
        </row>
        <row r="1342">
          <cell r="Q1342">
            <v>-11355.44</v>
          </cell>
          <cell r="S1342">
            <v>0</v>
          </cell>
          <cell r="U1342">
            <v>0</v>
          </cell>
          <cell r="V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Y1357">
            <v>0</v>
          </cell>
          <cell r="AA1357">
            <v>0</v>
          </cell>
          <cell r="AJ1357">
            <v>0</v>
          </cell>
          <cell r="AN1357">
            <v>0</v>
          </cell>
          <cell r="AR1357">
            <v>0</v>
          </cell>
          <cell r="AV1357">
            <v>0</v>
          </cell>
          <cell r="AZ1357">
            <v>0</v>
          </cell>
        </row>
        <row r="1358">
          <cell r="Q1358">
            <v>0</v>
          </cell>
          <cell r="S1358">
            <v>0</v>
          </cell>
          <cell r="U1358">
            <v>0</v>
          </cell>
          <cell r="V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Y1366">
            <v>0</v>
          </cell>
          <cell r="AA1366">
            <v>0</v>
          </cell>
          <cell r="AJ1366">
            <v>0</v>
          </cell>
          <cell r="AN1366">
            <v>0</v>
          </cell>
          <cell r="AR1366">
            <v>0</v>
          </cell>
          <cell r="AV1366">
            <v>0</v>
          </cell>
          <cell r="AZ1366">
            <v>0</v>
          </cell>
        </row>
        <row r="1367">
          <cell r="Q1367">
            <v>0</v>
          </cell>
          <cell r="S1367">
            <v>0</v>
          </cell>
          <cell r="U1367">
            <v>0</v>
          </cell>
          <cell r="V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Y1383">
            <v>0</v>
          </cell>
          <cell r="AA1383">
            <v>0</v>
          </cell>
          <cell r="AJ1383">
            <v>0</v>
          </cell>
          <cell r="AN1383">
            <v>0</v>
          </cell>
          <cell r="AR1383">
            <v>0</v>
          </cell>
          <cell r="AV1383">
            <v>0</v>
          </cell>
          <cell r="AZ1383">
            <v>0</v>
          </cell>
        </row>
        <row r="1384">
          <cell r="Q1384">
            <v>-255</v>
          </cell>
          <cell r="S1384">
            <v>-250</v>
          </cell>
          <cell r="U1384">
            <v>112</v>
          </cell>
          <cell r="V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Y1390">
            <v>0</v>
          </cell>
          <cell r="AA1390">
            <v>0</v>
          </cell>
          <cell r="AJ1390">
            <v>0</v>
          </cell>
          <cell r="AN1390">
            <v>0</v>
          </cell>
          <cell r="AR1390">
            <v>0</v>
          </cell>
          <cell r="AV1390">
            <v>0</v>
          </cell>
          <cell r="AZ1390">
            <v>0</v>
          </cell>
        </row>
        <row r="1391">
          <cell r="Q1391">
            <v>0</v>
          </cell>
          <cell r="S1391">
            <v>0</v>
          </cell>
          <cell r="U1391">
            <v>0</v>
          </cell>
          <cell r="V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Y1395">
            <v>0</v>
          </cell>
          <cell r="AA1395">
            <v>0</v>
          </cell>
          <cell r="AJ1395">
            <v>0</v>
          </cell>
          <cell r="AN1395">
            <v>0</v>
          </cell>
          <cell r="AR1395">
            <v>0</v>
          </cell>
          <cell r="AV1395">
            <v>0</v>
          </cell>
          <cell r="AZ1395">
            <v>0</v>
          </cell>
        </row>
        <row r="1396">
          <cell r="Q1396">
            <v>-56176.9</v>
          </cell>
          <cell r="S1396">
            <v>0</v>
          </cell>
          <cell r="U1396">
            <v>0</v>
          </cell>
          <cell r="V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Y1403">
            <v>0</v>
          </cell>
          <cell r="AA1403">
            <v>0</v>
          </cell>
          <cell r="AJ1403">
            <v>0</v>
          </cell>
          <cell r="AN1403">
            <v>0</v>
          </cell>
          <cell r="AR1403">
            <v>0</v>
          </cell>
          <cell r="AV1403">
            <v>0</v>
          </cell>
          <cell r="AZ1403">
            <v>0</v>
          </cell>
        </row>
        <row r="1404">
          <cell r="Q1404">
            <v>-3306566.26</v>
          </cell>
          <cell r="S1404">
            <v>0</v>
          </cell>
          <cell r="U1404">
            <v>0</v>
          </cell>
          <cell r="V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Y1421">
            <v>0</v>
          </cell>
          <cell r="AA1421">
            <v>0</v>
          </cell>
          <cell r="AJ1421">
            <v>0</v>
          </cell>
          <cell r="AN1421">
            <v>0</v>
          </cell>
          <cell r="AR1421">
            <v>0</v>
          </cell>
          <cell r="AV1421">
            <v>0</v>
          </cell>
          <cell r="AZ1421">
            <v>0</v>
          </cell>
        </row>
        <row r="1422">
          <cell r="Q1422">
            <v>-47149.83</v>
          </cell>
          <cell r="S1422">
            <v>0</v>
          </cell>
          <cell r="U1422">
            <v>0</v>
          </cell>
          <cell r="V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Y1470">
            <v>0</v>
          </cell>
          <cell r="AA1470">
            <v>0</v>
          </cell>
          <cell r="AJ1470">
            <v>0</v>
          </cell>
          <cell r="AN1470">
            <v>0</v>
          </cell>
          <cell r="AR1470">
            <v>0</v>
          </cell>
          <cell r="AV1470">
            <v>0</v>
          </cell>
          <cell r="AZ1470">
            <v>0</v>
          </cell>
        </row>
        <row r="1471">
          <cell r="Q1471">
            <v>-3858235</v>
          </cell>
          <cell r="S1471">
            <v>0</v>
          </cell>
          <cell r="U1471">
            <v>0</v>
          </cell>
          <cell r="V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Y1475">
            <v>0</v>
          </cell>
          <cell r="AA1475">
            <v>0</v>
          </cell>
          <cell r="AJ1475">
            <v>0</v>
          </cell>
          <cell r="AN1475">
            <v>0</v>
          </cell>
          <cell r="AR1475">
            <v>0</v>
          </cell>
          <cell r="AV1475">
            <v>0</v>
          </cell>
          <cell r="AZ1475">
            <v>0</v>
          </cell>
        </row>
        <row r="1476">
          <cell r="Q1476">
            <v>0</v>
          </cell>
          <cell r="S1476">
            <v>0</v>
          </cell>
          <cell r="U1476">
            <v>0</v>
          </cell>
          <cell r="V1476">
            <v>0</v>
          </cell>
          <cell r="Y1476">
            <v>0</v>
          </cell>
          <cell r="AA1476">
            <v>0</v>
          </cell>
          <cell r="AJ1476">
            <v>0</v>
          </cell>
          <cell r="AN1476">
            <v>0</v>
          </cell>
          <cell r="AR1476">
            <v>0</v>
          </cell>
          <cell r="AV1476">
            <v>0</v>
          </cell>
          <cell r="AZ1476">
            <v>0</v>
          </cell>
        </row>
        <row r="1477">
          <cell r="Q1477">
            <v>0</v>
          </cell>
          <cell r="S1477">
            <v>0</v>
          </cell>
          <cell r="U1477">
            <v>0</v>
          </cell>
          <cell r="V1477">
            <v>0</v>
          </cell>
          <cell r="Y1477">
            <v>0</v>
          </cell>
          <cell r="AA1477">
            <v>0</v>
          </cell>
          <cell r="AJ1477">
            <v>0</v>
          </cell>
          <cell r="AN1477">
            <v>0</v>
          </cell>
          <cell r="AR1477">
            <v>0</v>
          </cell>
          <cell r="AV1477">
            <v>0</v>
          </cell>
          <cell r="AZ1477">
            <v>0</v>
          </cell>
        </row>
        <row r="1478">
          <cell r="Q1478">
            <v>0</v>
          </cell>
          <cell r="S1478">
            <v>0</v>
          </cell>
          <cell r="U1478">
            <v>0</v>
          </cell>
          <cell r="V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Y1508">
            <v>0</v>
          </cell>
          <cell r="AA1508">
            <v>0</v>
          </cell>
          <cell r="AJ1508">
            <v>0</v>
          </cell>
          <cell r="AN1508">
            <v>0</v>
          </cell>
          <cell r="AR1508">
            <v>0</v>
          </cell>
          <cell r="AV1508">
            <v>0</v>
          </cell>
          <cell r="AZ1508">
            <v>0</v>
          </cell>
        </row>
        <row r="1509">
          <cell r="Q1509">
            <v>0</v>
          </cell>
          <cell r="S1509">
            <v>0</v>
          </cell>
          <cell r="U1509">
            <v>0</v>
          </cell>
          <cell r="V1509">
            <v>0</v>
          </cell>
          <cell r="Y1509">
            <v>0</v>
          </cell>
          <cell r="AA1509">
            <v>0</v>
          </cell>
          <cell r="AJ1509">
            <v>0</v>
          </cell>
          <cell r="AN1509">
            <v>0</v>
          </cell>
          <cell r="AR1509">
            <v>0</v>
          </cell>
          <cell r="AV1509">
            <v>0</v>
          </cell>
          <cell r="AZ1509">
            <v>0</v>
          </cell>
        </row>
        <row r="1510">
          <cell r="Q1510">
            <v>0</v>
          </cell>
          <cell r="S1510">
            <v>0</v>
          </cell>
          <cell r="U1510">
            <v>0</v>
          </cell>
          <cell r="V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Y1515">
            <v>0</v>
          </cell>
          <cell r="AA1515">
            <v>0</v>
          </cell>
          <cell r="AJ1515">
            <v>0</v>
          </cell>
          <cell r="AN1515">
            <v>0</v>
          </cell>
          <cell r="AR1515">
            <v>0</v>
          </cell>
          <cell r="AV1515">
            <v>0</v>
          </cell>
          <cell r="AZ1515">
            <v>0</v>
          </cell>
        </row>
        <row r="1516">
          <cell r="Q1516">
            <v>0</v>
          </cell>
          <cell r="S1516">
            <v>0</v>
          </cell>
          <cell r="U1516">
            <v>0</v>
          </cell>
          <cell r="V1516">
            <v>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Y1530">
            <v>0</v>
          </cell>
          <cell r="AA1530">
            <v>0</v>
          </cell>
          <cell r="AJ1530">
            <v>0</v>
          </cell>
          <cell r="AN1530">
            <v>0</v>
          </cell>
          <cell r="AR1530">
            <v>0</v>
          </cell>
          <cell r="AV1530">
            <v>0</v>
          </cell>
          <cell r="AZ1530">
            <v>0</v>
          </cell>
        </row>
        <row r="1531">
          <cell r="Q1531">
            <v>0</v>
          </cell>
          <cell r="S1531">
            <v>0</v>
          </cell>
          <cell r="U1531">
            <v>0</v>
          </cell>
          <cell r="V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Y1534">
            <v>0</v>
          </cell>
          <cell r="AA1534">
            <v>0</v>
          </cell>
          <cell r="AJ1534">
            <v>0</v>
          </cell>
          <cell r="AN1534">
            <v>0</v>
          </cell>
          <cell r="AR1534">
            <v>0</v>
          </cell>
          <cell r="AV1534">
            <v>0</v>
          </cell>
          <cell r="AZ1534">
            <v>0</v>
          </cell>
        </row>
        <row r="1535">
          <cell r="Q1535">
            <v>0</v>
          </cell>
          <cell r="S1535">
            <v>0</v>
          </cell>
          <cell r="U1535">
            <v>0</v>
          </cell>
          <cell r="V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Y1560">
            <v>0</v>
          </cell>
          <cell r="AA1560">
            <v>0</v>
          </cell>
          <cell r="AJ1560">
            <v>0</v>
          </cell>
          <cell r="AN1560">
            <v>0</v>
          </cell>
          <cell r="AR1560">
            <v>0</v>
          </cell>
          <cell r="AV1560">
            <v>0</v>
          </cell>
          <cell r="AZ1560">
            <v>0</v>
          </cell>
        </row>
        <row r="1561">
          <cell r="Q1561">
            <v>0</v>
          </cell>
          <cell r="S1561">
            <v>0</v>
          </cell>
          <cell r="U1561">
            <v>0</v>
          </cell>
          <cell r="V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Y1562">
            <v>0</v>
          </cell>
          <cell r="AA1562">
            <v>0</v>
          </cell>
          <cell r="AJ1562">
            <v>-725750</v>
          </cell>
          <cell r="AN1562">
            <v>-725750</v>
          </cell>
          <cell r="AR1562">
            <v>-604791.66666666663</v>
          </cell>
          <cell r="AV1562">
            <v>0</v>
          </cell>
          <cell r="AZ1562">
            <v>0</v>
          </cell>
        </row>
        <row r="1563">
          <cell r="U1563">
            <v>-658335</v>
          </cell>
          <cell r="V1563">
            <v>-658335</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Y1566">
            <v>0</v>
          </cell>
          <cell r="AA1566">
            <v>0</v>
          </cell>
          <cell r="AJ1566">
            <v>0</v>
          </cell>
          <cell r="AN1566">
            <v>0</v>
          </cell>
          <cell r="AR1566">
            <v>0</v>
          </cell>
          <cell r="AV1566">
            <v>0</v>
          </cell>
          <cell r="AZ1566">
            <v>0</v>
          </cell>
        </row>
        <row r="1567">
          <cell r="Q1567">
            <v>0</v>
          </cell>
          <cell r="S1567">
            <v>0</v>
          </cell>
          <cell r="U1567">
            <v>0</v>
          </cell>
          <cell r="V1567">
            <v>0</v>
          </cell>
          <cell r="Y1567">
            <v>0</v>
          </cell>
          <cell r="AA1567">
            <v>0</v>
          </cell>
          <cell r="AJ1567">
            <v>0</v>
          </cell>
          <cell r="AN1567">
            <v>0</v>
          </cell>
          <cell r="AR1567">
            <v>0</v>
          </cell>
          <cell r="AV1567">
            <v>0</v>
          </cell>
          <cell r="AZ1567">
            <v>0</v>
          </cell>
        </row>
        <row r="1568">
          <cell r="Q1568">
            <v>0</v>
          </cell>
          <cell r="S1568">
            <v>0</v>
          </cell>
          <cell r="U1568">
            <v>0</v>
          </cell>
          <cell r="V1568">
            <v>0</v>
          </cell>
          <cell r="Y1568">
            <v>0</v>
          </cell>
          <cell r="AA1568">
            <v>0</v>
          </cell>
          <cell r="AJ1568">
            <v>0</v>
          </cell>
          <cell r="AN1568">
            <v>0</v>
          </cell>
          <cell r="AR1568">
            <v>0</v>
          </cell>
          <cell r="AV1568">
            <v>0</v>
          </cell>
          <cell r="AZ1568">
            <v>0</v>
          </cell>
        </row>
        <row r="1569">
          <cell r="Q1569">
            <v>0</v>
          </cell>
          <cell r="S1569">
            <v>0</v>
          </cell>
          <cell r="U1569">
            <v>0</v>
          </cell>
          <cell r="V1569">
            <v>0</v>
          </cell>
          <cell r="Y1569">
            <v>0</v>
          </cell>
          <cell r="AA1569">
            <v>0</v>
          </cell>
          <cell r="AJ1569">
            <v>0</v>
          </cell>
          <cell r="AN1569">
            <v>0</v>
          </cell>
          <cell r="AR1569">
            <v>0</v>
          </cell>
          <cell r="AV1569">
            <v>0</v>
          </cell>
          <cell r="AZ1569">
            <v>0</v>
          </cell>
        </row>
        <row r="1570">
          <cell r="Q1570">
            <v>0</v>
          </cell>
          <cell r="S1570">
            <v>0</v>
          </cell>
          <cell r="U1570">
            <v>0</v>
          </cell>
          <cell r="V1570">
            <v>0</v>
          </cell>
          <cell r="Y1570">
            <v>0</v>
          </cell>
          <cell r="AA1570">
            <v>0</v>
          </cell>
          <cell r="AJ1570">
            <v>0</v>
          </cell>
          <cell r="AN1570">
            <v>0</v>
          </cell>
          <cell r="AR1570">
            <v>0</v>
          </cell>
          <cell r="AV1570">
            <v>0</v>
          </cell>
          <cell r="AZ1570">
            <v>0</v>
          </cell>
        </row>
        <row r="1571">
          <cell r="Q1571">
            <v>0</v>
          </cell>
          <cell r="S1571">
            <v>0</v>
          </cell>
          <cell r="U1571">
            <v>0</v>
          </cell>
          <cell r="V1571">
            <v>0</v>
          </cell>
          <cell r="Y1571">
            <v>0</v>
          </cell>
          <cell r="AA1571">
            <v>0</v>
          </cell>
          <cell r="AJ1571">
            <v>0</v>
          </cell>
          <cell r="AN1571">
            <v>0</v>
          </cell>
          <cell r="AR1571">
            <v>0</v>
          </cell>
          <cell r="AV1571">
            <v>0</v>
          </cell>
          <cell r="AZ1571">
            <v>0</v>
          </cell>
        </row>
        <row r="1572">
          <cell r="Q1572">
            <v>0</v>
          </cell>
          <cell r="S1572">
            <v>0</v>
          </cell>
          <cell r="U1572">
            <v>0</v>
          </cell>
          <cell r="V1572">
            <v>0</v>
          </cell>
          <cell r="Y1572">
            <v>0</v>
          </cell>
          <cell r="AA1572">
            <v>0</v>
          </cell>
          <cell r="AJ1572">
            <v>0</v>
          </cell>
          <cell r="AN1572">
            <v>0</v>
          </cell>
          <cell r="AR1572">
            <v>0</v>
          </cell>
          <cell r="AV1572">
            <v>0</v>
          </cell>
          <cell r="AZ1572">
            <v>0</v>
          </cell>
        </row>
        <row r="1573">
          <cell r="Q1573">
            <v>0</v>
          </cell>
          <cell r="S1573">
            <v>0</v>
          </cell>
          <cell r="U1573">
            <v>0</v>
          </cell>
          <cell r="V1573">
            <v>0</v>
          </cell>
          <cell r="Y1573">
            <v>0</v>
          </cell>
          <cell r="AA1573">
            <v>0</v>
          </cell>
          <cell r="AJ1573">
            <v>0</v>
          </cell>
          <cell r="AN1573">
            <v>0</v>
          </cell>
          <cell r="AR1573">
            <v>0</v>
          </cell>
          <cell r="AV1573">
            <v>0</v>
          </cell>
          <cell r="AZ1573">
            <v>0</v>
          </cell>
        </row>
        <row r="1574">
          <cell r="Q1574">
            <v>0</v>
          </cell>
          <cell r="S1574">
            <v>0</v>
          </cell>
          <cell r="U1574">
            <v>0</v>
          </cell>
          <cell r="V1574">
            <v>0</v>
          </cell>
          <cell r="Y1574">
            <v>0</v>
          </cell>
          <cell r="AA1574">
            <v>0</v>
          </cell>
          <cell r="AJ1574">
            <v>0</v>
          </cell>
          <cell r="AN1574">
            <v>0</v>
          </cell>
          <cell r="AR1574">
            <v>0</v>
          </cell>
          <cell r="AV1574">
            <v>0</v>
          </cell>
          <cell r="AZ1574">
            <v>0</v>
          </cell>
        </row>
        <row r="1575">
          <cell r="Q1575">
            <v>0</v>
          </cell>
          <cell r="S1575">
            <v>0</v>
          </cell>
          <cell r="U1575">
            <v>0</v>
          </cell>
          <cell r="V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Y1578">
            <v>0</v>
          </cell>
          <cell r="AA1578">
            <v>0</v>
          </cell>
          <cell r="AJ1578">
            <v>0</v>
          </cell>
          <cell r="AN1578">
            <v>0</v>
          </cell>
          <cell r="AR1578">
            <v>0</v>
          </cell>
          <cell r="AV1578">
            <v>0</v>
          </cell>
          <cell r="AZ1578">
            <v>0</v>
          </cell>
        </row>
        <row r="1579">
          <cell r="Q1579">
            <v>0</v>
          </cell>
          <cell r="S1579">
            <v>0</v>
          </cell>
          <cell r="U1579">
            <v>0</v>
          </cell>
          <cell r="V1579">
            <v>0</v>
          </cell>
          <cell r="Y1579">
            <v>0</v>
          </cell>
          <cell r="AA1579">
            <v>0</v>
          </cell>
          <cell r="AJ1579">
            <v>0</v>
          </cell>
          <cell r="AN1579">
            <v>0</v>
          </cell>
          <cell r="AR1579">
            <v>0</v>
          </cell>
          <cell r="AV1579">
            <v>0</v>
          </cell>
          <cell r="AZ1579">
            <v>0</v>
          </cell>
        </row>
        <row r="1580">
          <cell r="Q1580">
            <v>0</v>
          </cell>
          <cell r="S1580">
            <v>0</v>
          </cell>
          <cell r="U1580">
            <v>0</v>
          </cell>
          <cell r="V1580">
            <v>0</v>
          </cell>
          <cell r="Y1580">
            <v>0</v>
          </cell>
          <cell r="AA1580">
            <v>0</v>
          </cell>
          <cell r="AJ1580">
            <v>0</v>
          </cell>
          <cell r="AN1580">
            <v>0</v>
          </cell>
          <cell r="AR1580">
            <v>0</v>
          </cell>
          <cell r="AV1580">
            <v>0</v>
          </cell>
          <cell r="AZ1580">
            <v>0</v>
          </cell>
        </row>
        <row r="1581">
          <cell r="Q1581">
            <v>0</v>
          </cell>
          <cell r="S1581">
            <v>0</v>
          </cell>
          <cell r="U1581">
            <v>0</v>
          </cell>
          <cell r="V1581">
            <v>0</v>
          </cell>
          <cell r="Y1581">
            <v>0</v>
          </cell>
          <cell r="AA1581">
            <v>0</v>
          </cell>
          <cell r="AJ1581">
            <v>0</v>
          </cell>
          <cell r="AN1581">
            <v>0</v>
          </cell>
          <cell r="AR1581">
            <v>0</v>
          </cell>
          <cell r="AV1581">
            <v>0</v>
          </cell>
          <cell r="AZ1581">
            <v>0</v>
          </cell>
        </row>
        <row r="1582">
          <cell r="Q1582">
            <v>0</v>
          </cell>
          <cell r="S1582">
            <v>0</v>
          </cell>
          <cell r="U1582">
            <v>0</v>
          </cell>
          <cell r="V1582">
            <v>0</v>
          </cell>
          <cell r="Y1582">
            <v>0</v>
          </cell>
          <cell r="AA1582">
            <v>0</v>
          </cell>
          <cell r="AJ1582">
            <v>0</v>
          </cell>
          <cell r="AN1582">
            <v>0</v>
          </cell>
          <cell r="AR1582">
            <v>0</v>
          </cell>
          <cell r="AV1582">
            <v>0</v>
          </cell>
          <cell r="AZ1582">
            <v>0</v>
          </cell>
        </row>
        <row r="1583">
          <cell r="Q1583">
            <v>0</v>
          </cell>
          <cell r="S1583">
            <v>0</v>
          </cell>
          <cell r="U1583">
            <v>0</v>
          </cell>
          <cell r="V1583">
            <v>0</v>
          </cell>
          <cell r="Y1583">
            <v>0</v>
          </cell>
          <cell r="AA1583">
            <v>0</v>
          </cell>
          <cell r="AJ1583">
            <v>0</v>
          </cell>
          <cell r="AN1583">
            <v>0</v>
          </cell>
          <cell r="AR1583">
            <v>0</v>
          </cell>
          <cell r="AV1583">
            <v>0</v>
          </cell>
          <cell r="AZ1583">
            <v>0</v>
          </cell>
        </row>
        <row r="1584">
          <cell r="Q1584">
            <v>0</v>
          </cell>
          <cell r="S1584">
            <v>0</v>
          </cell>
          <cell r="U1584">
            <v>0</v>
          </cell>
          <cell r="V1584">
            <v>0</v>
          </cell>
          <cell r="Y1584">
            <v>0</v>
          </cell>
          <cell r="AA1584">
            <v>0</v>
          </cell>
          <cell r="AJ1584">
            <v>0</v>
          </cell>
          <cell r="AN1584">
            <v>0</v>
          </cell>
          <cell r="AR1584">
            <v>0</v>
          </cell>
          <cell r="AV1584">
            <v>0</v>
          </cell>
          <cell r="AZ1584">
            <v>0</v>
          </cell>
        </row>
        <row r="1585">
          <cell r="Q1585">
            <v>0</v>
          </cell>
          <cell r="S1585">
            <v>0</v>
          </cell>
          <cell r="U1585">
            <v>0</v>
          </cell>
          <cell r="V1585">
            <v>0</v>
          </cell>
          <cell r="Y1585">
            <v>0</v>
          </cell>
          <cell r="AA1585">
            <v>0</v>
          </cell>
          <cell r="AJ1585">
            <v>0</v>
          </cell>
          <cell r="AN1585">
            <v>0</v>
          </cell>
          <cell r="AR1585">
            <v>0</v>
          </cell>
          <cell r="AV1585">
            <v>0</v>
          </cell>
          <cell r="AZ1585">
            <v>0</v>
          </cell>
        </row>
        <row r="1586">
          <cell r="Q1586">
            <v>0</v>
          </cell>
          <cell r="S1586">
            <v>0</v>
          </cell>
          <cell r="U1586">
            <v>0</v>
          </cell>
          <cell r="V1586">
            <v>-0.42</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Y1591">
            <v>0</v>
          </cell>
          <cell r="AA1591">
            <v>0</v>
          </cell>
          <cell r="AJ1591">
            <v>0</v>
          </cell>
          <cell r="AN1591">
            <v>0</v>
          </cell>
          <cell r="AR1591">
            <v>0</v>
          </cell>
          <cell r="AV1591">
            <v>0</v>
          </cell>
          <cell r="AZ1591">
            <v>0</v>
          </cell>
        </row>
        <row r="1592">
          <cell r="Q1592">
            <v>0</v>
          </cell>
          <cell r="S1592">
            <v>0</v>
          </cell>
          <cell r="U1592">
            <v>0</v>
          </cell>
          <cell r="V1592">
            <v>0</v>
          </cell>
          <cell r="Y1592">
            <v>0</v>
          </cell>
          <cell r="AA1592">
            <v>0</v>
          </cell>
          <cell r="AJ1592">
            <v>0</v>
          </cell>
          <cell r="AN1592">
            <v>0</v>
          </cell>
          <cell r="AR1592">
            <v>0</v>
          </cell>
          <cell r="AV1592">
            <v>0</v>
          </cell>
          <cell r="AZ1592">
            <v>0</v>
          </cell>
        </row>
        <row r="1593">
          <cell r="Q1593">
            <v>0</v>
          </cell>
          <cell r="S1593">
            <v>0</v>
          </cell>
          <cell r="U1593">
            <v>0</v>
          </cell>
          <cell r="V1593">
            <v>0</v>
          </cell>
          <cell r="Y1593">
            <v>0</v>
          </cell>
          <cell r="AA1593">
            <v>0</v>
          </cell>
          <cell r="AJ1593">
            <v>0</v>
          </cell>
          <cell r="AN1593">
            <v>0</v>
          </cell>
          <cell r="AR1593">
            <v>0</v>
          </cell>
          <cell r="AV1593">
            <v>0</v>
          </cell>
          <cell r="AZ1593">
            <v>0</v>
          </cell>
        </row>
        <row r="1594">
          <cell r="Q1594">
            <v>0</v>
          </cell>
          <cell r="S1594">
            <v>0</v>
          </cell>
          <cell r="U1594">
            <v>0</v>
          </cell>
          <cell r="V1594">
            <v>0</v>
          </cell>
          <cell r="Y1594">
            <v>0</v>
          </cell>
          <cell r="AA1594">
            <v>0</v>
          </cell>
          <cell r="AJ1594">
            <v>0</v>
          </cell>
          <cell r="AN1594">
            <v>0</v>
          </cell>
          <cell r="AR1594">
            <v>0</v>
          </cell>
          <cell r="AV1594">
            <v>0</v>
          </cell>
          <cell r="AZ1594">
            <v>0</v>
          </cell>
        </row>
        <row r="1595">
          <cell r="Q1595">
            <v>0</v>
          </cell>
          <cell r="S1595">
            <v>0</v>
          </cell>
          <cell r="U1595">
            <v>0</v>
          </cell>
          <cell r="V1595">
            <v>0</v>
          </cell>
          <cell r="Y1595">
            <v>0</v>
          </cell>
          <cell r="AA1595">
            <v>0</v>
          </cell>
          <cell r="AJ1595">
            <v>0</v>
          </cell>
          <cell r="AN1595">
            <v>0</v>
          </cell>
          <cell r="AR1595">
            <v>0</v>
          </cell>
          <cell r="AV1595">
            <v>0</v>
          </cell>
          <cell r="AZ1595">
            <v>0</v>
          </cell>
        </row>
        <row r="1596">
          <cell r="Q1596">
            <v>0</v>
          </cell>
          <cell r="S1596">
            <v>0</v>
          </cell>
          <cell r="U1596">
            <v>0</v>
          </cell>
          <cell r="V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Y1598">
            <v>0</v>
          </cell>
          <cell r="AA1598">
            <v>0</v>
          </cell>
          <cell r="AJ1598">
            <v>0</v>
          </cell>
          <cell r="AN1598">
            <v>0</v>
          </cell>
          <cell r="AR1598">
            <v>0</v>
          </cell>
          <cell r="AV1598">
            <v>0</v>
          </cell>
          <cell r="AZ1598">
            <v>0</v>
          </cell>
        </row>
        <row r="1599">
          <cell r="Q1599">
            <v>0</v>
          </cell>
          <cell r="S1599">
            <v>0</v>
          </cell>
          <cell r="U1599">
            <v>0</v>
          </cell>
          <cell r="V1599">
            <v>0</v>
          </cell>
          <cell r="Y1599">
            <v>0</v>
          </cell>
          <cell r="AA1599">
            <v>0</v>
          </cell>
          <cell r="AJ1599">
            <v>0</v>
          </cell>
          <cell r="AN1599">
            <v>0</v>
          </cell>
          <cell r="AR1599">
            <v>0</v>
          </cell>
          <cell r="AV1599">
            <v>0</v>
          </cell>
          <cell r="AZ1599">
            <v>0</v>
          </cell>
        </row>
        <row r="1600">
          <cell r="Q1600">
            <v>0</v>
          </cell>
          <cell r="S1600">
            <v>0</v>
          </cell>
          <cell r="U1600">
            <v>0</v>
          </cell>
          <cell r="V1600">
            <v>0</v>
          </cell>
          <cell r="Y1600">
            <v>0</v>
          </cell>
          <cell r="AA1600">
            <v>0</v>
          </cell>
          <cell r="AJ1600">
            <v>0</v>
          </cell>
          <cell r="AN1600">
            <v>0</v>
          </cell>
          <cell r="AR1600">
            <v>0</v>
          </cell>
          <cell r="AV1600">
            <v>0</v>
          </cell>
          <cell r="AZ1600">
            <v>0</v>
          </cell>
        </row>
        <row r="1601">
          <cell r="Q1601">
            <v>0</v>
          </cell>
          <cell r="S1601">
            <v>0</v>
          </cell>
          <cell r="U1601">
            <v>0</v>
          </cell>
          <cell r="V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Y1626">
            <v>-1170132.25</v>
          </cell>
          <cell r="AA1626">
            <v>-1524478.16</v>
          </cell>
          <cell r="AJ1626">
            <v>0</v>
          </cell>
          <cell r="AN1626">
            <v>0</v>
          </cell>
          <cell r="AR1626">
            <v>-283769.87541666668</v>
          </cell>
          <cell r="AV1626">
            <v>-748208.6958333333</v>
          </cell>
          <cell r="AZ1626">
            <v>-1198280.9099999999</v>
          </cell>
        </row>
        <row r="1627">
          <cell r="V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Y1632">
            <v>0</v>
          </cell>
          <cell r="AA1632">
            <v>0</v>
          </cell>
          <cell r="AJ1632">
            <v>0</v>
          </cell>
          <cell r="AN1632">
            <v>0</v>
          </cell>
          <cell r="AR1632">
            <v>0</v>
          </cell>
          <cell r="AV1632">
            <v>0</v>
          </cell>
          <cell r="AZ1632">
            <v>0</v>
          </cell>
        </row>
        <row r="1633">
          <cell r="Q1633">
            <v>0</v>
          </cell>
          <cell r="S1633">
            <v>0</v>
          </cell>
          <cell r="U1633">
            <v>0</v>
          </cell>
          <cell r="V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Y1640">
            <v>0</v>
          </cell>
          <cell r="AA1640">
            <v>0</v>
          </cell>
          <cell r="AJ1640">
            <v>0</v>
          </cell>
          <cell r="AN1640">
            <v>0</v>
          </cell>
          <cell r="AR1640">
            <v>0</v>
          </cell>
          <cell r="AV1640">
            <v>0</v>
          </cell>
          <cell r="AZ1640">
            <v>0</v>
          </cell>
        </row>
        <row r="1641">
          <cell r="Q1641">
            <v>0</v>
          </cell>
          <cell r="S1641">
            <v>0</v>
          </cell>
          <cell r="U1641">
            <v>0</v>
          </cell>
          <cell r="V1641">
            <v>0</v>
          </cell>
          <cell r="Y1641">
            <v>0</v>
          </cell>
          <cell r="AA1641">
            <v>0</v>
          </cell>
          <cell r="AJ1641">
            <v>0</v>
          </cell>
          <cell r="AN1641">
            <v>0</v>
          </cell>
          <cell r="AR1641">
            <v>0</v>
          </cell>
          <cell r="AV1641">
            <v>0</v>
          </cell>
          <cell r="AZ1641">
            <v>0</v>
          </cell>
        </row>
        <row r="1642">
          <cell r="Q1642">
            <v>0</v>
          </cell>
          <cell r="S1642">
            <v>0</v>
          </cell>
          <cell r="U1642">
            <v>0</v>
          </cell>
          <cell r="V1642">
            <v>0</v>
          </cell>
          <cell r="Y1642">
            <v>0</v>
          </cell>
          <cell r="AA1642">
            <v>0</v>
          </cell>
          <cell r="AJ1642">
            <v>0</v>
          </cell>
          <cell r="AN1642">
            <v>0</v>
          </cell>
          <cell r="AR1642">
            <v>0</v>
          </cell>
          <cell r="AV1642">
            <v>0</v>
          </cell>
          <cell r="AZ1642">
            <v>0</v>
          </cell>
        </row>
        <row r="1643">
          <cell r="Q1643">
            <v>0</v>
          </cell>
          <cell r="S1643">
            <v>0</v>
          </cell>
          <cell r="U1643">
            <v>0</v>
          </cell>
          <cell r="V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Y1648">
            <v>0</v>
          </cell>
          <cell r="AA1648">
            <v>0</v>
          </cell>
          <cell r="AJ1648">
            <v>0</v>
          </cell>
          <cell r="AN1648">
            <v>0</v>
          </cell>
          <cell r="AR1648">
            <v>0</v>
          </cell>
          <cell r="AV1648">
            <v>0</v>
          </cell>
          <cell r="AZ1648">
            <v>0</v>
          </cell>
        </row>
        <row r="1649">
          <cell r="Q1649">
            <v>0</v>
          </cell>
          <cell r="S1649">
            <v>0</v>
          </cell>
          <cell r="U1649">
            <v>0</v>
          </cell>
          <cell r="V1649">
            <v>0</v>
          </cell>
          <cell r="Y1649">
            <v>0</v>
          </cell>
          <cell r="AA1649">
            <v>0</v>
          </cell>
          <cell r="AJ1649">
            <v>0</v>
          </cell>
          <cell r="AN1649">
            <v>0</v>
          </cell>
          <cell r="AR1649">
            <v>0</v>
          </cell>
          <cell r="AV1649">
            <v>0</v>
          </cell>
          <cell r="AZ1649">
            <v>0</v>
          </cell>
        </row>
        <row r="1650">
          <cell r="Q1650">
            <v>0</v>
          </cell>
          <cell r="S1650">
            <v>0</v>
          </cell>
          <cell r="U1650">
            <v>0</v>
          </cell>
          <cell r="V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Y1661">
            <v>0</v>
          </cell>
          <cell r="AA1661">
            <v>0</v>
          </cell>
          <cell r="AJ1661">
            <v>0</v>
          </cell>
          <cell r="AN1661">
            <v>0</v>
          </cell>
          <cell r="AR1661">
            <v>0</v>
          </cell>
          <cell r="AV1661">
            <v>0</v>
          </cell>
          <cell r="AZ1661">
            <v>0</v>
          </cell>
        </row>
        <row r="1662">
          <cell r="Q1662">
            <v>0</v>
          </cell>
          <cell r="S1662">
            <v>0</v>
          </cell>
          <cell r="U1662">
            <v>0</v>
          </cell>
          <cell r="V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Y1663">
            <v>0</v>
          </cell>
          <cell r="AA1663">
            <v>0</v>
          </cell>
          <cell r="AJ1663">
            <v>0</v>
          </cell>
          <cell r="AN1663">
            <v>0</v>
          </cell>
          <cell r="AR1663">
            <v>0</v>
          </cell>
          <cell r="AV1663">
            <v>0</v>
          </cell>
          <cell r="AZ1663">
            <v>0</v>
          </cell>
        </row>
        <row r="1664">
          <cell r="Q1664">
            <v>0</v>
          </cell>
          <cell r="S1664">
            <v>0</v>
          </cell>
          <cell r="U1664">
            <v>0</v>
          </cell>
          <cell r="V1664">
            <v>0</v>
          </cell>
          <cell r="Y1664">
            <v>0</v>
          </cell>
          <cell r="AA1664">
            <v>0</v>
          </cell>
          <cell r="AJ1664">
            <v>0</v>
          </cell>
          <cell r="AN1664">
            <v>0</v>
          </cell>
          <cell r="AR1664">
            <v>0</v>
          </cell>
          <cell r="AV1664">
            <v>0</v>
          </cell>
          <cell r="AZ1664">
            <v>0</v>
          </cell>
        </row>
        <row r="1665">
          <cell r="Q1665">
            <v>0</v>
          </cell>
          <cell r="S1665">
            <v>0</v>
          </cell>
          <cell r="U1665">
            <v>0</v>
          </cell>
          <cell r="V1665">
            <v>0</v>
          </cell>
          <cell r="Y1665">
            <v>0</v>
          </cell>
          <cell r="AA1665">
            <v>0</v>
          </cell>
          <cell r="AJ1665">
            <v>0</v>
          </cell>
          <cell r="AN1665">
            <v>0</v>
          </cell>
          <cell r="AR1665">
            <v>0</v>
          </cell>
          <cell r="AV1665">
            <v>0</v>
          </cell>
          <cell r="AZ1665">
            <v>0</v>
          </cell>
        </row>
        <row r="1666">
          <cell r="Q1666">
            <v>0</v>
          </cell>
          <cell r="S1666">
            <v>0</v>
          </cell>
          <cell r="U1666">
            <v>0</v>
          </cell>
          <cell r="V1666">
            <v>0</v>
          </cell>
          <cell r="Y1666">
            <v>0</v>
          </cell>
          <cell r="AA1666">
            <v>0</v>
          </cell>
          <cell r="AJ1666">
            <v>0</v>
          </cell>
          <cell r="AN1666">
            <v>0</v>
          </cell>
          <cell r="AR1666">
            <v>0</v>
          </cell>
          <cell r="AV1666">
            <v>0</v>
          </cell>
          <cell r="AZ1666">
            <v>0</v>
          </cell>
        </row>
        <row r="1667">
          <cell r="Q1667">
            <v>0</v>
          </cell>
          <cell r="S1667">
            <v>0</v>
          </cell>
          <cell r="U1667">
            <v>0</v>
          </cell>
          <cell r="V1667">
            <v>0</v>
          </cell>
          <cell r="Y1667">
            <v>0</v>
          </cell>
          <cell r="AA1667">
            <v>0</v>
          </cell>
          <cell r="AJ1667">
            <v>0</v>
          </cell>
          <cell r="AN1667">
            <v>0</v>
          </cell>
          <cell r="AR1667">
            <v>0</v>
          </cell>
          <cell r="AV1667">
            <v>0</v>
          </cell>
          <cell r="AZ1667">
            <v>0</v>
          </cell>
        </row>
        <row r="1668">
          <cell r="Q1668">
            <v>0</v>
          </cell>
          <cell r="S1668">
            <v>0</v>
          </cell>
          <cell r="U1668">
            <v>0</v>
          </cell>
          <cell r="V1668">
            <v>0</v>
          </cell>
          <cell r="Y1668">
            <v>0</v>
          </cell>
          <cell r="AA1668">
            <v>0</v>
          </cell>
          <cell r="AJ1668">
            <v>0</v>
          </cell>
          <cell r="AN1668">
            <v>0</v>
          </cell>
          <cell r="AR1668">
            <v>0</v>
          </cell>
          <cell r="AV1668">
            <v>0</v>
          </cell>
          <cell r="AZ1668">
            <v>0</v>
          </cell>
        </row>
        <row r="1669">
          <cell r="Q1669">
            <v>0</v>
          </cell>
          <cell r="S1669">
            <v>0</v>
          </cell>
          <cell r="U1669">
            <v>0</v>
          </cell>
          <cell r="V1669">
            <v>0</v>
          </cell>
          <cell r="Y1669">
            <v>0</v>
          </cell>
          <cell r="AA1669">
            <v>0</v>
          </cell>
          <cell r="AJ1669">
            <v>0</v>
          </cell>
          <cell r="AN1669">
            <v>0</v>
          </cell>
          <cell r="AR1669">
            <v>0</v>
          </cell>
          <cell r="AV1669">
            <v>0</v>
          </cell>
          <cell r="AZ1669">
            <v>0</v>
          </cell>
        </row>
        <row r="1670">
          <cell r="Q1670">
            <v>0</v>
          </cell>
          <cell r="S1670">
            <v>0</v>
          </cell>
          <cell r="U1670">
            <v>0</v>
          </cell>
          <cell r="V1670">
            <v>0</v>
          </cell>
          <cell r="Y1670">
            <v>0</v>
          </cell>
          <cell r="AA1670">
            <v>0</v>
          </cell>
          <cell r="AJ1670">
            <v>0</v>
          </cell>
          <cell r="AN1670">
            <v>0</v>
          </cell>
          <cell r="AR1670">
            <v>0</v>
          </cell>
          <cell r="AV1670">
            <v>0</v>
          </cell>
          <cell r="AZ1670">
            <v>0</v>
          </cell>
        </row>
        <row r="1671">
          <cell r="Q1671">
            <v>0</v>
          </cell>
          <cell r="S1671">
            <v>0</v>
          </cell>
          <cell r="U1671">
            <v>0</v>
          </cell>
          <cell r="V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Y1677">
            <v>0</v>
          </cell>
          <cell r="AA1677">
            <v>0</v>
          </cell>
          <cell r="AJ1677">
            <v>0</v>
          </cell>
          <cell r="AN1677">
            <v>0</v>
          </cell>
          <cell r="AR1677">
            <v>0</v>
          </cell>
          <cell r="AV1677">
            <v>0</v>
          </cell>
          <cell r="AZ1677">
            <v>0</v>
          </cell>
        </row>
        <row r="1678">
          <cell r="Q1678">
            <v>0</v>
          </cell>
          <cell r="S1678">
            <v>0</v>
          </cell>
          <cell r="U1678">
            <v>0</v>
          </cell>
          <cell r="V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Y1687">
            <v>0</v>
          </cell>
          <cell r="AA1687">
            <v>0</v>
          </cell>
          <cell r="AJ1687">
            <v>0</v>
          </cell>
          <cell r="AN1687">
            <v>0</v>
          </cell>
          <cell r="AR1687">
            <v>0</v>
          </cell>
          <cell r="AV1687">
            <v>0</v>
          </cell>
          <cell r="AZ1687">
            <v>0</v>
          </cell>
        </row>
        <row r="1688">
          <cell r="Q1688">
            <v>0</v>
          </cell>
          <cell r="S1688">
            <v>0</v>
          </cell>
          <cell r="U1688">
            <v>0</v>
          </cell>
          <cell r="V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Y1695">
            <v>0</v>
          </cell>
          <cell r="AA1695">
            <v>0</v>
          </cell>
          <cell r="AJ1695">
            <v>0</v>
          </cell>
          <cell r="AN1695">
            <v>0</v>
          </cell>
          <cell r="AR1695">
            <v>0</v>
          </cell>
          <cell r="AV1695">
            <v>0</v>
          </cell>
          <cell r="AZ1695">
            <v>0</v>
          </cell>
        </row>
        <row r="1696">
          <cell r="Q1696">
            <v>0</v>
          </cell>
          <cell r="S1696">
            <v>0</v>
          </cell>
          <cell r="U1696">
            <v>0</v>
          </cell>
          <cell r="V1696">
            <v>0</v>
          </cell>
          <cell r="Y1696">
            <v>0</v>
          </cell>
          <cell r="AA1696">
            <v>0</v>
          </cell>
          <cell r="AJ1696">
            <v>0</v>
          </cell>
          <cell r="AN1696">
            <v>0</v>
          </cell>
          <cell r="AR1696">
            <v>0</v>
          </cell>
          <cell r="AV1696">
            <v>0</v>
          </cell>
          <cell r="AZ1696">
            <v>0</v>
          </cell>
        </row>
        <row r="1697">
          <cell r="Q1697">
            <v>0</v>
          </cell>
          <cell r="S1697">
            <v>0</v>
          </cell>
          <cell r="U1697">
            <v>0</v>
          </cell>
          <cell r="V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Y1701">
            <v>0</v>
          </cell>
          <cell r="AA1701">
            <v>0</v>
          </cell>
          <cell r="AJ1701">
            <v>0</v>
          </cell>
          <cell r="AN1701">
            <v>0</v>
          </cell>
          <cell r="AR1701">
            <v>0</v>
          </cell>
          <cell r="AV1701">
            <v>0</v>
          </cell>
          <cell r="AZ1701">
            <v>0</v>
          </cell>
        </row>
        <row r="1702">
          <cell r="Q1702">
            <v>0</v>
          </cell>
          <cell r="S1702">
            <v>0</v>
          </cell>
          <cell r="U1702">
            <v>0</v>
          </cell>
          <cell r="V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31">
          <cell r="F31">
            <v>4.7E-2</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sheetData sheetId="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4"/>
  <sheetViews>
    <sheetView tabSelected="1" zoomScaleNormal="100" workbookViewId="0">
      <selection activeCell="C35" sqref="C35"/>
    </sheetView>
  </sheetViews>
  <sheetFormatPr defaultRowHeight="12.75" x14ac:dyDescent="0.2"/>
  <cols>
    <col min="1" max="1" width="5.28515625" style="2" customWidth="1"/>
    <col min="2" max="2" width="50.7109375" style="2" customWidth="1"/>
    <col min="3" max="3" width="21.7109375" style="2" bestFit="1" customWidth="1"/>
    <col min="4" max="5" width="16.140625" style="2" customWidth="1"/>
    <col min="6" max="6" width="20.5703125" style="2" bestFit="1" customWidth="1"/>
    <col min="7" max="8" width="16.140625" style="2" customWidth="1"/>
    <col min="9" max="16384" width="9.140625" style="2"/>
  </cols>
  <sheetData>
    <row r="1" spans="1:15" x14ac:dyDescent="0.2">
      <c r="A1" s="504" t="s">
        <v>0</v>
      </c>
      <c r="B1" s="504"/>
      <c r="C1" s="504"/>
      <c r="D1" s="504"/>
      <c r="E1" s="504"/>
      <c r="F1" s="504"/>
      <c r="G1" s="504"/>
      <c r="H1" s="504"/>
      <c r="I1" s="1"/>
      <c r="J1" s="1"/>
      <c r="K1" s="1"/>
      <c r="L1" s="1"/>
      <c r="M1" s="1"/>
      <c r="N1" s="1"/>
      <c r="O1" s="1"/>
    </row>
    <row r="2" spans="1:15" x14ac:dyDescent="0.2">
      <c r="A2" s="504" t="s">
        <v>270</v>
      </c>
      <c r="B2" s="504"/>
      <c r="C2" s="504"/>
      <c r="D2" s="504"/>
      <c r="E2" s="504"/>
      <c r="F2" s="504"/>
      <c r="G2" s="504"/>
      <c r="H2" s="504"/>
      <c r="I2" s="1"/>
      <c r="J2" s="1"/>
      <c r="K2" s="1"/>
      <c r="L2" s="1"/>
      <c r="M2" s="1"/>
      <c r="N2" s="1"/>
      <c r="O2" s="1"/>
    </row>
    <row r="3" spans="1:15" x14ac:dyDescent="0.2">
      <c r="A3" s="504" t="s">
        <v>269</v>
      </c>
      <c r="B3" s="504"/>
      <c r="C3" s="504"/>
      <c r="D3" s="504"/>
      <c r="E3" s="504"/>
      <c r="F3" s="504"/>
      <c r="G3" s="504"/>
      <c r="H3" s="504"/>
      <c r="I3" s="1"/>
      <c r="J3" s="1"/>
      <c r="K3" s="1"/>
      <c r="L3" s="1"/>
      <c r="M3" s="1"/>
      <c r="N3" s="1"/>
      <c r="O3" s="1"/>
    </row>
    <row r="4" spans="1:15" x14ac:dyDescent="0.2">
      <c r="A4" s="504" t="s">
        <v>164</v>
      </c>
      <c r="B4" s="504"/>
      <c r="C4" s="504"/>
      <c r="D4" s="504"/>
      <c r="E4" s="504"/>
      <c r="F4" s="504"/>
      <c r="G4" s="504"/>
      <c r="H4" s="504"/>
      <c r="I4" s="1"/>
      <c r="J4" s="1"/>
      <c r="K4" s="1"/>
      <c r="L4" s="1"/>
      <c r="M4" s="1"/>
      <c r="N4" s="1"/>
      <c r="O4" s="1"/>
    </row>
    <row r="5" spans="1:1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row>
    <row r="8" spans="1:15" x14ac:dyDescent="0.2">
      <c r="A8" s="7" t="s">
        <v>5</v>
      </c>
      <c r="B8" s="8"/>
      <c r="C8" s="7" t="s">
        <v>6</v>
      </c>
      <c r="D8" s="7">
        <v>7</v>
      </c>
      <c r="E8" s="7" t="s">
        <v>7</v>
      </c>
      <c r="F8" s="7" t="s">
        <v>8</v>
      </c>
      <c r="G8" s="7">
        <v>40</v>
      </c>
      <c r="H8" s="7" t="s">
        <v>268</v>
      </c>
    </row>
    <row r="9" spans="1:15" x14ac:dyDescent="0.2">
      <c r="A9" s="9"/>
      <c r="B9" s="10" t="s">
        <v>9</v>
      </c>
      <c r="C9" s="10" t="s">
        <v>10</v>
      </c>
      <c r="D9" s="10" t="s">
        <v>11</v>
      </c>
      <c r="E9" s="10" t="s">
        <v>12</v>
      </c>
      <c r="F9" s="10" t="s">
        <v>13</v>
      </c>
      <c r="G9" s="10" t="s">
        <v>14</v>
      </c>
      <c r="H9" s="10" t="s">
        <v>67</v>
      </c>
    </row>
    <row r="10" spans="1:15" x14ac:dyDescent="0.2">
      <c r="A10" s="10"/>
      <c r="B10" s="11"/>
      <c r="C10" s="10"/>
      <c r="D10" s="10"/>
      <c r="E10" s="10"/>
      <c r="F10" s="10"/>
    </row>
    <row r="11" spans="1:15" x14ac:dyDescent="0.2">
      <c r="A11" s="10">
        <v>1</v>
      </c>
      <c r="B11" s="9"/>
      <c r="C11" s="10"/>
      <c r="D11" s="12"/>
      <c r="E11" s="12"/>
      <c r="F11" s="12"/>
      <c r="G11" s="12"/>
      <c r="H11" s="12"/>
    </row>
    <row r="12" spans="1:15" x14ac:dyDescent="0.2">
      <c r="A12" s="10">
        <f t="shared" ref="A12:A32" si="0">A11+1</f>
        <v>2</v>
      </c>
      <c r="B12" s="9" t="s">
        <v>271</v>
      </c>
      <c r="C12" s="10" t="s">
        <v>637</v>
      </c>
      <c r="D12" s="13">
        <f>'Delivery Deferral Balance'!D20</f>
        <v>-446540.5513432523</v>
      </c>
      <c r="E12" s="13">
        <f>'Delivery Deferral Balance'!E20</f>
        <v>243032.26126143624</v>
      </c>
      <c r="F12" s="13">
        <f>'Delivery Deferral Balance'!F20</f>
        <v>259463.79920777923</v>
      </c>
      <c r="G12" s="13">
        <f>'Delivery Deferral Balance'!G20</f>
        <v>80617.544995129487</v>
      </c>
      <c r="H12" s="13">
        <f>'Delivery Deferral Balance'!J20</f>
        <v>11177.454613351576</v>
      </c>
    </row>
    <row r="13" spans="1:15" x14ac:dyDescent="0.2">
      <c r="A13" s="10">
        <f t="shared" si="0"/>
        <v>3</v>
      </c>
      <c r="B13" s="9"/>
      <c r="C13" s="10"/>
      <c r="D13" s="13"/>
      <c r="E13" s="13"/>
      <c r="F13" s="13"/>
      <c r="G13" s="13"/>
      <c r="H13" s="13"/>
    </row>
    <row r="14" spans="1:15" x14ac:dyDescent="0.2">
      <c r="A14" s="10">
        <f t="shared" si="0"/>
        <v>4</v>
      </c>
      <c r="B14" s="9" t="s">
        <v>272</v>
      </c>
      <c r="C14" s="10" t="s">
        <v>637</v>
      </c>
      <c r="D14" s="13">
        <f>'Delivery Deferral Balance'!D22</f>
        <v>-5850456.5795801282</v>
      </c>
      <c r="E14" s="13">
        <f>'Delivery Deferral Balance'!E22</f>
        <v>4672106.1404924067</v>
      </c>
      <c r="F14" s="13">
        <f>'Delivery Deferral Balance'!F22</f>
        <v>5200542.7389986841</v>
      </c>
      <c r="G14" s="13">
        <f>'Delivery Deferral Balance'!G22</f>
        <v>1101343.6627480877</v>
      </c>
      <c r="H14" s="13">
        <f>'Delivery Deferral Balance'!J22</f>
        <v>1061078.2168858007</v>
      </c>
    </row>
    <row r="15" spans="1:15" x14ac:dyDescent="0.2">
      <c r="A15" s="10">
        <f t="shared" si="0"/>
        <v>5</v>
      </c>
      <c r="B15" s="9"/>
      <c r="C15" s="10"/>
      <c r="D15" s="13"/>
      <c r="E15" s="13"/>
      <c r="F15" s="13"/>
      <c r="G15" s="13"/>
      <c r="H15" s="13"/>
    </row>
    <row r="16" spans="1:15" x14ac:dyDescent="0.2">
      <c r="A16" s="10">
        <f t="shared" si="0"/>
        <v>6</v>
      </c>
      <c r="B16" s="9" t="s">
        <v>273</v>
      </c>
      <c r="C16" s="10" t="s">
        <v>637</v>
      </c>
      <c r="D16" s="13">
        <f>'Delivery Deferral Balance'!D24</f>
        <v>474443.91350287589</v>
      </c>
      <c r="E16" s="13">
        <f>'Delivery Deferral Balance'!E24</f>
        <v>216313.99297603488</v>
      </c>
      <c r="F16" s="13">
        <f>'Delivery Deferral Balance'!F24</f>
        <v>232080.86093161054</v>
      </c>
      <c r="G16" s="13">
        <f>'Delivery Deferral Balance'!G24</f>
        <v>45099.022922209122</v>
      </c>
      <c r="H16" s="13">
        <f>'Delivery Deferral Balance'!J24</f>
        <v>47578.290425275351</v>
      </c>
    </row>
    <row r="17" spans="1:8" x14ac:dyDescent="0.2">
      <c r="A17" s="10">
        <f t="shared" si="0"/>
        <v>7</v>
      </c>
      <c r="B17" s="9"/>
      <c r="C17" s="10"/>
      <c r="D17" s="13"/>
      <c r="E17" s="13"/>
      <c r="F17" s="13"/>
      <c r="G17" s="13"/>
      <c r="H17" s="13"/>
    </row>
    <row r="18" spans="1:8" x14ac:dyDescent="0.2">
      <c r="A18" s="10">
        <f t="shared" si="0"/>
        <v>8</v>
      </c>
      <c r="B18" s="9" t="s">
        <v>274</v>
      </c>
      <c r="C18" s="10" t="s">
        <v>638</v>
      </c>
      <c r="D18" s="14">
        <f>-'Earn Test Alloc 2017'!E18</f>
        <v>-6035535.1834800001</v>
      </c>
      <c r="E18" s="14">
        <f>-'Earn Test Alloc NonRes 2017'!E18</f>
        <v>-1176066.38094415</v>
      </c>
      <c r="F18" s="14">
        <f>-'Earn Test Alloc NonRes 2017'!F18</f>
        <v>-1259798.3116384</v>
      </c>
      <c r="G18" s="14">
        <f>-'Earn Test Alloc NonRes 2017'!G18</f>
        <v>-243850.88588150003</v>
      </c>
      <c r="H18" s="14">
        <f>-'Earn Test Alloc NonRes 2017'!H18</f>
        <v>-258246.90203595001</v>
      </c>
    </row>
    <row r="19" spans="1:8" x14ac:dyDescent="0.2">
      <c r="A19" s="10">
        <f t="shared" si="0"/>
        <v>9</v>
      </c>
      <c r="B19" s="9"/>
      <c r="C19" s="10"/>
      <c r="D19" s="12"/>
      <c r="E19" s="12"/>
      <c r="F19" s="12"/>
      <c r="G19" s="12"/>
      <c r="H19" s="12"/>
    </row>
    <row r="20" spans="1:8" x14ac:dyDescent="0.2">
      <c r="A20" s="10">
        <f t="shared" si="0"/>
        <v>10</v>
      </c>
      <c r="B20" s="9" t="s">
        <v>16</v>
      </c>
      <c r="C20" s="10" t="str">
        <f>"("&amp;A12&amp;")+("&amp;A14&amp;")+("&amp;A16&amp;")+("&amp;A18&amp;")"</f>
        <v>(2)+(4)+(6)+(8)</v>
      </c>
      <c r="D20" s="12">
        <f>D12+D14+D16+D18</f>
        <v>-11858088.400900505</v>
      </c>
      <c r="E20" s="12">
        <f t="shared" ref="E20:G20" si="1">E12+E14+E16+E18</f>
        <v>3955386.0137857278</v>
      </c>
      <c r="F20" s="12">
        <f t="shared" si="1"/>
        <v>4432289.0874996744</v>
      </c>
      <c r="G20" s="12">
        <f t="shared" si="1"/>
        <v>983209.34478392638</v>
      </c>
      <c r="H20" s="12">
        <f t="shared" ref="H20" si="2">H12+H14+H16+H18</f>
        <v>861587.05988847767</v>
      </c>
    </row>
    <row r="21" spans="1:8" x14ac:dyDescent="0.2">
      <c r="A21" s="10">
        <f t="shared" si="0"/>
        <v>11</v>
      </c>
      <c r="B21" s="9"/>
      <c r="C21" s="10"/>
      <c r="D21" s="12"/>
      <c r="E21" s="12"/>
      <c r="F21" s="12"/>
      <c r="G21" s="12"/>
      <c r="H21" s="12"/>
    </row>
    <row r="22" spans="1:8" x14ac:dyDescent="0.2">
      <c r="A22" s="10">
        <f t="shared" si="0"/>
        <v>12</v>
      </c>
      <c r="B22" s="9" t="s">
        <v>17</v>
      </c>
      <c r="C22" s="10" t="s">
        <v>639</v>
      </c>
      <c r="D22" s="15">
        <f>Forecast!P8</f>
        <v>10637302206</v>
      </c>
      <c r="E22" s="15">
        <f>Forecast!P10</f>
        <v>3012276888</v>
      </c>
      <c r="F22" s="15">
        <f>Forecast!P22</f>
        <v>3147073863</v>
      </c>
      <c r="G22" s="15">
        <f>Forecast!P16</f>
        <v>626649491</v>
      </c>
      <c r="H22" s="15">
        <f>Forecast!P23</f>
        <v>656807891</v>
      </c>
    </row>
    <row r="23" spans="1:8" x14ac:dyDescent="0.2">
      <c r="A23" s="10">
        <f t="shared" si="0"/>
        <v>13</v>
      </c>
      <c r="B23" s="3"/>
      <c r="C23" s="3"/>
      <c r="D23" s="3"/>
      <c r="E23" s="3"/>
      <c r="F23" s="3"/>
      <c r="G23" s="3"/>
      <c r="H23" s="3"/>
    </row>
    <row r="24" spans="1:8" ht="13.5" thickBot="1" x14ac:dyDescent="0.25">
      <c r="A24" s="10">
        <f t="shared" si="0"/>
        <v>14</v>
      </c>
      <c r="B24" s="9" t="s">
        <v>18</v>
      </c>
      <c r="C24" s="10" t="str">
        <f>"("&amp;A20&amp;") / ("&amp;A22&amp;")"</f>
        <v>(10) / (12)</v>
      </c>
      <c r="D24" s="16">
        <f>ROUND(D20/D22,6)</f>
        <v>-1.1150000000000001E-3</v>
      </c>
      <c r="E24" s="16">
        <f t="shared" ref="E24:G24" si="3">ROUND(E20/E22,6)</f>
        <v>1.3129999999999999E-3</v>
      </c>
      <c r="F24" s="16">
        <f t="shared" si="3"/>
        <v>1.408E-3</v>
      </c>
      <c r="G24" s="16">
        <f t="shared" si="3"/>
        <v>1.5690000000000001E-3</v>
      </c>
      <c r="H24" s="16">
        <f t="shared" ref="H24" si="4">ROUND(H20/H22,6)</f>
        <v>1.312E-3</v>
      </c>
    </row>
    <row r="25" spans="1:8" ht="13.5" thickTop="1" x14ac:dyDescent="0.2">
      <c r="A25" s="10">
        <f t="shared" si="0"/>
        <v>15</v>
      </c>
      <c r="B25" s="3"/>
      <c r="C25" s="3"/>
      <c r="D25" s="3"/>
      <c r="E25" s="3"/>
      <c r="F25" s="3"/>
      <c r="G25" s="3"/>
      <c r="H25" s="3"/>
    </row>
    <row r="26" spans="1:8" x14ac:dyDescent="0.2">
      <c r="A26" s="10">
        <f t="shared" si="0"/>
        <v>16</v>
      </c>
      <c r="B26" s="9" t="s">
        <v>19</v>
      </c>
      <c r="C26" s="10" t="s">
        <v>640</v>
      </c>
      <c r="D26" s="17">
        <f>'Rate Test'!D39</f>
        <v>-1.1150000000000001E-3</v>
      </c>
      <c r="E26" s="17">
        <f>'Rate Test'!E39</f>
        <v>1.3129999999999999E-3</v>
      </c>
      <c r="F26" s="17">
        <f>'Rate Test'!F39</f>
        <v>1.408E-3</v>
      </c>
      <c r="G26" s="17">
        <f>'Rate Test'!G39</f>
        <v>1.5690000000000001E-3</v>
      </c>
      <c r="H26" s="17">
        <f>'Rate Test'!H39</f>
        <v>1.312E-3</v>
      </c>
    </row>
    <row r="27" spans="1:8" x14ac:dyDescent="0.2">
      <c r="A27" s="10">
        <f t="shared" si="0"/>
        <v>17</v>
      </c>
      <c r="B27" s="9"/>
      <c r="C27" s="10"/>
      <c r="D27" s="3"/>
      <c r="E27" s="3"/>
      <c r="F27" s="3"/>
      <c r="G27" s="3"/>
      <c r="H27" s="3"/>
    </row>
    <row r="28" spans="1:8" x14ac:dyDescent="0.2">
      <c r="A28" s="10">
        <f t="shared" si="0"/>
        <v>18</v>
      </c>
      <c r="B28" s="9" t="s">
        <v>20</v>
      </c>
      <c r="C28" s="10" t="s">
        <v>21</v>
      </c>
      <c r="D28" s="12">
        <f>IF(D24=D26,D14,(D14-((D24-D26)*D22)))</f>
        <v>-5850456.5795801282</v>
      </c>
      <c r="E28" s="12">
        <f t="shared" ref="E28:G28" si="5">IF(E24=E26,E14,(E14-((E24-E26)*E22)))</f>
        <v>4672106.1404924067</v>
      </c>
      <c r="F28" s="12">
        <f t="shared" si="5"/>
        <v>5200542.7389986841</v>
      </c>
      <c r="G28" s="12">
        <f t="shared" si="5"/>
        <v>1101343.6627480877</v>
      </c>
      <c r="H28" s="12">
        <f t="shared" ref="H28" si="6">IF(H24=H26,H14,(H14-((H24-H26)*H22)))</f>
        <v>1061078.2168858007</v>
      </c>
    </row>
    <row r="29" spans="1:8" x14ac:dyDescent="0.2">
      <c r="A29" s="10">
        <f t="shared" si="0"/>
        <v>19</v>
      </c>
      <c r="B29" s="3"/>
      <c r="C29" s="3"/>
      <c r="D29" s="12"/>
      <c r="E29" s="18"/>
      <c r="F29" s="18"/>
      <c r="G29" s="18"/>
      <c r="H29" s="18"/>
    </row>
    <row r="30" spans="1:8" x14ac:dyDescent="0.2">
      <c r="A30" s="10">
        <f t="shared" si="0"/>
        <v>20</v>
      </c>
      <c r="B30" s="9" t="s">
        <v>22</v>
      </c>
      <c r="C30" s="10" t="str">
        <f>"("&amp;A12&amp;")+("&amp;A16&amp;")+("&amp;A18&amp;")+("&amp;A28&amp;")"</f>
        <v>(2)+(6)+(8)+(18)</v>
      </c>
      <c r="D30" s="12">
        <f>D28+D12+D16+D18</f>
        <v>-11858088.400900505</v>
      </c>
      <c r="E30" s="18">
        <f>E28+E12+E16+E18</f>
        <v>3955386.0137857278</v>
      </c>
      <c r="F30" s="18">
        <f>F28+F12+F16+F18</f>
        <v>4432289.0874996744</v>
      </c>
      <c r="G30" s="18">
        <f>G28+G12+G16+G18</f>
        <v>983209.34478392638</v>
      </c>
      <c r="H30" s="18">
        <f>H28+H12+H16+H18</f>
        <v>861587.05988847767</v>
      </c>
    </row>
    <row r="31" spans="1:8" x14ac:dyDescent="0.2">
      <c r="A31" s="10">
        <f t="shared" si="0"/>
        <v>21</v>
      </c>
      <c r="B31" s="3"/>
      <c r="C31" s="3"/>
      <c r="D31" s="9"/>
      <c r="E31" s="9"/>
      <c r="F31" s="9"/>
      <c r="G31" s="9"/>
      <c r="H31" s="9"/>
    </row>
    <row r="32" spans="1:8" x14ac:dyDescent="0.2">
      <c r="A32" s="10">
        <f t="shared" si="0"/>
        <v>22</v>
      </c>
      <c r="B32" s="9" t="s">
        <v>23</v>
      </c>
      <c r="C32" s="10" t="str">
        <f>"("&amp;A$30&amp;") - ("&amp;A20&amp;")"</f>
        <v>(20) - (10)</v>
      </c>
      <c r="D32" s="18">
        <f>D30-D20</f>
        <v>0</v>
      </c>
      <c r="E32" s="18">
        <f t="shared" ref="E32:G32" si="7">E30-E20</f>
        <v>0</v>
      </c>
      <c r="F32" s="18">
        <f t="shared" si="7"/>
        <v>0</v>
      </c>
      <c r="G32" s="18">
        <f t="shared" si="7"/>
        <v>0</v>
      </c>
      <c r="H32" s="18">
        <f t="shared" ref="H32" si="8">H30-H20</f>
        <v>0</v>
      </c>
    </row>
    <row r="33" spans="1:6" x14ac:dyDescent="0.2">
      <c r="A33" s="3"/>
      <c r="B33" s="9"/>
      <c r="C33" s="3"/>
      <c r="D33" s="3"/>
      <c r="E33" s="3"/>
      <c r="F33" s="3"/>
    </row>
    <row r="34" spans="1:6" x14ac:dyDescent="0.2">
      <c r="B34" s="9"/>
    </row>
  </sheetData>
  <mergeCells count="4">
    <mergeCell ref="A1:H1"/>
    <mergeCell ref="A2:H2"/>
    <mergeCell ref="A3:H3"/>
    <mergeCell ref="A4:H4"/>
  </mergeCells>
  <printOptions horizontalCentered="1"/>
  <pageMargins left="0.7" right="0.7" top="0.75" bottom="0.75" header="0.3" footer="0.3"/>
  <pageSetup scale="75" orientation="landscape" blackAndWhite="1" r:id="rId1"/>
  <headerFooter>
    <oddHeader>&amp;RAdvice No. 2018-xx
Exhibit No. 1</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3"/>
  <sheetViews>
    <sheetView zoomScaleNormal="100" workbookViewId="0">
      <selection activeCell="C48" sqref="C48"/>
    </sheetView>
  </sheetViews>
  <sheetFormatPr defaultRowHeight="12.75" customHeight="1" x14ac:dyDescent="0.2"/>
  <cols>
    <col min="1" max="1" width="6" style="54" customWidth="1"/>
    <col min="2" max="2" width="57.42578125" style="54" bestFit="1" customWidth="1"/>
    <col min="3" max="3" width="17.28515625" style="54" customWidth="1"/>
    <col min="4" max="5" width="15.7109375" style="54" customWidth="1"/>
    <col min="6" max="6" width="20.5703125" style="54" bestFit="1" customWidth="1"/>
    <col min="7" max="10" width="15.7109375" style="54" customWidth="1"/>
    <col min="11" max="16384" width="9.140625" style="54"/>
  </cols>
  <sheetData>
    <row r="1" spans="1:14" ht="12.75" customHeight="1" x14ac:dyDescent="0.2">
      <c r="A1" s="504" t="s">
        <v>0</v>
      </c>
      <c r="B1" s="504"/>
      <c r="C1" s="504"/>
      <c r="D1" s="504"/>
      <c r="E1" s="504"/>
      <c r="F1" s="504"/>
      <c r="G1" s="504"/>
      <c r="H1" s="504"/>
      <c r="I1" s="504"/>
      <c r="J1" s="504"/>
      <c r="K1" s="1"/>
      <c r="L1" s="1"/>
      <c r="M1" s="1"/>
      <c r="N1" s="1"/>
    </row>
    <row r="2" spans="1:14" ht="12.75" customHeight="1" x14ac:dyDescent="0.2">
      <c r="A2" s="506" t="str">
        <f>'Delivery Rate Change Calc'!A2:H2</f>
        <v>2018 Electric Decoupling Filing</v>
      </c>
      <c r="B2" s="506"/>
      <c r="C2" s="506"/>
      <c r="D2" s="506"/>
      <c r="E2" s="506"/>
      <c r="F2" s="506"/>
      <c r="G2" s="506"/>
      <c r="H2" s="506"/>
      <c r="I2" s="506"/>
      <c r="J2" s="506"/>
      <c r="K2" s="1"/>
      <c r="L2" s="1"/>
      <c r="M2" s="1"/>
      <c r="N2" s="1"/>
    </row>
    <row r="3" spans="1:14" ht="12.75" customHeight="1" x14ac:dyDescent="0.2">
      <c r="A3" s="506" t="s">
        <v>331</v>
      </c>
      <c r="B3" s="506"/>
      <c r="C3" s="506"/>
      <c r="D3" s="506"/>
      <c r="E3" s="506"/>
      <c r="F3" s="506"/>
      <c r="G3" s="506"/>
      <c r="H3" s="506"/>
      <c r="I3" s="506"/>
      <c r="J3" s="506"/>
      <c r="K3" s="1"/>
      <c r="L3" s="1"/>
      <c r="M3" s="1"/>
      <c r="N3" s="1"/>
    </row>
    <row r="4" spans="1:14" ht="12.75" customHeight="1" x14ac:dyDescent="0.2">
      <c r="A4" s="507" t="str">
        <f>'Delivery Rate Change Calc'!A4:H4</f>
        <v>Proposed Effective May 1, 2018</v>
      </c>
      <c r="B4" s="507"/>
      <c r="C4" s="507"/>
      <c r="D4" s="507"/>
      <c r="E4" s="507"/>
      <c r="F4" s="507"/>
      <c r="G4" s="507"/>
      <c r="H4" s="507"/>
      <c r="I4" s="507"/>
      <c r="J4" s="507"/>
      <c r="K4" s="1"/>
      <c r="L4" s="1"/>
      <c r="M4" s="1"/>
      <c r="N4" s="1"/>
    </row>
    <row r="5" spans="1:14" ht="12.75" customHeight="1" x14ac:dyDescent="0.2">
      <c r="A5" s="9"/>
      <c r="B5" s="9"/>
      <c r="C5" s="9"/>
      <c r="D5" s="9"/>
      <c r="E5" s="9"/>
      <c r="F5" s="9"/>
      <c r="G5" s="9"/>
      <c r="H5" s="9"/>
    </row>
    <row r="6" spans="1:14" ht="12.75" customHeight="1" x14ac:dyDescent="0.2">
      <c r="A6" s="55" t="s">
        <v>332</v>
      </c>
      <c r="B6" s="9"/>
      <c r="C6" s="9"/>
      <c r="D6" s="6" t="s">
        <v>3</v>
      </c>
      <c r="E6" s="6" t="s">
        <v>4</v>
      </c>
      <c r="F6" s="6" t="s">
        <v>4</v>
      </c>
      <c r="G6" s="6" t="s">
        <v>3</v>
      </c>
      <c r="H6" s="6" t="s">
        <v>4</v>
      </c>
      <c r="I6" s="6" t="s">
        <v>4</v>
      </c>
      <c r="J6" s="6" t="s">
        <v>4</v>
      </c>
    </row>
    <row r="7" spans="1:14" ht="12.75" customHeight="1" x14ac:dyDescent="0.2">
      <c r="A7" s="214" t="s">
        <v>5</v>
      </c>
      <c r="B7" s="8"/>
      <c r="C7" s="57" t="s">
        <v>6</v>
      </c>
      <c r="D7" s="7">
        <v>7</v>
      </c>
      <c r="E7" s="7" t="s">
        <v>7</v>
      </c>
      <c r="F7" s="7" t="s">
        <v>8</v>
      </c>
      <c r="G7" s="7">
        <v>40</v>
      </c>
      <c r="H7" s="7" t="s">
        <v>24</v>
      </c>
      <c r="I7" s="7" t="s">
        <v>25</v>
      </c>
      <c r="J7" s="7" t="s">
        <v>268</v>
      </c>
    </row>
    <row r="8" spans="1:14" ht="12.75" customHeight="1" x14ac:dyDescent="0.2">
      <c r="A8" s="9"/>
      <c r="B8" s="10" t="s">
        <v>9</v>
      </c>
      <c r="C8" s="10" t="s">
        <v>10</v>
      </c>
      <c r="D8" s="10" t="s">
        <v>11</v>
      </c>
      <c r="E8" s="10" t="s">
        <v>12</v>
      </c>
      <c r="F8" s="10" t="s">
        <v>13</v>
      </c>
      <c r="G8" s="10" t="s">
        <v>14</v>
      </c>
      <c r="H8" s="10" t="s">
        <v>67</v>
      </c>
      <c r="I8" s="100" t="s">
        <v>68</v>
      </c>
      <c r="J8" s="100" t="s">
        <v>69</v>
      </c>
    </row>
    <row r="9" spans="1:14" ht="12.75" customHeight="1" x14ac:dyDescent="0.2">
      <c r="A9" s="10">
        <v>1</v>
      </c>
      <c r="B9" s="11"/>
      <c r="C9" s="10"/>
      <c r="D9" s="10"/>
      <c r="E9" s="10"/>
      <c r="F9" s="9"/>
      <c r="G9" s="9"/>
      <c r="H9" s="10"/>
      <c r="I9" s="100"/>
      <c r="J9" s="100"/>
    </row>
    <row r="10" spans="1:14" ht="12.75" customHeight="1" x14ac:dyDescent="0.2">
      <c r="A10" s="10">
        <f t="shared" ref="A10:A26" si="0">A9+1</f>
        <v>2</v>
      </c>
      <c r="B10" s="9" t="s">
        <v>271</v>
      </c>
      <c r="C10" s="100" t="s">
        <v>647</v>
      </c>
      <c r="D10" s="24">
        <f>'Electric Account Balance'!H13</f>
        <v>-425278.96953159466</v>
      </c>
      <c r="E10" s="24">
        <f>'Electric Account Balance'!H21</f>
        <v>231460.5231737342</v>
      </c>
      <c r="F10" s="24">
        <f>'Electric Account Balance'!H29</f>
        <v>247109.68987230002</v>
      </c>
      <c r="G10" s="24">
        <f>'Electric Account Balance'!H37</f>
        <v>76779.021207731392</v>
      </c>
      <c r="H10" s="24">
        <f>'Electric Account Balance'!H44</f>
        <v>-11303.842459159954</v>
      </c>
      <c r="I10" s="24">
        <f>'Electric Account Balance'!H51</f>
        <v>-93944.330943760026</v>
      </c>
      <c r="J10" s="24">
        <f>'Electric Account Balance'!H59</f>
        <v>10645.251289391454</v>
      </c>
    </row>
    <row r="11" spans="1:14" ht="12.75" customHeight="1" x14ac:dyDescent="0.2">
      <c r="A11" s="10">
        <f t="shared" si="0"/>
        <v>3</v>
      </c>
      <c r="D11" s="24"/>
      <c r="E11" s="24"/>
      <c r="F11" s="24"/>
      <c r="G11" s="24"/>
      <c r="H11" s="24"/>
      <c r="I11" s="24"/>
      <c r="J11" s="24"/>
    </row>
    <row r="12" spans="1:14" ht="12.75" customHeight="1" x14ac:dyDescent="0.2">
      <c r="A12" s="10">
        <f t="shared" si="0"/>
        <v>4</v>
      </c>
      <c r="B12" s="9" t="s">
        <v>333</v>
      </c>
      <c r="C12" s="100" t="s">
        <v>647</v>
      </c>
      <c r="D12" s="24">
        <f>'Electric Account Balance'!D66</f>
        <v>-5571892.9399999995</v>
      </c>
      <c r="E12" s="24">
        <f>'Electric Account Balance'!D74+'Electric Account Balance'!E71</f>
        <v>4449648.4787190007</v>
      </c>
      <c r="F12" s="24">
        <f>'Electric Account Balance'!D82+'Electric Account Balance'!E79</f>
        <v>4952924.0970240002</v>
      </c>
      <c r="G12" s="24">
        <f>'Electric Account Balance'!D90+'Electric Account Balance'!E87</f>
        <v>1048904.2855900002</v>
      </c>
      <c r="H12" s="24">
        <f>'Electric Account Balance'!D97</f>
        <v>313287.1599999998</v>
      </c>
      <c r="I12" s="24">
        <f>'Electric Account Balance'!D104</f>
        <v>246821.79999999993</v>
      </c>
      <c r="J12" s="24">
        <f>'Electric Account Balance'!E109</f>
        <v>1010556.0386670001</v>
      </c>
    </row>
    <row r="13" spans="1:14" ht="12.75" customHeight="1" x14ac:dyDescent="0.2">
      <c r="A13" s="10">
        <f t="shared" si="0"/>
        <v>5</v>
      </c>
      <c r="B13" s="9"/>
      <c r="C13" s="10"/>
      <c r="D13" s="24"/>
      <c r="E13" s="24"/>
      <c r="F13" s="18"/>
      <c r="G13" s="18"/>
      <c r="H13" s="18"/>
      <c r="I13" s="18"/>
      <c r="J13" s="18"/>
    </row>
    <row r="14" spans="1:14" ht="12.75" customHeight="1" x14ac:dyDescent="0.2">
      <c r="A14" s="10">
        <f t="shared" si="0"/>
        <v>6</v>
      </c>
      <c r="B14" s="9" t="s">
        <v>273</v>
      </c>
      <c r="C14" s="100" t="s">
        <v>647</v>
      </c>
      <c r="D14" s="24">
        <f>'Electric Account Balance'!D119</f>
        <v>451853.74100534996</v>
      </c>
      <c r="E14" s="24">
        <f>'Electric Account Balance'!D127+'Electric Account Balance'!E124</f>
        <v>206014.41851447395</v>
      </c>
      <c r="F14" s="24">
        <f>'Electric Account Balance'!D135+'Electric Account Balance'!E132</f>
        <v>221030.56281921282</v>
      </c>
      <c r="G14" s="24">
        <f>'Electric Account Balance'!D143+'Electric Account Balance'!E140</f>
        <v>42951.678044791057</v>
      </c>
      <c r="H14" s="24">
        <f>'Electric Account Balance'!D150</f>
        <v>-31636.339219031099</v>
      </c>
      <c r="I14" s="24">
        <f>'Electric Account Balance'!D157</f>
        <v>-13439.469745565188</v>
      </c>
      <c r="J14" s="24">
        <f>'Electric Account Balance'!D165+'Electric Account Balance'!E162</f>
        <v>45312.897704966286</v>
      </c>
    </row>
    <row r="15" spans="1:14" ht="12.75" customHeight="1" x14ac:dyDescent="0.2">
      <c r="A15" s="10">
        <f t="shared" si="0"/>
        <v>7</v>
      </c>
      <c r="B15" s="9"/>
      <c r="C15" s="10"/>
      <c r="D15" s="25"/>
      <c r="E15" s="25"/>
      <c r="F15" s="9"/>
      <c r="G15" s="9"/>
      <c r="H15" s="9"/>
      <c r="I15" s="9"/>
      <c r="J15" s="9"/>
    </row>
    <row r="16" spans="1:14" ht="12.75" customHeight="1" x14ac:dyDescent="0.2">
      <c r="A16" s="10">
        <f t="shared" si="0"/>
        <v>8</v>
      </c>
      <c r="B16" s="9" t="s">
        <v>323</v>
      </c>
      <c r="C16" s="10" t="s">
        <v>324</v>
      </c>
      <c r="D16" s="18">
        <f>D10+D12+D14</f>
        <v>-5545318.1685262443</v>
      </c>
      <c r="E16" s="18">
        <f t="shared" ref="E16:G16" si="1">E10+E12+E14</f>
        <v>4887123.4204072095</v>
      </c>
      <c r="F16" s="18">
        <f t="shared" si="1"/>
        <v>5421064.3497155132</v>
      </c>
      <c r="G16" s="18">
        <f t="shared" si="1"/>
        <v>1168634.9848425228</v>
      </c>
      <c r="H16" s="18">
        <f t="shared" ref="H16:J16" si="2">H10+H12+H14</f>
        <v>270346.97832180874</v>
      </c>
      <c r="I16" s="18">
        <f t="shared" si="2"/>
        <v>139437.99931067473</v>
      </c>
      <c r="J16" s="18">
        <f t="shared" si="2"/>
        <v>1066514.1876613579</v>
      </c>
    </row>
    <row r="17" spans="1:10" ht="12.75" customHeight="1" x14ac:dyDescent="0.2">
      <c r="A17" s="10">
        <f t="shared" si="0"/>
        <v>9</v>
      </c>
      <c r="B17" s="9"/>
      <c r="C17" s="10"/>
      <c r="D17" s="18"/>
      <c r="E17" s="18"/>
      <c r="F17" s="18"/>
      <c r="G17" s="18"/>
      <c r="H17" s="18"/>
      <c r="I17" s="18"/>
      <c r="J17" s="18"/>
    </row>
    <row r="18" spans="1:10" ht="12.75" customHeight="1" x14ac:dyDescent="0.2">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
      <c r="A19" s="10">
        <f t="shared" si="0"/>
        <v>11</v>
      </c>
      <c r="B19" s="9"/>
      <c r="C19" s="71"/>
      <c r="D19" s="18"/>
      <c r="E19" s="18"/>
      <c r="F19" s="9"/>
      <c r="G19" s="9"/>
      <c r="H19" s="9"/>
      <c r="I19" s="9"/>
      <c r="J19" s="9"/>
    </row>
    <row r="20" spans="1:10" ht="12.75" customHeight="1" x14ac:dyDescent="0.2">
      <c r="A20" s="10">
        <f t="shared" si="0"/>
        <v>12</v>
      </c>
      <c r="B20" s="9" t="s">
        <v>630</v>
      </c>
      <c r="C20" s="10" t="s">
        <v>325</v>
      </c>
      <c r="D20" s="18">
        <f>D10/D$18</f>
        <v>-446540.5513432523</v>
      </c>
      <c r="E20" s="18">
        <f>E10/E$18</f>
        <v>243032.26126143624</v>
      </c>
      <c r="F20" s="18">
        <f>F10/F$18</f>
        <v>259463.79920777923</v>
      </c>
      <c r="G20" s="18">
        <f>G10/G$18</f>
        <v>80617.544995129487</v>
      </c>
      <c r="H20" s="18">
        <f t="shared" ref="H20:J20" si="3">H10/H$18</f>
        <v>-11868.971676568066</v>
      </c>
      <c r="I20" s="18">
        <f t="shared" si="3"/>
        <v>-98641.02469351716</v>
      </c>
      <c r="J20" s="18">
        <f t="shared" si="3"/>
        <v>11177.454613351576</v>
      </c>
    </row>
    <row r="21" spans="1:10" ht="12.75" customHeight="1" x14ac:dyDescent="0.2">
      <c r="A21" s="10">
        <f t="shared" si="0"/>
        <v>13</v>
      </c>
      <c r="D21" s="18"/>
      <c r="E21" s="18"/>
      <c r="F21" s="18"/>
      <c r="G21" s="18"/>
      <c r="H21" s="18"/>
      <c r="I21" s="18"/>
      <c r="J21" s="18"/>
    </row>
    <row r="22" spans="1:10" ht="12.75" customHeight="1" x14ac:dyDescent="0.2">
      <c r="A22" s="10">
        <f t="shared" si="0"/>
        <v>14</v>
      </c>
      <c r="B22" s="9" t="s">
        <v>334</v>
      </c>
      <c r="C22" s="10" t="s">
        <v>326</v>
      </c>
      <c r="D22" s="18">
        <f>D12/D$18</f>
        <v>-5850456.5795801282</v>
      </c>
      <c r="E22" s="18">
        <f>E12/E$18</f>
        <v>4672106.1404924067</v>
      </c>
      <c r="F22" s="18">
        <f>F12/F$18</f>
        <v>5200542.7389986841</v>
      </c>
      <c r="G22" s="18">
        <f>G12/G$18</f>
        <v>1101343.6627480877</v>
      </c>
      <c r="H22" s="18">
        <f t="shared" ref="H22:J22" si="4">H12/H$18</f>
        <v>328949.77456619462</v>
      </c>
      <c r="I22" s="18">
        <f t="shared" si="4"/>
        <v>259161.51644396278</v>
      </c>
      <c r="J22" s="18">
        <f t="shared" si="4"/>
        <v>1061078.2168858007</v>
      </c>
    </row>
    <row r="23" spans="1:10" ht="12.75" customHeight="1" x14ac:dyDescent="0.2">
      <c r="A23" s="10">
        <f t="shared" si="0"/>
        <v>15</v>
      </c>
      <c r="B23" s="9"/>
      <c r="C23" s="71"/>
      <c r="D23" s="18"/>
      <c r="E23" s="18"/>
      <c r="F23" s="18"/>
      <c r="G23" s="18"/>
      <c r="H23" s="18"/>
      <c r="I23" s="18"/>
      <c r="J23" s="18"/>
    </row>
    <row r="24" spans="1:10" ht="12.75" customHeight="1" x14ac:dyDescent="0.2">
      <c r="A24" s="10">
        <f t="shared" si="0"/>
        <v>16</v>
      </c>
      <c r="B24" s="9" t="s">
        <v>327</v>
      </c>
      <c r="C24" s="10" t="s">
        <v>328</v>
      </c>
      <c r="D24" s="18">
        <f>D14/D$18</f>
        <v>474443.91350287589</v>
      </c>
      <c r="E24" s="18">
        <f>E14/E$18</f>
        <v>216313.99297603488</v>
      </c>
      <c r="F24" s="18">
        <f>F14/F$18</f>
        <v>232080.86093161054</v>
      </c>
      <c r="G24" s="18">
        <f>G14/G$18</f>
        <v>45099.022922209122</v>
      </c>
      <c r="H24" s="18">
        <f t="shared" ref="H24:J24" si="5">H14/H$18</f>
        <v>-33217.980124687994</v>
      </c>
      <c r="I24" s="18">
        <f t="shared" si="5"/>
        <v>-14111.368442590701</v>
      </c>
      <c r="J24" s="18">
        <f t="shared" si="5"/>
        <v>47578.290425275351</v>
      </c>
    </row>
    <row r="25" spans="1:10" ht="12.75" customHeight="1" x14ac:dyDescent="0.2">
      <c r="A25" s="10">
        <f t="shared" si="0"/>
        <v>17</v>
      </c>
      <c r="B25" s="9"/>
      <c r="C25" s="71"/>
      <c r="D25" s="18"/>
      <c r="E25" s="18"/>
      <c r="F25" s="18"/>
      <c r="G25" s="18"/>
      <c r="H25" s="18"/>
      <c r="I25" s="18"/>
      <c r="J25" s="18"/>
    </row>
    <row r="26" spans="1:10" ht="12.75" customHeight="1" x14ac:dyDescent="0.2">
      <c r="A26" s="10">
        <f t="shared" si="0"/>
        <v>18</v>
      </c>
      <c r="B26" s="9" t="s">
        <v>329</v>
      </c>
      <c r="C26" s="10" t="s">
        <v>330</v>
      </c>
      <c r="D26" s="18">
        <f>D20+D22+D24</f>
        <v>-5822553.2174205044</v>
      </c>
      <c r="E26" s="18">
        <f t="shared" ref="E26:F26" si="6">E20+E22+E24</f>
        <v>5131452.3947298778</v>
      </c>
      <c r="F26" s="18">
        <f t="shared" si="6"/>
        <v>5692087.3991380744</v>
      </c>
      <c r="G26" s="18">
        <f>G20+G22+G24</f>
        <v>1227060.2306654265</v>
      </c>
      <c r="H26" s="18">
        <f t="shared" ref="H26:J26" si="7">H20+H22+H24</f>
        <v>283862.82276493852</v>
      </c>
      <c r="I26" s="18">
        <f t="shared" si="7"/>
        <v>146409.12330785493</v>
      </c>
      <c r="J26" s="18">
        <f t="shared" si="7"/>
        <v>1119833.9619244277</v>
      </c>
    </row>
    <row r="27" spans="1:10" ht="12.75" customHeight="1" x14ac:dyDescent="0.2">
      <c r="A27" s="10"/>
      <c r="B27" s="9"/>
      <c r="C27" s="71"/>
      <c r="D27" s="18"/>
      <c r="E27" s="18"/>
      <c r="F27" s="9"/>
      <c r="G27" s="9"/>
      <c r="H27" s="9"/>
    </row>
    <row r="28" spans="1:10" ht="12.75" customHeight="1" x14ac:dyDescent="0.2">
      <c r="A28" s="10"/>
      <c r="B28" s="213"/>
      <c r="C28" s="9"/>
      <c r="D28" s="18"/>
      <c r="E28" s="18"/>
      <c r="F28" s="9"/>
      <c r="G28" s="9"/>
      <c r="H28" s="9"/>
    </row>
    <row r="29" spans="1:10" ht="12.75" customHeight="1" x14ac:dyDescent="0.2">
      <c r="A29" s="10"/>
      <c r="B29" s="9"/>
      <c r="C29" s="9"/>
      <c r="D29" s="18"/>
      <c r="E29" s="18"/>
      <c r="F29" s="9"/>
      <c r="G29" s="9"/>
      <c r="H29" s="9"/>
    </row>
    <row r="30" spans="1:10" ht="12.75" customHeight="1" x14ac:dyDescent="0.2">
      <c r="A30" s="9"/>
      <c r="B30" s="9"/>
      <c r="C30" s="9"/>
      <c r="D30" s="9"/>
      <c r="E30" s="9"/>
      <c r="F30" s="9"/>
      <c r="G30" s="9"/>
      <c r="H30" s="9"/>
    </row>
    <row r="31" spans="1:10" ht="12.75" customHeight="1" x14ac:dyDescent="0.2">
      <c r="A31" s="9"/>
      <c r="B31" s="9"/>
      <c r="C31" s="9"/>
      <c r="D31" s="9"/>
      <c r="E31" s="9"/>
      <c r="F31" s="9"/>
      <c r="G31" s="9"/>
      <c r="H31" s="9"/>
    </row>
    <row r="32" spans="1:10" ht="12.75" customHeight="1" x14ac:dyDescent="0.2">
      <c r="A32" s="9"/>
      <c r="B32" s="9"/>
      <c r="C32" s="9"/>
      <c r="D32" s="36"/>
      <c r="E32" s="9"/>
      <c r="F32" s="9"/>
      <c r="G32" s="9"/>
      <c r="H32" s="9"/>
    </row>
    <row r="33" spans="1:8" ht="12.75" customHeight="1" x14ac:dyDescent="0.2">
      <c r="A33" s="9"/>
      <c r="B33" s="9"/>
      <c r="C33" s="9"/>
      <c r="D33" s="9"/>
      <c r="E33" s="9"/>
      <c r="F33" s="9"/>
      <c r="G33" s="9"/>
      <c r="H33" s="9"/>
    </row>
    <row r="34" spans="1:8" ht="12.75" customHeight="1" x14ac:dyDescent="0.2">
      <c r="A34" s="9"/>
      <c r="B34" s="9"/>
      <c r="C34" s="9"/>
      <c r="D34" s="9"/>
      <c r="E34" s="9"/>
      <c r="F34" s="9"/>
      <c r="G34" s="9"/>
      <c r="H34" s="9"/>
    </row>
    <row r="35" spans="1:8" ht="12.75" customHeight="1" x14ac:dyDescent="0.2">
      <c r="A35" s="9"/>
      <c r="B35" s="9"/>
      <c r="C35" s="9"/>
      <c r="D35" s="9"/>
      <c r="E35" s="9"/>
      <c r="F35" s="9"/>
      <c r="G35" s="9"/>
      <c r="H35" s="9"/>
    </row>
    <row r="36" spans="1:8" ht="12.75" customHeight="1" x14ac:dyDescent="0.2">
      <c r="A36" s="9"/>
      <c r="B36" s="9"/>
      <c r="C36" s="9"/>
      <c r="D36" s="9"/>
      <c r="E36" s="9"/>
      <c r="F36" s="9"/>
      <c r="G36" s="9"/>
      <c r="H36" s="9"/>
    </row>
    <row r="37" spans="1:8" ht="12.75" customHeight="1" x14ac:dyDescent="0.2">
      <c r="A37" s="9"/>
      <c r="B37" s="9"/>
      <c r="C37" s="9"/>
      <c r="D37" s="9"/>
      <c r="E37" s="9"/>
      <c r="F37" s="9"/>
      <c r="G37" s="9"/>
      <c r="H37" s="9"/>
    </row>
    <row r="38" spans="1:8" ht="12.75" customHeight="1" x14ac:dyDescent="0.2">
      <c r="A38" s="9"/>
      <c r="B38" s="9"/>
      <c r="C38" s="9"/>
      <c r="D38" s="9"/>
      <c r="E38" s="9"/>
      <c r="F38" s="9"/>
      <c r="G38" s="9"/>
      <c r="H38" s="9"/>
    </row>
    <row r="39" spans="1:8" ht="12.75" customHeight="1" x14ac:dyDescent="0.2">
      <c r="A39" s="9"/>
      <c r="B39" s="9"/>
      <c r="C39" s="9"/>
      <c r="D39" s="9"/>
      <c r="E39" s="9"/>
      <c r="F39" s="9"/>
      <c r="G39" s="9"/>
      <c r="H39" s="9"/>
    </row>
    <row r="40" spans="1:8" ht="12.75" customHeight="1" x14ac:dyDescent="0.2">
      <c r="A40" s="9"/>
      <c r="B40" s="9"/>
      <c r="C40" s="9"/>
      <c r="D40" s="9"/>
      <c r="E40" s="9"/>
      <c r="F40" s="9"/>
      <c r="G40" s="9"/>
      <c r="H40" s="9"/>
    </row>
    <row r="41" spans="1:8" ht="12.75" customHeight="1" x14ac:dyDescent="0.2">
      <c r="A41" s="9"/>
      <c r="B41" s="9"/>
      <c r="C41" s="9"/>
      <c r="D41" s="9"/>
      <c r="E41" s="9"/>
      <c r="F41" s="9"/>
      <c r="G41" s="9"/>
      <c r="H41" s="9"/>
    </row>
    <row r="42" spans="1:8" ht="12.75" customHeight="1" x14ac:dyDescent="0.2">
      <c r="A42" s="9"/>
      <c r="B42" s="9"/>
      <c r="C42" s="9"/>
      <c r="D42" s="9"/>
      <c r="E42" s="9"/>
      <c r="F42" s="9"/>
      <c r="G42" s="9"/>
      <c r="H42" s="9"/>
    </row>
    <row r="43" spans="1:8" ht="12.75" customHeight="1" x14ac:dyDescent="0.2">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10</oddHeader>
    <oddFooter>&amp;L&amp;F
&amp;A&amp;R&amp;D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3"/>
  <sheetViews>
    <sheetView zoomScaleNormal="100" workbookViewId="0">
      <selection activeCell="C48" sqref="C48"/>
    </sheetView>
  </sheetViews>
  <sheetFormatPr defaultRowHeight="12.75" customHeight="1" x14ac:dyDescent="0.2"/>
  <cols>
    <col min="1" max="1" width="6" style="54" customWidth="1"/>
    <col min="2" max="2" width="57.85546875" style="54" bestFit="1" customWidth="1"/>
    <col min="3" max="3" width="17.28515625" style="54" customWidth="1"/>
    <col min="4" max="5" width="15.7109375" style="54" customWidth="1"/>
    <col min="6" max="6" width="20.5703125" style="54" bestFit="1" customWidth="1"/>
    <col min="7" max="10" width="15.7109375" style="54" customWidth="1"/>
    <col min="11" max="16384" width="9.140625" style="54"/>
  </cols>
  <sheetData>
    <row r="1" spans="1:14" ht="12.75" customHeight="1" x14ac:dyDescent="0.2">
      <c r="A1" s="504" t="s">
        <v>0</v>
      </c>
      <c r="B1" s="504"/>
      <c r="C1" s="504"/>
      <c r="D1" s="504"/>
      <c r="E1" s="504"/>
      <c r="F1" s="504"/>
      <c r="G1" s="504"/>
      <c r="H1" s="504"/>
      <c r="I1" s="504"/>
      <c r="J1" s="504"/>
      <c r="K1" s="1"/>
      <c r="L1" s="1"/>
      <c r="M1" s="1"/>
      <c r="N1" s="1"/>
    </row>
    <row r="2" spans="1:14" ht="12.75" customHeight="1" x14ac:dyDescent="0.2">
      <c r="A2" s="506" t="str">
        <f>'Delivery Rate Change Calc'!A2:H2</f>
        <v>2018 Electric Decoupling Filing</v>
      </c>
      <c r="B2" s="506"/>
      <c r="C2" s="506"/>
      <c r="D2" s="506"/>
      <c r="E2" s="506"/>
      <c r="F2" s="506"/>
      <c r="G2" s="506"/>
      <c r="H2" s="506"/>
      <c r="I2" s="506"/>
      <c r="J2" s="506"/>
      <c r="K2" s="1"/>
      <c r="L2" s="1"/>
      <c r="M2" s="1"/>
      <c r="N2" s="1"/>
    </row>
    <row r="3" spans="1:14" ht="12.75" customHeight="1" x14ac:dyDescent="0.2">
      <c r="A3" s="506" t="s">
        <v>465</v>
      </c>
      <c r="B3" s="506"/>
      <c r="C3" s="506"/>
      <c r="D3" s="506"/>
      <c r="E3" s="506"/>
      <c r="F3" s="506"/>
      <c r="G3" s="506"/>
      <c r="H3" s="506"/>
      <c r="I3" s="506"/>
      <c r="J3" s="506"/>
      <c r="K3" s="1"/>
      <c r="L3" s="1"/>
      <c r="M3" s="1"/>
      <c r="N3" s="1"/>
    </row>
    <row r="4" spans="1:14" ht="12.75" customHeight="1" x14ac:dyDescent="0.2">
      <c r="A4" s="507" t="str">
        <f>'Delivery Rate Change Calc'!A4:H4</f>
        <v>Proposed Effective May 1, 2018</v>
      </c>
      <c r="B4" s="507"/>
      <c r="C4" s="507"/>
      <c r="D4" s="507"/>
      <c r="E4" s="507"/>
      <c r="F4" s="507"/>
      <c r="G4" s="507"/>
      <c r="H4" s="507"/>
      <c r="I4" s="507"/>
      <c r="J4" s="507"/>
      <c r="K4" s="1"/>
      <c r="L4" s="1"/>
      <c r="M4" s="1"/>
      <c r="N4" s="1"/>
    </row>
    <row r="5" spans="1:14" ht="12.75" customHeight="1" x14ac:dyDescent="0.2">
      <c r="A5" s="9"/>
      <c r="B5" s="9"/>
      <c r="C5" s="9"/>
      <c r="D5" s="9"/>
      <c r="E5" s="9"/>
      <c r="F5" s="9"/>
      <c r="G5" s="9"/>
      <c r="H5" s="9"/>
    </row>
    <row r="6" spans="1:14" ht="12.75" customHeight="1" x14ac:dyDescent="0.2">
      <c r="A6" s="55" t="s">
        <v>332</v>
      </c>
      <c r="B6" s="9"/>
      <c r="C6" s="9"/>
      <c r="D6" s="6" t="s">
        <v>3</v>
      </c>
      <c r="E6" s="6" t="s">
        <v>4</v>
      </c>
      <c r="F6" s="6" t="s">
        <v>4</v>
      </c>
      <c r="G6" s="6" t="s">
        <v>3</v>
      </c>
      <c r="H6" s="6" t="s">
        <v>4</v>
      </c>
      <c r="I6" s="6" t="s">
        <v>4</v>
      </c>
      <c r="J6" s="6" t="s">
        <v>4</v>
      </c>
    </row>
    <row r="7" spans="1:14" ht="12.75" customHeight="1" x14ac:dyDescent="0.2">
      <c r="A7" s="214" t="s">
        <v>5</v>
      </c>
      <c r="B7" s="8"/>
      <c r="C7" s="57" t="s">
        <v>6</v>
      </c>
      <c r="D7" s="7">
        <v>7</v>
      </c>
      <c r="E7" s="7" t="s">
        <v>7</v>
      </c>
      <c r="F7" s="7" t="s">
        <v>8</v>
      </c>
      <c r="G7" s="7">
        <v>40</v>
      </c>
      <c r="H7" s="7" t="s">
        <v>24</v>
      </c>
      <c r="I7" s="7" t="s">
        <v>25</v>
      </c>
      <c r="J7" s="7" t="s">
        <v>268</v>
      </c>
    </row>
    <row r="8" spans="1:14" ht="12.75" customHeight="1" x14ac:dyDescent="0.2">
      <c r="A8" s="9"/>
      <c r="B8" s="10" t="s">
        <v>9</v>
      </c>
      <c r="C8" s="10" t="s">
        <v>10</v>
      </c>
      <c r="D8" s="10" t="s">
        <v>11</v>
      </c>
      <c r="E8" s="10" t="s">
        <v>12</v>
      </c>
      <c r="F8" s="10" t="s">
        <v>13</v>
      </c>
      <c r="G8" s="10" t="s">
        <v>14</v>
      </c>
      <c r="H8" s="10" t="s">
        <v>67</v>
      </c>
      <c r="I8" s="100" t="s">
        <v>68</v>
      </c>
      <c r="J8" s="100" t="s">
        <v>69</v>
      </c>
    </row>
    <row r="9" spans="1:14" ht="12.75" customHeight="1" x14ac:dyDescent="0.2">
      <c r="A9" s="10">
        <v>1</v>
      </c>
      <c r="B9" s="11"/>
      <c r="C9" s="10"/>
      <c r="D9" s="10"/>
      <c r="E9" s="10"/>
      <c r="F9" s="9"/>
      <c r="G9" s="9"/>
      <c r="H9" s="10"/>
      <c r="I9" s="100"/>
      <c r="J9" s="100"/>
    </row>
    <row r="10" spans="1:14" ht="12.75" customHeight="1" x14ac:dyDescent="0.2">
      <c r="A10" s="10">
        <f t="shared" ref="A10:A26" si="0">A9+1</f>
        <v>2</v>
      </c>
      <c r="B10" s="9" t="s">
        <v>271</v>
      </c>
      <c r="C10" s="100" t="s">
        <v>647</v>
      </c>
      <c r="D10" s="63">
        <v>0</v>
      </c>
      <c r="E10" s="63">
        <v>0</v>
      </c>
      <c r="F10" s="63">
        <v>0</v>
      </c>
      <c r="G10" s="63">
        <v>0</v>
      </c>
      <c r="H10" s="63">
        <v>0</v>
      </c>
      <c r="I10" s="63">
        <v>0</v>
      </c>
      <c r="J10" s="63">
        <v>0</v>
      </c>
    </row>
    <row r="11" spans="1:14" ht="12.75" customHeight="1" x14ac:dyDescent="0.2">
      <c r="A11" s="10">
        <f t="shared" si="0"/>
        <v>3</v>
      </c>
      <c r="D11" s="24"/>
      <c r="E11" s="24"/>
      <c r="F11" s="24"/>
      <c r="G11" s="24"/>
      <c r="H11" s="24"/>
      <c r="I11" s="24"/>
      <c r="J11" s="24"/>
    </row>
    <row r="12" spans="1:14" ht="12.75" customHeight="1" x14ac:dyDescent="0.2">
      <c r="A12" s="10">
        <f t="shared" si="0"/>
        <v>4</v>
      </c>
      <c r="B12" s="9" t="s">
        <v>333</v>
      </c>
      <c r="C12" s="100" t="s">
        <v>647</v>
      </c>
      <c r="D12" s="24">
        <f>'Electric Account Balance'!D223+'Electric Account Balance'!E220</f>
        <v>-1228691.9774892901</v>
      </c>
      <c r="E12" s="24">
        <f>'Electric Account Balance'!D231+'Electric Account Balance'!E228</f>
        <v>-177288.51546020003</v>
      </c>
      <c r="F12" s="24">
        <f>'Electric Account Balance'!D239+'Electric Account Balance'!E236</f>
        <v>1050.2879208899903</v>
      </c>
      <c r="G12" s="24">
        <f>'Electric Account Balance'!D247+'Electric Account Balance'!E244</f>
        <v>136333.21665573999</v>
      </c>
      <c r="H12" s="24">
        <f>'Electric Account Balance'!D255+'Electric Account Balance'!E252</f>
        <v>156520.87987235002</v>
      </c>
      <c r="I12" s="24">
        <f>'Electric Account Balance'!D263+'Electric Account Balance'!E260</f>
        <v>-71095.116617959997</v>
      </c>
      <c r="J12" s="24">
        <f>'Electric Account Balance'!E268</f>
        <v>6913.9892416399998</v>
      </c>
    </row>
    <row r="13" spans="1:14" ht="12.75" customHeight="1" x14ac:dyDescent="0.2">
      <c r="A13" s="10">
        <f t="shared" si="0"/>
        <v>5</v>
      </c>
      <c r="B13" s="9"/>
      <c r="C13" s="10"/>
      <c r="D13" s="24"/>
      <c r="E13" s="24"/>
      <c r="F13" s="18"/>
      <c r="G13" s="18"/>
      <c r="H13" s="18"/>
      <c r="I13" s="18"/>
      <c r="J13" s="18"/>
    </row>
    <row r="14" spans="1:14" ht="12.75" customHeight="1" x14ac:dyDescent="0.2">
      <c r="A14" s="10">
        <f t="shared" si="0"/>
        <v>6</v>
      </c>
      <c r="B14" s="9" t="s">
        <v>273</v>
      </c>
      <c r="C14" s="100" t="s">
        <v>647</v>
      </c>
      <c r="D14" s="24">
        <f>'Electric Account Balance'!D278</f>
        <v>-2409.0918258749998</v>
      </c>
      <c r="E14" s="24">
        <f>'Electric Account Balance'!D285</f>
        <v>-373.20622058333333</v>
      </c>
      <c r="F14" s="24">
        <f>'Electric Account Balance'!D292</f>
        <v>-63.040750500000001</v>
      </c>
      <c r="G14" s="24">
        <f>'Electric Account Balance'!D299</f>
        <v>226.516524</v>
      </c>
      <c r="H14" s="24">
        <f>'Electric Account Balance'!D306</f>
        <v>233.93810495833335</v>
      </c>
      <c r="I14" s="24">
        <f>'Electric Account Balance'!D313</f>
        <v>-151.54938729166665</v>
      </c>
      <c r="J14" s="24">
        <f>'Electric Account Balance'!D320</f>
        <v>0</v>
      </c>
    </row>
    <row r="15" spans="1:14" ht="12.75" customHeight="1" x14ac:dyDescent="0.2">
      <c r="A15" s="10">
        <f t="shared" si="0"/>
        <v>7</v>
      </c>
      <c r="B15" s="9"/>
      <c r="C15" s="10"/>
      <c r="D15" s="25"/>
      <c r="E15" s="25"/>
      <c r="F15" s="9"/>
      <c r="G15" s="9"/>
      <c r="H15" s="9"/>
      <c r="I15" s="9"/>
      <c r="J15" s="9"/>
    </row>
    <row r="16" spans="1:14" ht="12.75" customHeight="1" x14ac:dyDescent="0.2">
      <c r="A16" s="10">
        <f t="shared" si="0"/>
        <v>8</v>
      </c>
      <c r="B16" s="9" t="s">
        <v>323</v>
      </c>
      <c r="C16" s="10" t="s">
        <v>324</v>
      </c>
      <c r="D16" s="18">
        <f>D10+D12+D14</f>
        <v>-1231101.069315165</v>
      </c>
      <c r="E16" s="18">
        <f t="shared" ref="E16:J16" si="1">E10+E12+E14</f>
        <v>-177661.72168078335</v>
      </c>
      <c r="F16" s="18">
        <f t="shared" si="1"/>
        <v>987.24717038999029</v>
      </c>
      <c r="G16" s="18">
        <f t="shared" si="1"/>
        <v>136559.73317974</v>
      </c>
      <c r="H16" s="18">
        <f t="shared" si="1"/>
        <v>156754.81797730835</v>
      </c>
      <c r="I16" s="18">
        <f t="shared" si="1"/>
        <v>-71246.666005251667</v>
      </c>
      <c r="J16" s="18">
        <f t="shared" si="1"/>
        <v>6913.9892416399998</v>
      </c>
    </row>
    <row r="17" spans="1:10" ht="12.75" customHeight="1" x14ac:dyDescent="0.2">
      <c r="A17" s="10">
        <f t="shared" si="0"/>
        <v>9</v>
      </c>
      <c r="B17" s="9"/>
      <c r="C17" s="10"/>
      <c r="D17" s="18"/>
      <c r="E17" s="18"/>
      <c r="F17" s="18"/>
      <c r="G17" s="18"/>
      <c r="H17" s="18"/>
      <c r="I17" s="18"/>
      <c r="J17" s="18"/>
    </row>
    <row r="18" spans="1:10" ht="12.75" customHeight="1" x14ac:dyDescent="0.2">
      <c r="A18" s="10">
        <f t="shared" si="0"/>
        <v>10</v>
      </c>
      <c r="B18" s="9" t="s">
        <v>175</v>
      </c>
      <c r="C18" s="71" t="s">
        <v>15</v>
      </c>
      <c r="D18" s="212">
        <f>'Elect 2017GRC Conv Fctr'!$E$20</f>
        <v>0.95238599999999995</v>
      </c>
      <c r="E18" s="212">
        <f>'Elect 2017GRC Conv Fctr'!$E$20</f>
        <v>0.95238599999999995</v>
      </c>
      <c r="F18" s="212">
        <f>'Elect 2017GRC Conv Fctr'!$E$20</f>
        <v>0.95238599999999995</v>
      </c>
      <c r="G18" s="212">
        <f>'Elect 2017GRC Conv Fctr'!$E$20</f>
        <v>0.95238599999999995</v>
      </c>
      <c r="H18" s="212">
        <f>'Elect 2017GRC Conv Fctr'!$E$20</f>
        <v>0.95238599999999995</v>
      </c>
      <c r="I18" s="212">
        <f>'Elect 2017GRC Conv Fctr'!$E$20</f>
        <v>0.95238599999999995</v>
      </c>
      <c r="J18" s="212">
        <f>'Elect 2017GRC Conv Fctr'!$E$20</f>
        <v>0.95238599999999995</v>
      </c>
    </row>
    <row r="19" spans="1:10" ht="12.75" customHeight="1" x14ac:dyDescent="0.2">
      <c r="A19" s="10">
        <f t="shared" si="0"/>
        <v>11</v>
      </c>
      <c r="B19" s="9"/>
      <c r="C19" s="71"/>
      <c r="D19" s="18"/>
      <c r="E19" s="18"/>
      <c r="F19" s="9"/>
      <c r="G19" s="9"/>
      <c r="H19" s="9"/>
      <c r="I19" s="9"/>
      <c r="J19" s="9"/>
    </row>
    <row r="20" spans="1:10" ht="12.75" customHeight="1" x14ac:dyDescent="0.2">
      <c r="A20" s="10">
        <f t="shared" si="0"/>
        <v>12</v>
      </c>
      <c r="B20" s="9" t="s">
        <v>630</v>
      </c>
      <c r="C20" s="10" t="s">
        <v>325</v>
      </c>
      <c r="D20" s="18">
        <f>D10/D$18</f>
        <v>0</v>
      </c>
      <c r="E20" s="18">
        <f>E10/E$18</f>
        <v>0</v>
      </c>
      <c r="F20" s="18">
        <f>F10/F$18</f>
        <v>0</v>
      </c>
      <c r="G20" s="18">
        <f>G10/G$18</f>
        <v>0</v>
      </c>
      <c r="H20" s="18">
        <f t="shared" ref="H20:J20" si="2">H10/H$18</f>
        <v>0</v>
      </c>
      <c r="I20" s="18">
        <f t="shared" si="2"/>
        <v>0</v>
      </c>
      <c r="J20" s="18">
        <f t="shared" si="2"/>
        <v>0</v>
      </c>
    </row>
    <row r="21" spans="1:10" ht="12.75" customHeight="1" x14ac:dyDescent="0.2">
      <c r="A21" s="10">
        <f t="shared" si="0"/>
        <v>13</v>
      </c>
      <c r="D21" s="18"/>
      <c r="E21" s="18"/>
      <c r="F21" s="18"/>
      <c r="G21" s="18"/>
      <c r="H21" s="18"/>
      <c r="I21" s="18"/>
      <c r="J21" s="18"/>
    </row>
    <row r="22" spans="1:10" ht="12.75" customHeight="1" x14ac:dyDescent="0.2">
      <c r="A22" s="10">
        <f t="shared" si="0"/>
        <v>14</v>
      </c>
      <c r="B22" s="9" t="s">
        <v>334</v>
      </c>
      <c r="C22" s="10" t="s">
        <v>326</v>
      </c>
      <c r="D22" s="18">
        <f>D12/D$18</f>
        <v>-1290119.7387291393</v>
      </c>
      <c r="E22" s="18">
        <f>E12/E$18</f>
        <v>-186151.9546278505</v>
      </c>
      <c r="F22" s="18">
        <f>F12/F$18</f>
        <v>1102.7964721131877</v>
      </c>
      <c r="G22" s="18">
        <f>G12/G$18</f>
        <v>143149.11879819736</v>
      </c>
      <c r="H22" s="18">
        <f t="shared" ref="H22:J22" si="3">H12/H$18</f>
        <v>164346.05283188753</v>
      </c>
      <c r="I22" s="18">
        <f t="shared" si="3"/>
        <v>-74649.476806630919</v>
      </c>
      <c r="J22" s="18">
        <f t="shared" si="3"/>
        <v>7259.6502275757939</v>
      </c>
    </row>
    <row r="23" spans="1:10" ht="12.75" customHeight="1" x14ac:dyDescent="0.2">
      <c r="A23" s="10">
        <f t="shared" si="0"/>
        <v>15</v>
      </c>
      <c r="B23" s="9"/>
      <c r="C23" s="71"/>
      <c r="D23" s="18"/>
      <c r="E23" s="18"/>
      <c r="F23" s="18"/>
      <c r="G23" s="18"/>
      <c r="H23" s="18"/>
      <c r="I23" s="18"/>
      <c r="J23" s="18"/>
    </row>
    <row r="24" spans="1:10" ht="12.75" customHeight="1" x14ac:dyDescent="0.2">
      <c r="A24" s="10">
        <f t="shared" si="0"/>
        <v>16</v>
      </c>
      <c r="B24" s="9" t="s">
        <v>327</v>
      </c>
      <c r="C24" s="10" t="s">
        <v>328</v>
      </c>
      <c r="D24" s="18">
        <f>D14/D$18</f>
        <v>-2529.5330106437937</v>
      </c>
      <c r="E24" s="18">
        <f>E14/E$18</f>
        <v>-391.86445473088992</v>
      </c>
      <c r="F24" s="18">
        <f>F14/F$18</f>
        <v>-66.192437205082811</v>
      </c>
      <c r="G24" s="18">
        <f>G14/G$18</f>
        <v>237.84108964222492</v>
      </c>
      <c r="H24" s="18">
        <f t="shared" ref="H24:J24" si="4">H14/H$18</f>
        <v>245.63370834759579</v>
      </c>
      <c r="I24" s="18">
        <f t="shared" si="4"/>
        <v>-159.12601328837957</v>
      </c>
      <c r="J24" s="18">
        <f t="shared" si="4"/>
        <v>0</v>
      </c>
    </row>
    <row r="25" spans="1:10" ht="12.75" customHeight="1" x14ac:dyDescent="0.2">
      <c r="A25" s="10">
        <f t="shared" si="0"/>
        <v>17</v>
      </c>
      <c r="B25" s="9"/>
      <c r="C25" s="71"/>
      <c r="D25" s="18"/>
      <c r="E25" s="18"/>
      <c r="F25" s="18"/>
      <c r="G25" s="18"/>
      <c r="H25" s="18"/>
      <c r="I25" s="18"/>
      <c r="J25" s="18"/>
    </row>
    <row r="26" spans="1:10" ht="12.75" customHeight="1" x14ac:dyDescent="0.2">
      <c r="A26" s="10">
        <f t="shared" si="0"/>
        <v>18</v>
      </c>
      <c r="B26" s="9" t="s">
        <v>329</v>
      </c>
      <c r="C26" s="10" t="s">
        <v>330</v>
      </c>
      <c r="D26" s="18">
        <f>D20+D22+D24</f>
        <v>-1292649.2717397832</v>
      </c>
      <c r="E26" s="18">
        <f t="shared" ref="E26:F26" si="5">E20+E22+E24</f>
        <v>-186543.81908258138</v>
      </c>
      <c r="F26" s="18">
        <f t="shared" si="5"/>
        <v>1036.6040349081049</v>
      </c>
      <c r="G26" s="18">
        <f>G20+G22+G24</f>
        <v>143386.95988783959</v>
      </c>
      <c r="H26" s="18">
        <f t="shared" ref="H26:J26" si="6">H20+H22+H24</f>
        <v>164591.68654023512</v>
      </c>
      <c r="I26" s="18">
        <f t="shared" si="6"/>
        <v>-74808.602819919295</v>
      </c>
      <c r="J26" s="18">
        <f t="shared" si="6"/>
        <v>7259.6502275757939</v>
      </c>
    </row>
    <row r="27" spans="1:10" ht="12.75" customHeight="1" x14ac:dyDescent="0.2">
      <c r="A27" s="10"/>
      <c r="B27" s="9"/>
      <c r="C27" s="71"/>
      <c r="D27" s="18"/>
      <c r="E27" s="18"/>
      <c r="F27" s="9"/>
      <c r="G27" s="9"/>
      <c r="H27" s="9"/>
    </row>
    <row r="28" spans="1:10" ht="12.75" customHeight="1" x14ac:dyDescent="0.2">
      <c r="A28" s="10"/>
      <c r="B28" s="213"/>
      <c r="C28" s="9"/>
      <c r="D28" s="18"/>
      <c r="E28" s="18"/>
      <c r="F28" s="9"/>
      <c r="G28" s="9"/>
      <c r="H28" s="9"/>
    </row>
    <row r="29" spans="1:10" ht="12.75" customHeight="1" x14ac:dyDescent="0.2">
      <c r="A29" s="10"/>
      <c r="B29" s="9"/>
      <c r="C29" s="9"/>
      <c r="D29" s="18"/>
      <c r="E29" s="18"/>
      <c r="F29" s="9"/>
      <c r="G29" s="9"/>
      <c r="H29" s="9"/>
    </row>
    <row r="30" spans="1:10" ht="12.75" customHeight="1" x14ac:dyDescent="0.2">
      <c r="A30" s="9"/>
      <c r="B30" s="9"/>
      <c r="C30" s="9"/>
      <c r="D30" s="9"/>
      <c r="E30" s="9"/>
      <c r="F30" s="9"/>
      <c r="G30" s="9"/>
      <c r="H30" s="9"/>
    </row>
    <row r="31" spans="1:10" ht="12.75" customHeight="1" x14ac:dyDescent="0.2">
      <c r="A31" s="9"/>
      <c r="B31" s="9"/>
      <c r="C31" s="9"/>
      <c r="D31" s="9"/>
      <c r="E31" s="9"/>
      <c r="F31" s="9"/>
      <c r="G31" s="9"/>
      <c r="H31" s="9"/>
    </row>
    <row r="32" spans="1:10" ht="12.75" customHeight="1" x14ac:dyDescent="0.2">
      <c r="A32" s="9"/>
      <c r="B32" s="9"/>
      <c r="C32" s="9"/>
      <c r="D32" s="36"/>
      <c r="E32" s="9"/>
      <c r="F32" s="9"/>
      <c r="G32" s="9"/>
      <c r="H32" s="9"/>
    </row>
    <row r="33" spans="1:8" ht="12.75" customHeight="1" x14ac:dyDescent="0.2">
      <c r="A33" s="9"/>
      <c r="B33" s="9"/>
      <c r="C33" s="9"/>
      <c r="D33" s="9"/>
      <c r="E33" s="9"/>
      <c r="F33" s="9"/>
      <c r="G33" s="9"/>
      <c r="H33" s="9"/>
    </row>
    <row r="34" spans="1:8" ht="12.75" customHeight="1" x14ac:dyDescent="0.2">
      <c r="A34" s="9"/>
      <c r="B34" s="9"/>
      <c r="C34" s="9"/>
      <c r="D34" s="9"/>
      <c r="E34" s="9"/>
      <c r="F34" s="9"/>
      <c r="G34" s="9"/>
      <c r="H34" s="9"/>
    </row>
    <row r="35" spans="1:8" ht="12.75" customHeight="1" x14ac:dyDescent="0.2">
      <c r="A35" s="9"/>
      <c r="B35" s="9"/>
      <c r="C35" s="9"/>
      <c r="D35" s="9"/>
      <c r="E35" s="9"/>
      <c r="F35" s="9"/>
      <c r="G35" s="9"/>
      <c r="H35" s="9"/>
    </row>
    <row r="36" spans="1:8" ht="12.75" customHeight="1" x14ac:dyDescent="0.2">
      <c r="A36" s="9"/>
      <c r="B36" s="9"/>
      <c r="C36" s="9"/>
      <c r="D36" s="9"/>
      <c r="E36" s="9"/>
      <c r="F36" s="9"/>
      <c r="G36" s="9"/>
      <c r="H36" s="9"/>
    </row>
    <row r="37" spans="1:8" ht="12.75" customHeight="1" x14ac:dyDescent="0.2">
      <c r="A37" s="9"/>
      <c r="B37" s="9"/>
      <c r="C37" s="9"/>
      <c r="D37" s="9"/>
      <c r="E37" s="9"/>
      <c r="F37" s="9"/>
      <c r="G37" s="9"/>
      <c r="H37" s="9"/>
    </row>
    <row r="38" spans="1:8" ht="12.75" customHeight="1" x14ac:dyDescent="0.2">
      <c r="A38" s="9"/>
      <c r="B38" s="9"/>
      <c r="C38" s="9"/>
      <c r="D38" s="9"/>
      <c r="E38" s="9"/>
      <c r="F38" s="9"/>
      <c r="G38" s="9"/>
      <c r="H38" s="9"/>
    </row>
    <row r="39" spans="1:8" ht="12.75" customHeight="1" x14ac:dyDescent="0.2">
      <c r="A39" s="9"/>
      <c r="B39" s="9"/>
      <c r="C39" s="9"/>
      <c r="D39" s="9"/>
      <c r="E39" s="9"/>
      <c r="F39" s="9"/>
      <c r="G39" s="9"/>
      <c r="H39" s="9"/>
    </row>
    <row r="40" spans="1:8" ht="12.75" customHeight="1" x14ac:dyDescent="0.2">
      <c r="A40" s="9"/>
      <c r="B40" s="9"/>
      <c r="C40" s="9"/>
      <c r="D40" s="9"/>
      <c r="E40" s="9"/>
      <c r="F40" s="9"/>
      <c r="G40" s="9"/>
      <c r="H40" s="9"/>
    </row>
    <row r="41" spans="1:8" ht="12.75" customHeight="1" x14ac:dyDescent="0.2">
      <c r="A41" s="9"/>
      <c r="B41" s="9"/>
      <c r="C41" s="9"/>
      <c r="D41" s="9"/>
      <c r="E41" s="9"/>
      <c r="F41" s="9"/>
      <c r="G41" s="9"/>
      <c r="H41" s="9"/>
    </row>
    <row r="42" spans="1:8" ht="12.75" customHeight="1" x14ac:dyDescent="0.2">
      <c r="A42" s="9"/>
      <c r="B42" s="9"/>
      <c r="C42" s="9"/>
      <c r="D42" s="9"/>
      <c r="E42" s="9"/>
      <c r="F42" s="9"/>
      <c r="G42" s="9"/>
      <c r="H42" s="9"/>
    </row>
    <row r="43" spans="1:8" ht="12.75" customHeight="1" x14ac:dyDescent="0.2">
      <c r="A43" s="9"/>
      <c r="B43" s="9"/>
      <c r="C43" s="9"/>
      <c r="D43" s="9"/>
      <c r="E43" s="9"/>
      <c r="F43" s="9"/>
      <c r="G43" s="9"/>
      <c r="H43"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11</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7"/>
  <sheetViews>
    <sheetView zoomScaleNormal="100" workbookViewId="0">
      <pane xSplit="3" ySplit="6" topLeftCell="D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4.140625" style="46" customWidth="1"/>
    <col min="2" max="2" width="53.140625" style="46" customWidth="1"/>
    <col min="3" max="3" width="11.5703125" style="64" bestFit="1" customWidth="1"/>
    <col min="4" max="5" width="15.5703125" style="64" customWidth="1"/>
    <col min="6" max="8" width="15.5703125" style="46" customWidth="1"/>
    <col min="9" max="188" width="9.140625" style="46"/>
    <col min="189" max="189" width="5.7109375" style="46" customWidth="1"/>
    <col min="190" max="190" width="58.7109375" style="46" bestFit="1" customWidth="1"/>
    <col min="191" max="191" width="11.5703125" style="46" bestFit="1" customWidth="1"/>
    <col min="192" max="192" width="18.28515625" style="46" bestFit="1" customWidth="1"/>
    <col min="193" max="193" width="9.140625" style="46"/>
    <col min="194" max="195" width="0" style="46" hidden="1" customWidth="1"/>
    <col min="196" max="444" width="9.140625" style="46"/>
    <col min="445" max="445" width="5.7109375" style="46" customWidth="1"/>
    <col min="446" max="446" width="58.7109375" style="46" bestFit="1" customWidth="1"/>
    <col min="447" max="447" width="11.5703125" style="46" bestFit="1" customWidth="1"/>
    <col min="448" max="448" width="18.28515625" style="46" bestFit="1" customWidth="1"/>
    <col min="449" max="449" width="9.140625" style="46"/>
    <col min="450" max="451" width="0" style="46" hidden="1" customWidth="1"/>
    <col min="452" max="700" width="9.140625" style="46"/>
    <col min="701" max="701" width="5.7109375" style="46" customWidth="1"/>
    <col min="702" max="702" width="58.7109375" style="46" bestFit="1" customWidth="1"/>
    <col min="703" max="703" width="11.5703125" style="46" bestFit="1" customWidth="1"/>
    <col min="704" max="704" width="18.28515625" style="46" bestFit="1" customWidth="1"/>
    <col min="705" max="705" width="9.140625" style="46"/>
    <col min="706" max="707" width="0" style="46" hidden="1" customWidth="1"/>
    <col min="708" max="956" width="9.140625" style="46"/>
    <col min="957" max="957" width="5.7109375" style="46" customWidth="1"/>
    <col min="958" max="958" width="58.7109375" style="46" bestFit="1" customWidth="1"/>
    <col min="959" max="959" width="11.5703125" style="46" bestFit="1" customWidth="1"/>
    <col min="960" max="960" width="18.28515625" style="46" bestFit="1" customWidth="1"/>
    <col min="961" max="961" width="9.140625" style="46"/>
    <col min="962" max="963" width="0" style="46" hidden="1" customWidth="1"/>
    <col min="964" max="1212" width="9.140625" style="46"/>
    <col min="1213" max="1213" width="5.7109375" style="46" customWidth="1"/>
    <col min="1214" max="1214" width="58.7109375" style="46" bestFit="1" customWidth="1"/>
    <col min="1215" max="1215" width="11.5703125" style="46" bestFit="1" customWidth="1"/>
    <col min="1216" max="1216" width="18.28515625" style="46" bestFit="1" customWidth="1"/>
    <col min="1217" max="1217" width="9.140625" style="46"/>
    <col min="1218" max="1219" width="0" style="46" hidden="1" customWidth="1"/>
    <col min="1220" max="1468" width="9.140625" style="46"/>
    <col min="1469" max="1469" width="5.7109375" style="46" customWidth="1"/>
    <col min="1470" max="1470" width="58.7109375" style="46" bestFit="1" customWidth="1"/>
    <col min="1471" max="1471" width="11.5703125" style="46" bestFit="1" customWidth="1"/>
    <col min="1472" max="1472" width="18.28515625" style="46" bestFit="1" customWidth="1"/>
    <col min="1473" max="1473" width="9.140625" style="46"/>
    <col min="1474" max="1475" width="0" style="46" hidden="1" customWidth="1"/>
    <col min="1476" max="1724" width="9.140625" style="46"/>
    <col min="1725" max="1725" width="5.7109375" style="46" customWidth="1"/>
    <col min="1726" max="1726" width="58.7109375" style="46" bestFit="1" customWidth="1"/>
    <col min="1727" max="1727" width="11.5703125" style="46" bestFit="1" customWidth="1"/>
    <col min="1728" max="1728" width="18.28515625" style="46" bestFit="1" customWidth="1"/>
    <col min="1729" max="1729" width="9.140625" style="46"/>
    <col min="1730" max="1731" width="0" style="46" hidden="1" customWidth="1"/>
    <col min="1732" max="1980" width="9.140625" style="46"/>
    <col min="1981" max="1981" width="5.7109375" style="46" customWidth="1"/>
    <col min="1982" max="1982" width="58.7109375" style="46" bestFit="1" customWidth="1"/>
    <col min="1983" max="1983" width="11.5703125" style="46" bestFit="1" customWidth="1"/>
    <col min="1984" max="1984" width="18.28515625" style="46" bestFit="1" customWidth="1"/>
    <col min="1985" max="1985" width="9.140625" style="46"/>
    <col min="1986" max="1987" width="0" style="46" hidden="1" customWidth="1"/>
    <col min="1988" max="2236" width="9.140625" style="46"/>
    <col min="2237" max="2237" width="5.7109375" style="46" customWidth="1"/>
    <col min="2238" max="2238" width="58.7109375" style="46" bestFit="1" customWidth="1"/>
    <col min="2239" max="2239" width="11.5703125" style="46" bestFit="1" customWidth="1"/>
    <col min="2240" max="2240" width="18.28515625" style="46" bestFit="1" customWidth="1"/>
    <col min="2241" max="2241" width="9.140625" style="46"/>
    <col min="2242" max="2243" width="0" style="46" hidden="1" customWidth="1"/>
    <col min="2244" max="2492" width="9.140625" style="46"/>
    <col min="2493" max="2493" width="5.7109375" style="46" customWidth="1"/>
    <col min="2494" max="2494" width="58.7109375" style="46" bestFit="1" customWidth="1"/>
    <col min="2495" max="2495" width="11.5703125" style="46" bestFit="1" customWidth="1"/>
    <col min="2496" max="2496" width="18.28515625" style="46" bestFit="1" customWidth="1"/>
    <col min="2497" max="2497" width="9.140625" style="46"/>
    <col min="2498" max="2499" width="0" style="46" hidden="1" customWidth="1"/>
    <col min="2500" max="2748" width="9.140625" style="46"/>
    <col min="2749" max="2749" width="5.7109375" style="46" customWidth="1"/>
    <col min="2750" max="2750" width="58.7109375" style="46" bestFit="1" customWidth="1"/>
    <col min="2751" max="2751" width="11.5703125" style="46" bestFit="1" customWidth="1"/>
    <col min="2752" max="2752" width="18.28515625" style="46" bestFit="1" customWidth="1"/>
    <col min="2753" max="2753" width="9.140625" style="46"/>
    <col min="2754" max="2755" width="0" style="46" hidden="1" customWidth="1"/>
    <col min="2756" max="3004" width="9.140625" style="46"/>
    <col min="3005" max="3005" width="5.7109375" style="46" customWidth="1"/>
    <col min="3006" max="3006" width="58.7109375" style="46" bestFit="1" customWidth="1"/>
    <col min="3007" max="3007" width="11.5703125" style="46" bestFit="1" customWidth="1"/>
    <col min="3008" max="3008" width="18.28515625" style="46" bestFit="1" customWidth="1"/>
    <col min="3009" max="3009" width="9.140625" style="46"/>
    <col min="3010" max="3011" width="0" style="46" hidden="1" customWidth="1"/>
    <col min="3012" max="3260" width="9.140625" style="46"/>
    <col min="3261" max="3261" width="5.7109375" style="46" customWidth="1"/>
    <col min="3262" max="3262" width="58.7109375" style="46" bestFit="1" customWidth="1"/>
    <col min="3263" max="3263" width="11.5703125" style="46" bestFit="1" customWidth="1"/>
    <col min="3264" max="3264" width="18.28515625" style="46" bestFit="1" customWidth="1"/>
    <col min="3265" max="3265" width="9.140625" style="46"/>
    <col min="3266" max="3267" width="0" style="46" hidden="1" customWidth="1"/>
    <col min="3268" max="3516" width="9.140625" style="46"/>
    <col min="3517" max="3517" width="5.7109375" style="46" customWidth="1"/>
    <col min="3518" max="3518" width="58.7109375" style="46" bestFit="1" customWidth="1"/>
    <col min="3519" max="3519" width="11.5703125" style="46" bestFit="1" customWidth="1"/>
    <col min="3520" max="3520" width="18.28515625" style="46" bestFit="1" customWidth="1"/>
    <col min="3521" max="3521" width="9.140625" style="46"/>
    <col min="3522" max="3523" width="0" style="46" hidden="1" customWidth="1"/>
    <col min="3524" max="3772" width="9.140625" style="46"/>
    <col min="3773" max="3773" width="5.7109375" style="46" customWidth="1"/>
    <col min="3774" max="3774" width="58.7109375" style="46" bestFit="1" customWidth="1"/>
    <col min="3775" max="3775" width="11.5703125" style="46" bestFit="1" customWidth="1"/>
    <col min="3776" max="3776" width="18.28515625" style="46" bestFit="1" customWidth="1"/>
    <col min="3777" max="3777" width="9.140625" style="46"/>
    <col min="3778" max="3779" width="0" style="46" hidden="1" customWidth="1"/>
    <col min="3780" max="4028" width="9.140625" style="46"/>
    <col min="4029" max="4029" width="5.7109375" style="46" customWidth="1"/>
    <col min="4030" max="4030" width="58.7109375" style="46" bestFit="1" customWidth="1"/>
    <col min="4031" max="4031" width="11.5703125" style="46" bestFit="1" customWidth="1"/>
    <col min="4032" max="4032" width="18.28515625" style="46" bestFit="1" customWidth="1"/>
    <col min="4033" max="4033" width="9.140625" style="46"/>
    <col min="4034" max="4035" width="0" style="46" hidden="1" customWidth="1"/>
    <col min="4036" max="4284" width="9.140625" style="46"/>
    <col min="4285" max="4285" width="5.7109375" style="46" customWidth="1"/>
    <col min="4286" max="4286" width="58.7109375" style="46" bestFit="1" customWidth="1"/>
    <col min="4287" max="4287" width="11.5703125" style="46" bestFit="1" customWidth="1"/>
    <col min="4288" max="4288" width="18.28515625" style="46" bestFit="1" customWidth="1"/>
    <col min="4289" max="4289" width="9.140625" style="46"/>
    <col min="4290" max="4291" width="0" style="46" hidden="1" customWidth="1"/>
    <col min="4292" max="4540" width="9.140625" style="46"/>
    <col min="4541" max="4541" width="5.7109375" style="46" customWidth="1"/>
    <col min="4542" max="4542" width="58.7109375" style="46" bestFit="1" customWidth="1"/>
    <col min="4543" max="4543" width="11.5703125" style="46" bestFit="1" customWidth="1"/>
    <col min="4544" max="4544" width="18.28515625" style="46" bestFit="1" customWidth="1"/>
    <col min="4545" max="4545" width="9.140625" style="46"/>
    <col min="4546" max="4547" width="0" style="46" hidden="1" customWidth="1"/>
    <col min="4548" max="4796" width="9.140625" style="46"/>
    <col min="4797" max="4797" width="5.7109375" style="46" customWidth="1"/>
    <col min="4798" max="4798" width="58.7109375" style="46" bestFit="1" customWidth="1"/>
    <col min="4799" max="4799" width="11.5703125" style="46" bestFit="1" customWidth="1"/>
    <col min="4800" max="4800" width="18.28515625" style="46" bestFit="1" customWidth="1"/>
    <col min="4801" max="4801" width="9.140625" style="46"/>
    <col min="4802" max="4803" width="0" style="46" hidden="1" customWidth="1"/>
    <col min="4804" max="5052" width="9.140625" style="46"/>
    <col min="5053" max="5053" width="5.7109375" style="46" customWidth="1"/>
    <col min="5054" max="5054" width="58.7109375" style="46" bestFit="1" customWidth="1"/>
    <col min="5055" max="5055" width="11.5703125" style="46" bestFit="1" customWidth="1"/>
    <col min="5056" max="5056" width="18.28515625" style="46" bestFit="1" customWidth="1"/>
    <col min="5057" max="5057" width="9.140625" style="46"/>
    <col min="5058" max="5059" width="0" style="46" hidden="1" customWidth="1"/>
    <col min="5060" max="5308" width="9.140625" style="46"/>
    <col min="5309" max="5309" width="5.7109375" style="46" customWidth="1"/>
    <col min="5310" max="5310" width="58.7109375" style="46" bestFit="1" customWidth="1"/>
    <col min="5311" max="5311" width="11.5703125" style="46" bestFit="1" customWidth="1"/>
    <col min="5312" max="5312" width="18.28515625" style="46" bestFit="1" customWidth="1"/>
    <col min="5313" max="5313" width="9.140625" style="46"/>
    <col min="5314" max="5315" width="0" style="46" hidden="1" customWidth="1"/>
    <col min="5316" max="5564" width="9.140625" style="46"/>
    <col min="5565" max="5565" width="5.7109375" style="46" customWidth="1"/>
    <col min="5566" max="5566" width="58.7109375" style="46" bestFit="1" customWidth="1"/>
    <col min="5567" max="5567" width="11.5703125" style="46" bestFit="1" customWidth="1"/>
    <col min="5568" max="5568" width="18.28515625" style="46" bestFit="1" customWidth="1"/>
    <col min="5569" max="5569" width="9.140625" style="46"/>
    <col min="5570" max="5571" width="0" style="46" hidden="1" customWidth="1"/>
    <col min="5572" max="5820" width="9.140625" style="46"/>
    <col min="5821" max="5821" width="5.7109375" style="46" customWidth="1"/>
    <col min="5822" max="5822" width="58.7109375" style="46" bestFit="1" customWidth="1"/>
    <col min="5823" max="5823" width="11.5703125" style="46" bestFit="1" customWidth="1"/>
    <col min="5824" max="5824" width="18.28515625" style="46" bestFit="1" customWidth="1"/>
    <col min="5825" max="5825" width="9.140625" style="46"/>
    <col min="5826" max="5827" width="0" style="46" hidden="1" customWidth="1"/>
    <col min="5828" max="6076" width="9.140625" style="46"/>
    <col min="6077" max="6077" width="5.7109375" style="46" customWidth="1"/>
    <col min="6078" max="6078" width="58.7109375" style="46" bestFit="1" customWidth="1"/>
    <col min="6079" max="6079" width="11.5703125" style="46" bestFit="1" customWidth="1"/>
    <col min="6080" max="6080" width="18.28515625" style="46" bestFit="1" customWidth="1"/>
    <col min="6081" max="6081" width="9.140625" style="46"/>
    <col min="6082" max="6083" width="0" style="46" hidden="1" customWidth="1"/>
    <col min="6084" max="6332" width="9.140625" style="46"/>
    <col min="6333" max="6333" width="5.7109375" style="46" customWidth="1"/>
    <col min="6334" max="6334" width="58.7109375" style="46" bestFit="1" customWidth="1"/>
    <col min="6335" max="6335" width="11.5703125" style="46" bestFit="1" customWidth="1"/>
    <col min="6336" max="6336" width="18.28515625" style="46" bestFit="1" customWidth="1"/>
    <col min="6337" max="6337" width="9.140625" style="46"/>
    <col min="6338" max="6339" width="0" style="46" hidden="1" customWidth="1"/>
    <col min="6340" max="6588" width="9.140625" style="46"/>
    <col min="6589" max="6589" width="5.7109375" style="46" customWidth="1"/>
    <col min="6590" max="6590" width="58.7109375" style="46" bestFit="1" customWidth="1"/>
    <col min="6591" max="6591" width="11.5703125" style="46" bestFit="1" customWidth="1"/>
    <col min="6592" max="6592" width="18.28515625" style="46" bestFit="1" customWidth="1"/>
    <col min="6593" max="6593" width="9.140625" style="46"/>
    <col min="6594" max="6595" width="0" style="46" hidden="1" customWidth="1"/>
    <col min="6596" max="6844" width="9.140625" style="46"/>
    <col min="6845" max="6845" width="5.7109375" style="46" customWidth="1"/>
    <col min="6846" max="6846" width="58.7109375" style="46" bestFit="1" customWidth="1"/>
    <col min="6847" max="6847" width="11.5703125" style="46" bestFit="1" customWidth="1"/>
    <col min="6848" max="6848" width="18.28515625" style="46" bestFit="1" customWidth="1"/>
    <col min="6849" max="6849" width="9.140625" style="46"/>
    <col min="6850" max="6851" width="0" style="46" hidden="1" customWidth="1"/>
    <col min="6852" max="7100" width="9.140625" style="46"/>
    <col min="7101" max="7101" width="5.7109375" style="46" customWidth="1"/>
    <col min="7102" max="7102" width="58.7109375" style="46" bestFit="1" customWidth="1"/>
    <col min="7103" max="7103" width="11.5703125" style="46" bestFit="1" customWidth="1"/>
    <col min="7104" max="7104" width="18.28515625" style="46" bestFit="1" customWidth="1"/>
    <col min="7105" max="7105" width="9.140625" style="46"/>
    <col min="7106" max="7107" width="0" style="46" hidden="1" customWidth="1"/>
    <col min="7108" max="7356" width="9.140625" style="46"/>
    <col min="7357" max="7357" width="5.7109375" style="46" customWidth="1"/>
    <col min="7358" max="7358" width="58.7109375" style="46" bestFit="1" customWidth="1"/>
    <col min="7359" max="7359" width="11.5703125" style="46" bestFit="1" customWidth="1"/>
    <col min="7360" max="7360" width="18.28515625" style="46" bestFit="1" customWidth="1"/>
    <col min="7361" max="7361" width="9.140625" style="46"/>
    <col min="7362" max="7363" width="0" style="46" hidden="1" customWidth="1"/>
    <col min="7364" max="7612" width="9.140625" style="46"/>
    <col min="7613" max="7613" width="5.7109375" style="46" customWidth="1"/>
    <col min="7614" max="7614" width="58.7109375" style="46" bestFit="1" customWidth="1"/>
    <col min="7615" max="7615" width="11.5703125" style="46" bestFit="1" customWidth="1"/>
    <col min="7616" max="7616" width="18.28515625" style="46" bestFit="1" customWidth="1"/>
    <col min="7617" max="7617" width="9.140625" style="46"/>
    <col min="7618" max="7619" width="0" style="46" hidden="1" customWidth="1"/>
    <col min="7620" max="7868" width="9.140625" style="46"/>
    <col min="7869" max="7869" width="5.7109375" style="46" customWidth="1"/>
    <col min="7870" max="7870" width="58.7109375" style="46" bestFit="1" customWidth="1"/>
    <col min="7871" max="7871" width="11.5703125" style="46" bestFit="1" customWidth="1"/>
    <col min="7872" max="7872" width="18.28515625" style="46" bestFit="1" customWidth="1"/>
    <col min="7873" max="7873" width="9.140625" style="46"/>
    <col min="7874" max="7875" width="0" style="46" hidden="1" customWidth="1"/>
    <col min="7876" max="8124" width="9.140625" style="46"/>
    <col min="8125" max="8125" width="5.7109375" style="46" customWidth="1"/>
    <col min="8126" max="8126" width="58.7109375" style="46" bestFit="1" customWidth="1"/>
    <col min="8127" max="8127" width="11.5703125" style="46" bestFit="1" customWidth="1"/>
    <col min="8128" max="8128" width="18.28515625" style="46" bestFit="1" customWidth="1"/>
    <col min="8129" max="8129" width="9.140625" style="46"/>
    <col min="8130" max="8131" width="0" style="46" hidden="1" customWidth="1"/>
    <col min="8132" max="8380" width="9.140625" style="46"/>
    <col min="8381" max="8381" width="5.7109375" style="46" customWidth="1"/>
    <col min="8382" max="8382" width="58.7109375" style="46" bestFit="1" customWidth="1"/>
    <col min="8383" max="8383" width="11.5703125" style="46" bestFit="1" customWidth="1"/>
    <col min="8384" max="8384" width="18.28515625" style="46" bestFit="1" customWidth="1"/>
    <col min="8385" max="8385" width="9.140625" style="46"/>
    <col min="8386" max="8387" width="0" style="46" hidden="1" customWidth="1"/>
    <col min="8388" max="8636" width="9.140625" style="46"/>
    <col min="8637" max="8637" width="5.7109375" style="46" customWidth="1"/>
    <col min="8638" max="8638" width="58.7109375" style="46" bestFit="1" customWidth="1"/>
    <col min="8639" max="8639" width="11.5703125" style="46" bestFit="1" customWidth="1"/>
    <col min="8640" max="8640" width="18.28515625" style="46" bestFit="1" customWidth="1"/>
    <col min="8641" max="8641" width="9.140625" style="46"/>
    <col min="8642" max="8643" width="0" style="46" hidden="1" customWidth="1"/>
    <col min="8644" max="8892" width="9.140625" style="46"/>
    <col min="8893" max="8893" width="5.7109375" style="46" customWidth="1"/>
    <col min="8894" max="8894" width="58.7109375" style="46" bestFit="1" customWidth="1"/>
    <col min="8895" max="8895" width="11.5703125" style="46" bestFit="1" customWidth="1"/>
    <col min="8896" max="8896" width="18.28515625" style="46" bestFit="1" customWidth="1"/>
    <col min="8897" max="8897" width="9.140625" style="46"/>
    <col min="8898" max="8899" width="0" style="46" hidden="1" customWidth="1"/>
    <col min="8900" max="9148" width="9.140625" style="46"/>
    <col min="9149" max="9149" width="5.7109375" style="46" customWidth="1"/>
    <col min="9150" max="9150" width="58.7109375" style="46" bestFit="1" customWidth="1"/>
    <col min="9151" max="9151" width="11.5703125" style="46" bestFit="1" customWidth="1"/>
    <col min="9152" max="9152" width="18.28515625" style="46" bestFit="1" customWidth="1"/>
    <col min="9153" max="9153" width="9.140625" style="46"/>
    <col min="9154" max="9155" width="0" style="46" hidden="1" customWidth="1"/>
    <col min="9156" max="9404" width="9.140625" style="46"/>
    <col min="9405" max="9405" width="5.7109375" style="46" customWidth="1"/>
    <col min="9406" max="9406" width="58.7109375" style="46" bestFit="1" customWidth="1"/>
    <col min="9407" max="9407" width="11.5703125" style="46" bestFit="1" customWidth="1"/>
    <col min="9408" max="9408" width="18.28515625" style="46" bestFit="1" customWidth="1"/>
    <col min="9409" max="9409" width="9.140625" style="46"/>
    <col min="9410" max="9411" width="0" style="46" hidden="1" customWidth="1"/>
    <col min="9412" max="9660" width="9.140625" style="46"/>
    <col min="9661" max="9661" width="5.7109375" style="46" customWidth="1"/>
    <col min="9662" max="9662" width="58.7109375" style="46" bestFit="1" customWidth="1"/>
    <col min="9663" max="9663" width="11.5703125" style="46" bestFit="1" customWidth="1"/>
    <col min="9664" max="9664" width="18.28515625" style="46" bestFit="1" customWidth="1"/>
    <col min="9665" max="9665" width="9.140625" style="46"/>
    <col min="9666" max="9667" width="0" style="46" hidden="1" customWidth="1"/>
    <col min="9668" max="9916" width="9.140625" style="46"/>
    <col min="9917" max="9917" width="5.7109375" style="46" customWidth="1"/>
    <col min="9918" max="9918" width="58.7109375" style="46" bestFit="1" customWidth="1"/>
    <col min="9919" max="9919" width="11.5703125" style="46" bestFit="1" customWidth="1"/>
    <col min="9920" max="9920" width="18.28515625" style="46" bestFit="1" customWidth="1"/>
    <col min="9921" max="9921" width="9.140625" style="46"/>
    <col min="9922" max="9923" width="0" style="46" hidden="1" customWidth="1"/>
    <col min="9924" max="10172" width="9.140625" style="46"/>
    <col min="10173" max="10173" width="5.7109375" style="46" customWidth="1"/>
    <col min="10174" max="10174" width="58.7109375" style="46" bestFit="1" customWidth="1"/>
    <col min="10175" max="10175" width="11.5703125" style="46" bestFit="1" customWidth="1"/>
    <col min="10176" max="10176" width="18.28515625" style="46" bestFit="1" customWidth="1"/>
    <col min="10177" max="10177" width="9.140625" style="46"/>
    <col min="10178" max="10179" width="0" style="46" hidden="1" customWidth="1"/>
    <col min="10180" max="10428" width="9.140625" style="46"/>
    <col min="10429" max="10429" width="5.7109375" style="46" customWidth="1"/>
    <col min="10430" max="10430" width="58.7109375" style="46" bestFit="1" customWidth="1"/>
    <col min="10431" max="10431" width="11.5703125" style="46" bestFit="1" customWidth="1"/>
    <col min="10432" max="10432" width="18.28515625" style="46" bestFit="1" customWidth="1"/>
    <col min="10433" max="10433" width="9.140625" style="46"/>
    <col min="10434" max="10435" width="0" style="46" hidden="1" customWidth="1"/>
    <col min="10436" max="10684" width="9.140625" style="46"/>
    <col min="10685" max="10685" width="5.7109375" style="46" customWidth="1"/>
    <col min="10686" max="10686" width="58.7109375" style="46" bestFit="1" customWidth="1"/>
    <col min="10687" max="10687" width="11.5703125" style="46" bestFit="1" customWidth="1"/>
    <col min="10688" max="10688" width="18.28515625" style="46" bestFit="1" customWidth="1"/>
    <col min="10689" max="10689" width="9.140625" style="46"/>
    <col min="10690" max="10691" width="0" style="46" hidden="1" customWidth="1"/>
    <col min="10692" max="10940" width="9.140625" style="46"/>
    <col min="10941" max="10941" width="5.7109375" style="46" customWidth="1"/>
    <col min="10942" max="10942" width="58.7109375" style="46" bestFit="1" customWidth="1"/>
    <col min="10943" max="10943" width="11.5703125" style="46" bestFit="1" customWidth="1"/>
    <col min="10944" max="10944" width="18.28515625" style="46" bestFit="1" customWidth="1"/>
    <col min="10945" max="10945" width="9.140625" style="46"/>
    <col min="10946" max="10947" width="0" style="46" hidden="1" customWidth="1"/>
    <col min="10948" max="11196" width="9.140625" style="46"/>
    <col min="11197" max="11197" width="5.7109375" style="46" customWidth="1"/>
    <col min="11198" max="11198" width="58.7109375" style="46" bestFit="1" customWidth="1"/>
    <col min="11199" max="11199" width="11.5703125" style="46" bestFit="1" customWidth="1"/>
    <col min="11200" max="11200" width="18.28515625" style="46" bestFit="1" customWidth="1"/>
    <col min="11201" max="11201" width="9.140625" style="46"/>
    <col min="11202" max="11203" width="0" style="46" hidden="1" customWidth="1"/>
    <col min="11204" max="11452" width="9.140625" style="46"/>
    <col min="11453" max="11453" width="5.7109375" style="46" customWidth="1"/>
    <col min="11454" max="11454" width="58.7109375" style="46" bestFit="1" customWidth="1"/>
    <col min="11455" max="11455" width="11.5703125" style="46" bestFit="1" customWidth="1"/>
    <col min="11456" max="11456" width="18.28515625" style="46" bestFit="1" customWidth="1"/>
    <col min="11457" max="11457" width="9.140625" style="46"/>
    <col min="11458" max="11459" width="0" style="46" hidden="1" customWidth="1"/>
    <col min="11460" max="11708" width="9.140625" style="46"/>
    <col min="11709" max="11709" width="5.7109375" style="46" customWidth="1"/>
    <col min="11710" max="11710" width="58.7109375" style="46" bestFit="1" customWidth="1"/>
    <col min="11711" max="11711" width="11.5703125" style="46" bestFit="1" customWidth="1"/>
    <col min="11712" max="11712" width="18.28515625" style="46" bestFit="1" customWidth="1"/>
    <col min="11713" max="11713" width="9.140625" style="46"/>
    <col min="11714" max="11715" width="0" style="46" hidden="1" customWidth="1"/>
    <col min="11716" max="11964" width="9.140625" style="46"/>
    <col min="11965" max="11965" width="5.7109375" style="46" customWidth="1"/>
    <col min="11966" max="11966" width="58.7109375" style="46" bestFit="1" customWidth="1"/>
    <col min="11967" max="11967" width="11.5703125" style="46" bestFit="1" customWidth="1"/>
    <col min="11968" max="11968" width="18.28515625" style="46" bestFit="1" customWidth="1"/>
    <col min="11969" max="11969" width="9.140625" style="46"/>
    <col min="11970" max="11971" width="0" style="46" hidden="1" customWidth="1"/>
    <col min="11972" max="12220" width="9.140625" style="46"/>
    <col min="12221" max="12221" width="5.7109375" style="46" customWidth="1"/>
    <col min="12222" max="12222" width="58.7109375" style="46" bestFit="1" customWidth="1"/>
    <col min="12223" max="12223" width="11.5703125" style="46" bestFit="1" customWidth="1"/>
    <col min="12224" max="12224" width="18.28515625" style="46" bestFit="1" customWidth="1"/>
    <col min="12225" max="12225" width="9.140625" style="46"/>
    <col min="12226" max="12227" width="0" style="46" hidden="1" customWidth="1"/>
    <col min="12228" max="12476" width="9.140625" style="46"/>
    <col min="12477" max="12477" width="5.7109375" style="46" customWidth="1"/>
    <col min="12478" max="12478" width="58.7109375" style="46" bestFit="1" customWidth="1"/>
    <col min="12479" max="12479" width="11.5703125" style="46" bestFit="1" customWidth="1"/>
    <col min="12480" max="12480" width="18.28515625" style="46" bestFit="1" customWidth="1"/>
    <col min="12481" max="12481" width="9.140625" style="46"/>
    <col min="12482" max="12483" width="0" style="46" hidden="1" customWidth="1"/>
    <col min="12484" max="12732" width="9.140625" style="46"/>
    <col min="12733" max="12733" width="5.7109375" style="46" customWidth="1"/>
    <col min="12734" max="12734" width="58.7109375" style="46" bestFit="1" customWidth="1"/>
    <col min="12735" max="12735" width="11.5703125" style="46" bestFit="1" customWidth="1"/>
    <col min="12736" max="12736" width="18.28515625" style="46" bestFit="1" customWidth="1"/>
    <col min="12737" max="12737" width="9.140625" style="46"/>
    <col min="12738" max="12739" width="0" style="46" hidden="1" customWidth="1"/>
    <col min="12740" max="12988" width="9.140625" style="46"/>
    <col min="12989" max="12989" width="5.7109375" style="46" customWidth="1"/>
    <col min="12990" max="12990" width="58.7109375" style="46" bestFit="1" customWidth="1"/>
    <col min="12991" max="12991" width="11.5703125" style="46" bestFit="1" customWidth="1"/>
    <col min="12992" max="12992" width="18.28515625" style="46" bestFit="1" customWidth="1"/>
    <col min="12993" max="12993" width="9.140625" style="46"/>
    <col min="12994" max="12995" width="0" style="46" hidden="1" customWidth="1"/>
    <col min="12996" max="13244" width="9.140625" style="46"/>
    <col min="13245" max="13245" width="5.7109375" style="46" customWidth="1"/>
    <col min="13246" max="13246" width="58.7109375" style="46" bestFit="1" customWidth="1"/>
    <col min="13247" max="13247" width="11.5703125" style="46" bestFit="1" customWidth="1"/>
    <col min="13248" max="13248" width="18.28515625" style="46" bestFit="1" customWidth="1"/>
    <col min="13249" max="13249" width="9.140625" style="46"/>
    <col min="13250" max="13251" width="0" style="46" hidden="1" customWidth="1"/>
    <col min="13252" max="13500" width="9.140625" style="46"/>
    <col min="13501" max="13501" width="5.7109375" style="46" customWidth="1"/>
    <col min="13502" max="13502" width="58.7109375" style="46" bestFit="1" customWidth="1"/>
    <col min="13503" max="13503" width="11.5703125" style="46" bestFit="1" customWidth="1"/>
    <col min="13504" max="13504" width="18.28515625" style="46" bestFit="1" customWidth="1"/>
    <col min="13505" max="13505" width="9.140625" style="46"/>
    <col min="13506" max="13507" width="0" style="46" hidden="1" customWidth="1"/>
    <col min="13508" max="13756" width="9.140625" style="46"/>
    <col min="13757" max="13757" width="5.7109375" style="46" customWidth="1"/>
    <col min="13758" max="13758" width="58.7109375" style="46" bestFit="1" customWidth="1"/>
    <col min="13759" max="13759" width="11.5703125" style="46" bestFit="1" customWidth="1"/>
    <col min="13760" max="13760" width="18.28515625" style="46" bestFit="1" customWidth="1"/>
    <col min="13761" max="13761" width="9.140625" style="46"/>
    <col min="13762" max="13763" width="0" style="46" hidden="1" customWidth="1"/>
    <col min="13764" max="14012" width="9.140625" style="46"/>
    <col min="14013" max="14013" width="5.7109375" style="46" customWidth="1"/>
    <col min="14014" max="14014" width="58.7109375" style="46" bestFit="1" customWidth="1"/>
    <col min="14015" max="14015" width="11.5703125" style="46" bestFit="1" customWidth="1"/>
    <col min="14016" max="14016" width="18.28515625" style="46" bestFit="1" customWidth="1"/>
    <col min="14017" max="14017" width="9.140625" style="46"/>
    <col min="14018" max="14019" width="0" style="46" hidden="1" customWidth="1"/>
    <col min="14020" max="14268" width="9.140625" style="46"/>
    <col min="14269" max="14269" width="5.7109375" style="46" customWidth="1"/>
    <col min="14270" max="14270" width="58.7109375" style="46" bestFit="1" customWidth="1"/>
    <col min="14271" max="14271" width="11.5703125" style="46" bestFit="1" customWidth="1"/>
    <col min="14272" max="14272" width="18.28515625" style="46" bestFit="1" customWidth="1"/>
    <col min="14273" max="14273" width="9.140625" style="46"/>
    <col min="14274" max="14275" width="0" style="46" hidden="1" customWidth="1"/>
    <col min="14276" max="14524" width="9.140625" style="46"/>
    <col min="14525" max="14525" width="5.7109375" style="46" customWidth="1"/>
    <col min="14526" max="14526" width="58.7109375" style="46" bestFit="1" customWidth="1"/>
    <col min="14527" max="14527" width="11.5703125" style="46" bestFit="1" customWidth="1"/>
    <col min="14528" max="14528" width="18.28515625" style="46" bestFit="1" customWidth="1"/>
    <col min="14529" max="14529" width="9.140625" style="46"/>
    <col min="14530" max="14531" width="0" style="46" hidden="1" customWidth="1"/>
    <col min="14532" max="14780" width="9.140625" style="46"/>
    <col min="14781" max="14781" width="5.7109375" style="46" customWidth="1"/>
    <col min="14782" max="14782" width="58.7109375" style="46" bestFit="1" customWidth="1"/>
    <col min="14783" max="14783" width="11.5703125" style="46" bestFit="1" customWidth="1"/>
    <col min="14784" max="14784" width="18.28515625" style="46" bestFit="1" customWidth="1"/>
    <col min="14785" max="14785" width="9.140625" style="46"/>
    <col min="14786" max="14787" width="0" style="46" hidden="1" customWidth="1"/>
    <col min="14788" max="15036" width="9.140625" style="46"/>
    <col min="15037" max="15037" width="5.7109375" style="46" customWidth="1"/>
    <col min="15038" max="15038" width="58.7109375" style="46" bestFit="1" customWidth="1"/>
    <col min="15039" max="15039" width="11.5703125" style="46" bestFit="1" customWidth="1"/>
    <col min="15040" max="15040" width="18.28515625" style="46" bestFit="1" customWidth="1"/>
    <col min="15041" max="15041" width="9.140625" style="46"/>
    <col min="15042" max="15043" width="0" style="46" hidden="1" customWidth="1"/>
    <col min="15044" max="15292" width="9.140625" style="46"/>
    <col min="15293" max="15293" width="5.7109375" style="46" customWidth="1"/>
    <col min="15294" max="15294" width="58.7109375" style="46" bestFit="1" customWidth="1"/>
    <col min="15295" max="15295" width="11.5703125" style="46" bestFit="1" customWidth="1"/>
    <col min="15296" max="15296" width="18.28515625" style="46" bestFit="1" customWidth="1"/>
    <col min="15297" max="15297" width="9.140625" style="46"/>
    <col min="15298" max="15299" width="0" style="46" hidden="1" customWidth="1"/>
    <col min="15300" max="15548" width="9.140625" style="46"/>
    <col min="15549" max="15549" width="5.7109375" style="46" customWidth="1"/>
    <col min="15550" max="15550" width="58.7109375" style="46" bestFit="1" customWidth="1"/>
    <col min="15551" max="15551" width="11.5703125" style="46" bestFit="1" customWidth="1"/>
    <col min="15552" max="15552" width="18.28515625" style="46" bestFit="1" customWidth="1"/>
    <col min="15553" max="15553" width="9.140625" style="46"/>
    <col min="15554" max="15555" width="0" style="46" hidden="1" customWidth="1"/>
    <col min="15556" max="15804" width="9.140625" style="46"/>
    <col min="15805" max="15805" width="5.7109375" style="46" customWidth="1"/>
    <col min="15806" max="15806" width="58.7109375" style="46" bestFit="1" customWidth="1"/>
    <col min="15807" max="15807" width="11.5703125" style="46" bestFit="1" customWidth="1"/>
    <col min="15808" max="15808" width="18.28515625" style="46" bestFit="1" customWidth="1"/>
    <col min="15809" max="15809" width="9.140625" style="46"/>
    <col min="15810" max="15811" width="0" style="46" hidden="1" customWidth="1"/>
    <col min="15812" max="16060" width="9.140625" style="46"/>
    <col min="16061" max="16061" width="5.7109375" style="46" customWidth="1"/>
    <col min="16062" max="16062" width="58.7109375" style="46" bestFit="1" customWidth="1"/>
    <col min="16063" max="16063" width="11.5703125" style="46" bestFit="1" customWidth="1"/>
    <col min="16064" max="16064" width="18.28515625" style="46" bestFit="1" customWidth="1"/>
    <col min="16065" max="16065" width="9.140625" style="46"/>
    <col min="16066" max="16067" width="0" style="46" hidden="1" customWidth="1"/>
    <col min="16068" max="16384" width="9.140625" style="46"/>
  </cols>
  <sheetData>
    <row r="1" spans="1:8" x14ac:dyDescent="0.2">
      <c r="A1" s="215" t="s">
        <v>0</v>
      </c>
      <c r="B1" s="76"/>
      <c r="C1" s="76"/>
    </row>
    <row r="2" spans="1:8" x14ac:dyDescent="0.2">
      <c r="A2" s="215" t="str">
        <f>'Delivery Rate Change Calc'!A2:H2</f>
        <v>2018 Electric Decoupling Filing</v>
      </c>
      <c r="B2" s="254"/>
      <c r="C2" s="254"/>
    </row>
    <row r="3" spans="1:8" x14ac:dyDescent="0.2">
      <c r="A3" s="215" t="s">
        <v>505</v>
      </c>
      <c r="B3" s="76"/>
      <c r="C3" s="76"/>
    </row>
    <row r="4" spans="1:8" x14ac:dyDescent="0.2">
      <c r="A4" s="275" t="str">
        <f>'Delivery Rate Change Calc'!A4:H4</f>
        <v>Proposed Effective May 1, 2018</v>
      </c>
      <c r="B4" s="254"/>
      <c r="C4" s="254"/>
    </row>
    <row r="5" spans="1:8" x14ac:dyDescent="0.2">
      <c r="D5" s="274" t="s">
        <v>365</v>
      </c>
      <c r="E5" s="274" t="s">
        <v>365</v>
      </c>
      <c r="F5" s="274" t="s">
        <v>365</v>
      </c>
      <c r="G5" s="274" t="s">
        <v>290</v>
      </c>
      <c r="H5" s="274" t="s">
        <v>290</v>
      </c>
    </row>
    <row r="6" spans="1:8" x14ac:dyDescent="0.2">
      <c r="C6" s="255" t="s">
        <v>467</v>
      </c>
      <c r="D6" s="256">
        <v>43070</v>
      </c>
      <c r="E6" s="256">
        <f>EDATE(D6,1)</f>
        <v>43101</v>
      </c>
      <c r="F6" s="256">
        <f t="shared" ref="F6:H6" si="0">EDATE(E6,1)</f>
        <v>43132</v>
      </c>
      <c r="G6" s="256">
        <f t="shared" si="0"/>
        <v>43160</v>
      </c>
      <c r="H6" s="256">
        <f t="shared" si="0"/>
        <v>43191</v>
      </c>
    </row>
    <row r="7" spans="1:8" s="258" customFormat="1" x14ac:dyDescent="0.2">
      <c r="A7" s="257" t="s">
        <v>468</v>
      </c>
    </row>
    <row r="8" spans="1:8" x14ac:dyDescent="0.2">
      <c r="A8" s="1" t="s">
        <v>469</v>
      </c>
      <c r="C8" s="167">
        <v>18239081</v>
      </c>
    </row>
    <row r="9" spans="1:8" x14ac:dyDescent="0.2">
      <c r="B9" s="46" t="s">
        <v>470</v>
      </c>
      <c r="C9" s="167">
        <v>25400411</v>
      </c>
      <c r="D9" s="253">
        <v>5735188.1299999999</v>
      </c>
      <c r="E9" s="102">
        <f t="shared" ref="E9:H9" si="1">D13</f>
        <v>4257903.24</v>
      </c>
      <c r="F9" s="102">
        <f t="shared" si="1"/>
        <v>2938695.0900000003</v>
      </c>
      <c r="G9" s="102">
        <f t="shared" si="1"/>
        <v>1710834.2700000003</v>
      </c>
      <c r="H9" s="102">
        <f t="shared" si="1"/>
        <v>541121.20759743615</v>
      </c>
    </row>
    <row r="10" spans="1:8" x14ac:dyDescent="0.2">
      <c r="B10" s="259" t="s">
        <v>471</v>
      </c>
      <c r="C10" s="167"/>
      <c r="D10" s="102"/>
      <c r="E10" s="102"/>
      <c r="F10" s="102"/>
      <c r="G10" s="102"/>
      <c r="H10" s="102"/>
    </row>
    <row r="11" spans="1:8" x14ac:dyDescent="0.2">
      <c r="B11" s="259" t="s">
        <v>472</v>
      </c>
      <c r="D11" s="442">
        <v>-1477284.8900000001</v>
      </c>
      <c r="E11" s="442">
        <v>-1319208.1499999999</v>
      </c>
      <c r="F11" s="442">
        <v>-1227860.82</v>
      </c>
      <c r="G11" s="260">
        <f>-'Amort Estimate'!D15</f>
        <v>-1169713.0624025641</v>
      </c>
      <c r="H11" s="260">
        <f>-'Amort Estimate'!E15</f>
        <v>-966400.17712903081</v>
      </c>
    </row>
    <row r="12" spans="1:8" x14ac:dyDescent="0.2">
      <c r="B12" s="46" t="s">
        <v>473</v>
      </c>
      <c r="D12" s="261">
        <f t="shared" ref="D12:H12" si="2">SUM(D10:D11)</f>
        <v>-1477284.8900000001</v>
      </c>
      <c r="E12" s="261">
        <f t="shared" si="2"/>
        <v>-1319208.1499999999</v>
      </c>
      <c r="F12" s="261">
        <f t="shared" si="2"/>
        <v>-1227860.82</v>
      </c>
      <c r="G12" s="261">
        <f t="shared" si="2"/>
        <v>-1169713.0624025641</v>
      </c>
      <c r="H12" s="261">
        <f t="shared" si="2"/>
        <v>-966400.17712903081</v>
      </c>
    </row>
    <row r="13" spans="1:8" x14ac:dyDescent="0.2">
      <c r="B13" s="46" t="s">
        <v>474</v>
      </c>
      <c r="D13" s="102">
        <f t="shared" ref="D13:H13" si="3">D9+D12</f>
        <v>4257903.24</v>
      </c>
      <c r="E13" s="102">
        <f t="shared" si="3"/>
        <v>2938695.0900000003</v>
      </c>
      <c r="F13" s="102">
        <f t="shared" si="3"/>
        <v>1710834.2700000003</v>
      </c>
      <c r="G13" s="102">
        <f t="shared" si="3"/>
        <v>541121.20759743615</v>
      </c>
      <c r="H13" s="102">
        <f t="shared" si="3"/>
        <v>-425278.96953159466</v>
      </c>
    </row>
    <row r="14" spans="1:8" x14ac:dyDescent="0.2">
      <c r="C14" s="167"/>
      <c r="F14" s="64"/>
      <c r="G14" s="64"/>
      <c r="H14" s="64"/>
    </row>
    <row r="15" spans="1:8" x14ac:dyDescent="0.2">
      <c r="A15" s="1" t="s">
        <v>475</v>
      </c>
      <c r="C15" s="167">
        <v>18237421</v>
      </c>
      <c r="F15" s="64"/>
      <c r="G15" s="64"/>
      <c r="H15" s="64"/>
    </row>
    <row r="16" spans="1:8" x14ac:dyDescent="0.2">
      <c r="B16" s="46" t="s">
        <v>470</v>
      </c>
      <c r="C16" s="167">
        <v>25400871</v>
      </c>
      <c r="D16" s="253">
        <v>0</v>
      </c>
      <c r="E16" s="102">
        <f t="shared" ref="E16:H16" si="4">D21</f>
        <v>-154152.79999999999</v>
      </c>
      <c r="F16" s="102">
        <f t="shared" si="4"/>
        <v>1144641.3506709996</v>
      </c>
      <c r="G16" s="102">
        <f t="shared" si="4"/>
        <v>848172.17067099968</v>
      </c>
      <c r="H16" s="102">
        <f t="shared" si="4"/>
        <v>523304.4644812824</v>
      </c>
    </row>
    <row r="17" spans="1:8" x14ac:dyDescent="0.2">
      <c r="B17" s="259" t="s">
        <v>471</v>
      </c>
      <c r="C17" s="167"/>
      <c r="D17" s="102"/>
      <c r="E17" s="102"/>
      <c r="F17" s="102"/>
      <c r="G17" s="102"/>
      <c r="H17" s="102"/>
    </row>
    <row r="18" spans="1:8" x14ac:dyDescent="0.2">
      <c r="B18" s="259" t="s">
        <v>476</v>
      </c>
      <c r="C18" s="167"/>
      <c r="D18" s="102"/>
      <c r="E18" s="262">
        <f>'One Time NonRes Alloc 2017'!E18</f>
        <v>1629651.5506709998</v>
      </c>
      <c r="F18" s="102"/>
      <c r="G18" s="102"/>
      <c r="H18" s="102"/>
    </row>
    <row r="19" spans="1:8" x14ac:dyDescent="0.2">
      <c r="B19" s="259" t="s">
        <v>472</v>
      </c>
      <c r="D19" s="442">
        <v>-154152.79999999999</v>
      </c>
      <c r="E19" s="442">
        <v>-330857.40000000002</v>
      </c>
      <c r="F19" s="442">
        <v>-296469.18</v>
      </c>
      <c r="G19" s="260">
        <f>-'Amort Estimate'!D24</f>
        <v>-324867.70618971728</v>
      </c>
      <c r="H19" s="260">
        <f>-'Amort Estimate'!E24</f>
        <v>-291843.9413075482</v>
      </c>
    </row>
    <row r="20" spans="1:8" x14ac:dyDescent="0.2">
      <c r="B20" s="46" t="s">
        <v>473</v>
      </c>
      <c r="D20" s="261">
        <f t="shared" ref="D20:H20" si="5">SUM(D17:D19)</f>
        <v>-154152.79999999999</v>
      </c>
      <c r="E20" s="261">
        <f t="shared" si="5"/>
        <v>1298794.1506709997</v>
      </c>
      <c r="F20" s="261">
        <f t="shared" si="5"/>
        <v>-296469.18</v>
      </c>
      <c r="G20" s="261">
        <f t="shared" si="5"/>
        <v>-324867.70618971728</v>
      </c>
      <c r="H20" s="261">
        <f t="shared" si="5"/>
        <v>-291843.9413075482</v>
      </c>
    </row>
    <row r="21" spans="1:8" x14ac:dyDescent="0.2">
      <c r="B21" s="46" t="s">
        <v>474</v>
      </c>
      <c r="D21" s="102">
        <f t="shared" ref="D21:H21" si="6">D16+D20</f>
        <v>-154152.79999999999</v>
      </c>
      <c r="E21" s="102">
        <f t="shared" si="6"/>
        <v>1144641.3506709996</v>
      </c>
      <c r="F21" s="102">
        <f t="shared" si="6"/>
        <v>848172.17067099968</v>
      </c>
      <c r="G21" s="102">
        <f t="shared" si="6"/>
        <v>523304.4644812824</v>
      </c>
      <c r="H21" s="102">
        <f t="shared" si="6"/>
        <v>231460.5231737342</v>
      </c>
    </row>
    <row r="22" spans="1:8" x14ac:dyDescent="0.2">
      <c r="D22" s="102"/>
      <c r="E22" s="102"/>
      <c r="F22" s="102"/>
      <c r="G22" s="102"/>
      <c r="H22" s="102"/>
    </row>
    <row r="23" spans="1:8" x14ac:dyDescent="0.2">
      <c r="A23" s="1" t="s">
        <v>477</v>
      </c>
      <c r="C23" s="167">
        <v>18237431</v>
      </c>
      <c r="D23" s="102"/>
      <c r="E23" s="102"/>
      <c r="F23" s="102"/>
      <c r="G23" s="102"/>
      <c r="H23" s="102"/>
    </row>
    <row r="24" spans="1:8" x14ac:dyDescent="0.2">
      <c r="B24" s="46" t="s">
        <v>470</v>
      </c>
      <c r="C24" s="167">
        <v>25400861</v>
      </c>
      <c r="D24" s="253">
        <v>0</v>
      </c>
      <c r="E24" s="102">
        <f t="shared" ref="E24:H24" si="7">D29</f>
        <v>-152267.75</v>
      </c>
      <c r="F24" s="102">
        <f t="shared" si="7"/>
        <v>1240435.3544160002</v>
      </c>
      <c r="G24" s="102">
        <f t="shared" si="7"/>
        <v>900983.93441600027</v>
      </c>
      <c r="H24" s="102">
        <f t="shared" si="7"/>
        <v>558122.93547662254</v>
      </c>
    </row>
    <row r="25" spans="1:8" x14ac:dyDescent="0.2">
      <c r="B25" s="259" t="s">
        <v>471</v>
      </c>
      <c r="C25" s="263"/>
      <c r="D25" s="102"/>
      <c r="E25" s="102"/>
      <c r="F25" s="102"/>
      <c r="G25" s="102"/>
      <c r="H25" s="102"/>
    </row>
    <row r="26" spans="1:8" x14ac:dyDescent="0.2">
      <c r="B26" s="259" t="s">
        <v>476</v>
      </c>
      <c r="C26" s="263"/>
      <c r="D26" s="102"/>
      <c r="E26" s="262">
        <f>'One Time NonRes Alloc 2017'!F18</f>
        <v>1745677.2044160001</v>
      </c>
      <c r="F26" s="102"/>
      <c r="G26" s="102"/>
      <c r="H26" s="102"/>
    </row>
    <row r="27" spans="1:8" x14ac:dyDescent="0.2">
      <c r="B27" s="259" t="s">
        <v>472</v>
      </c>
      <c r="D27" s="442">
        <v>-152267.75</v>
      </c>
      <c r="E27" s="442">
        <v>-352974.1</v>
      </c>
      <c r="F27" s="442">
        <v>-339451.42</v>
      </c>
      <c r="G27" s="260">
        <f>-'Amort Estimate'!D33</f>
        <v>-342860.99893937772</v>
      </c>
      <c r="H27" s="260">
        <f>-'Amort Estimate'!E33</f>
        <v>-311013.24560432252</v>
      </c>
    </row>
    <row r="28" spans="1:8" x14ac:dyDescent="0.2">
      <c r="B28" s="46" t="s">
        <v>473</v>
      </c>
      <c r="D28" s="261">
        <f t="shared" ref="D28:H28" si="8">SUM(D25:D27)</f>
        <v>-152267.75</v>
      </c>
      <c r="E28" s="261">
        <f t="shared" si="8"/>
        <v>1392703.1044160002</v>
      </c>
      <c r="F28" s="261">
        <f t="shared" si="8"/>
        <v>-339451.42</v>
      </c>
      <c r="G28" s="261">
        <f t="shared" si="8"/>
        <v>-342860.99893937772</v>
      </c>
      <c r="H28" s="261">
        <f t="shared" si="8"/>
        <v>-311013.24560432252</v>
      </c>
    </row>
    <row r="29" spans="1:8" x14ac:dyDescent="0.2">
      <c r="B29" s="46" t="s">
        <v>474</v>
      </c>
      <c r="D29" s="102">
        <f t="shared" ref="D29:H29" si="9">D24+D28</f>
        <v>-152267.75</v>
      </c>
      <c r="E29" s="102">
        <f t="shared" si="9"/>
        <v>1240435.3544160002</v>
      </c>
      <c r="F29" s="102">
        <f t="shared" si="9"/>
        <v>900983.93441600027</v>
      </c>
      <c r="G29" s="102">
        <f t="shared" si="9"/>
        <v>558122.93547662254</v>
      </c>
      <c r="H29" s="102">
        <f t="shared" si="9"/>
        <v>247109.68987230002</v>
      </c>
    </row>
    <row r="30" spans="1:8" x14ac:dyDescent="0.2">
      <c r="D30" s="102"/>
      <c r="E30" s="102"/>
      <c r="F30" s="102"/>
      <c r="G30" s="102"/>
      <c r="H30" s="102"/>
    </row>
    <row r="31" spans="1:8" x14ac:dyDescent="0.2">
      <c r="A31" s="1" t="s">
        <v>478</v>
      </c>
      <c r="C31" s="167">
        <v>18237441</v>
      </c>
      <c r="D31" s="102"/>
      <c r="E31" s="102"/>
      <c r="F31" s="102"/>
      <c r="G31" s="102"/>
      <c r="H31" s="102"/>
    </row>
    <row r="32" spans="1:8" x14ac:dyDescent="0.2">
      <c r="B32" s="46" t="s">
        <v>470</v>
      </c>
      <c r="C32" s="167">
        <v>25400841</v>
      </c>
      <c r="D32" s="253">
        <v>0</v>
      </c>
      <c r="E32" s="102">
        <f t="shared" ref="E32:H32" si="10">D37</f>
        <v>-23482.89</v>
      </c>
      <c r="F32" s="102">
        <f t="shared" si="10"/>
        <v>259504.88231000002</v>
      </c>
      <c r="G32" s="102">
        <f t="shared" si="10"/>
        <v>208583.38231000002</v>
      </c>
      <c r="H32" s="102">
        <f t="shared" si="10"/>
        <v>140680.218139423</v>
      </c>
    </row>
    <row r="33" spans="1:8" x14ac:dyDescent="0.2">
      <c r="B33" s="259" t="s">
        <v>471</v>
      </c>
      <c r="C33" s="263"/>
      <c r="D33" s="102"/>
      <c r="E33" s="102"/>
      <c r="F33" s="102"/>
      <c r="G33" s="102"/>
      <c r="H33" s="102"/>
    </row>
    <row r="34" spans="1:8" x14ac:dyDescent="0.2">
      <c r="B34" s="259" t="s">
        <v>476</v>
      </c>
      <c r="C34" s="263"/>
      <c r="D34" s="102"/>
      <c r="E34" s="262">
        <f>'One Time NonRes Alloc 2017'!G18</f>
        <v>337899.27231000003</v>
      </c>
      <c r="F34" s="102"/>
      <c r="G34" s="102"/>
      <c r="H34" s="102"/>
    </row>
    <row r="35" spans="1:8" x14ac:dyDescent="0.2">
      <c r="B35" s="259" t="s">
        <v>472</v>
      </c>
      <c r="D35" s="442">
        <v>-23482.89</v>
      </c>
      <c r="E35" s="442">
        <v>-54911.5</v>
      </c>
      <c r="F35" s="442">
        <v>-50921.5</v>
      </c>
      <c r="G35" s="260">
        <f>-'Amort Estimate'!D42</f>
        <v>-67903.164170577002</v>
      </c>
      <c r="H35" s="260">
        <f>-'Amort Estimate'!E42</f>
        <v>-63901.196931691615</v>
      </c>
    </row>
    <row r="36" spans="1:8" x14ac:dyDescent="0.2">
      <c r="B36" s="46" t="s">
        <v>473</v>
      </c>
      <c r="D36" s="261">
        <f t="shared" ref="D36:H36" si="11">SUM(D33:D35)</f>
        <v>-23482.89</v>
      </c>
      <c r="E36" s="261">
        <f t="shared" si="11"/>
        <v>282987.77231000003</v>
      </c>
      <c r="F36" s="261">
        <f t="shared" si="11"/>
        <v>-50921.5</v>
      </c>
      <c r="G36" s="261">
        <f t="shared" si="11"/>
        <v>-67903.164170577002</v>
      </c>
      <c r="H36" s="261">
        <f t="shared" si="11"/>
        <v>-63901.196931691615</v>
      </c>
    </row>
    <row r="37" spans="1:8" x14ac:dyDescent="0.2">
      <c r="B37" s="46" t="s">
        <v>474</v>
      </c>
      <c r="D37" s="102">
        <f t="shared" ref="D37:H37" si="12">D32+D36</f>
        <v>-23482.89</v>
      </c>
      <c r="E37" s="102">
        <f t="shared" si="12"/>
        <v>259504.88231000002</v>
      </c>
      <c r="F37" s="102">
        <f t="shared" si="12"/>
        <v>208583.38231000002</v>
      </c>
      <c r="G37" s="102">
        <f t="shared" si="12"/>
        <v>140680.218139423</v>
      </c>
      <c r="H37" s="102">
        <f t="shared" si="12"/>
        <v>76779.021207731392</v>
      </c>
    </row>
    <row r="38" spans="1:8" x14ac:dyDescent="0.2">
      <c r="D38" s="102"/>
      <c r="E38" s="102"/>
      <c r="F38" s="102"/>
      <c r="G38" s="102"/>
      <c r="H38" s="102"/>
    </row>
    <row r="39" spans="1:8" x14ac:dyDescent="0.2">
      <c r="A39" s="1" t="s">
        <v>479</v>
      </c>
      <c r="C39" s="67">
        <v>18239101</v>
      </c>
      <c r="F39" s="64"/>
      <c r="G39" s="64"/>
      <c r="H39" s="64"/>
    </row>
    <row r="40" spans="1:8" x14ac:dyDescent="0.2">
      <c r="B40" s="46" t="s">
        <v>470</v>
      </c>
      <c r="C40" s="67">
        <v>25400471</v>
      </c>
      <c r="D40" s="253">
        <v>-318387.59999999998</v>
      </c>
      <c r="E40" s="102">
        <f t="shared" ref="E40:H40" si="13">D44</f>
        <v>-255908.14999999997</v>
      </c>
      <c r="F40" s="102">
        <f t="shared" si="13"/>
        <v>-195081.91999999995</v>
      </c>
      <c r="G40" s="102">
        <f t="shared" si="13"/>
        <v>-131774.89999999997</v>
      </c>
      <c r="H40" s="102">
        <f t="shared" si="13"/>
        <v>-71910.782721859956</v>
      </c>
    </row>
    <row r="41" spans="1:8" x14ac:dyDescent="0.2">
      <c r="B41" s="259" t="s">
        <v>471</v>
      </c>
      <c r="C41" s="167"/>
      <c r="D41" s="102"/>
      <c r="E41" s="102"/>
      <c r="F41" s="102"/>
      <c r="G41" s="102"/>
      <c r="H41" s="102"/>
    </row>
    <row r="42" spans="1:8" x14ac:dyDescent="0.2">
      <c r="B42" s="259" t="s">
        <v>472</v>
      </c>
      <c r="D42" s="442">
        <v>62479.450000000004</v>
      </c>
      <c r="E42" s="442">
        <v>60826.23</v>
      </c>
      <c r="F42" s="442">
        <v>63307.02</v>
      </c>
      <c r="G42" s="260">
        <f>-'Amort Estimate'!D51</f>
        <v>59864.117278140002</v>
      </c>
      <c r="H42" s="260">
        <f>-'Amort Estimate'!E51</f>
        <v>60606.940262700002</v>
      </c>
    </row>
    <row r="43" spans="1:8" x14ac:dyDescent="0.2">
      <c r="B43" s="46" t="s">
        <v>473</v>
      </c>
      <c r="D43" s="261">
        <f t="shared" ref="D43:H43" si="14">SUM(D41:D42)</f>
        <v>62479.450000000004</v>
      </c>
      <c r="E43" s="261">
        <f t="shared" si="14"/>
        <v>60826.23</v>
      </c>
      <c r="F43" s="261">
        <f t="shared" si="14"/>
        <v>63307.02</v>
      </c>
      <c r="G43" s="261">
        <f t="shared" si="14"/>
        <v>59864.117278140002</v>
      </c>
      <c r="H43" s="261">
        <f t="shared" si="14"/>
        <v>60606.940262700002</v>
      </c>
    </row>
    <row r="44" spans="1:8" x14ac:dyDescent="0.2">
      <c r="B44" s="46" t="s">
        <v>474</v>
      </c>
      <c r="D44" s="102">
        <f t="shared" ref="D44:H44" si="15">D40+D43</f>
        <v>-255908.14999999997</v>
      </c>
      <c r="E44" s="102">
        <f t="shared" si="15"/>
        <v>-195081.91999999995</v>
      </c>
      <c r="F44" s="102">
        <f t="shared" si="15"/>
        <v>-131774.89999999997</v>
      </c>
      <c r="G44" s="102">
        <f t="shared" si="15"/>
        <v>-71910.782721859956</v>
      </c>
      <c r="H44" s="102">
        <f t="shared" si="15"/>
        <v>-11303.842459159954</v>
      </c>
    </row>
    <row r="45" spans="1:8" x14ac:dyDescent="0.2">
      <c r="D45" s="102"/>
      <c r="E45" s="102"/>
      <c r="F45" s="102"/>
      <c r="G45" s="102"/>
      <c r="H45" s="102"/>
    </row>
    <row r="46" spans="1:8" x14ac:dyDescent="0.2">
      <c r="A46" s="1" t="s">
        <v>480</v>
      </c>
      <c r="C46" s="67">
        <v>18239111</v>
      </c>
      <c r="F46" s="64"/>
      <c r="G46" s="64"/>
      <c r="H46" s="64"/>
    </row>
    <row r="47" spans="1:8" x14ac:dyDescent="0.2">
      <c r="B47" s="46" t="s">
        <v>470</v>
      </c>
      <c r="C47" s="67">
        <v>25400481</v>
      </c>
      <c r="D47" s="253">
        <v>-146353.32</v>
      </c>
      <c r="E47" s="102">
        <f t="shared" ref="E47:H47" si="16">D51</f>
        <v>-135995.30000000002</v>
      </c>
      <c r="F47" s="102">
        <f t="shared" si="16"/>
        <v>-125447.54000000002</v>
      </c>
      <c r="G47" s="102">
        <f t="shared" si="16"/>
        <v>-114880.48000000003</v>
      </c>
      <c r="H47" s="102">
        <f t="shared" si="16"/>
        <v>-104391.96726832002</v>
      </c>
    </row>
    <row r="48" spans="1:8" x14ac:dyDescent="0.2">
      <c r="B48" s="259" t="s">
        <v>471</v>
      </c>
      <c r="C48" s="167"/>
      <c r="D48" s="102"/>
      <c r="E48" s="102"/>
      <c r="F48" s="102"/>
      <c r="G48" s="102"/>
      <c r="H48" s="102"/>
    </row>
    <row r="49" spans="1:8" x14ac:dyDescent="0.2">
      <c r="B49" s="259" t="s">
        <v>472</v>
      </c>
      <c r="D49" s="442">
        <v>10358.02</v>
      </c>
      <c r="E49" s="442">
        <v>10547.76</v>
      </c>
      <c r="F49" s="442">
        <v>10567.06</v>
      </c>
      <c r="G49" s="260">
        <f>-'Amort Estimate'!D60</f>
        <v>10488.512731680001</v>
      </c>
      <c r="H49" s="260">
        <f>-'Amort Estimate'!E60</f>
        <v>10447.636324560001</v>
      </c>
    </row>
    <row r="50" spans="1:8" x14ac:dyDescent="0.2">
      <c r="B50" s="46" t="s">
        <v>473</v>
      </c>
      <c r="D50" s="261">
        <f t="shared" ref="D50:H50" si="17">SUM(D48:D49)</f>
        <v>10358.02</v>
      </c>
      <c r="E50" s="261">
        <f t="shared" si="17"/>
        <v>10547.76</v>
      </c>
      <c r="F50" s="261">
        <f t="shared" si="17"/>
        <v>10567.06</v>
      </c>
      <c r="G50" s="261">
        <f t="shared" si="17"/>
        <v>10488.512731680001</v>
      </c>
      <c r="H50" s="261">
        <f t="shared" si="17"/>
        <v>10447.636324560001</v>
      </c>
    </row>
    <row r="51" spans="1:8" x14ac:dyDescent="0.2">
      <c r="B51" s="46" t="s">
        <v>474</v>
      </c>
      <c r="D51" s="102">
        <f t="shared" ref="D51:H51" si="18">D47+D50</f>
        <v>-135995.30000000002</v>
      </c>
      <c r="E51" s="102">
        <f t="shared" si="18"/>
        <v>-125447.54000000002</v>
      </c>
      <c r="F51" s="102">
        <f t="shared" si="18"/>
        <v>-114880.48000000003</v>
      </c>
      <c r="G51" s="102">
        <f t="shared" si="18"/>
        <v>-104391.96726832002</v>
      </c>
      <c r="H51" s="102">
        <f t="shared" si="18"/>
        <v>-93944.330943760026</v>
      </c>
    </row>
    <row r="52" spans="1:8" x14ac:dyDescent="0.2">
      <c r="D52" s="102"/>
      <c r="E52" s="102"/>
      <c r="F52" s="102"/>
      <c r="G52" s="102"/>
      <c r="H52" s="102"/>
    </row>
    <row r="53" spans="1:8" x14ac:dyDescent="0.2">
      <c r="A53" s="1" t="s">
        <v>481</v>
      </c>
      <c r="C53" s="67">
        <v>18237411</v>
      </c>
      <c r="F53" s="64"/>
      <c r="G53" s="64"/>
      <c r="H53" s="64"/>
    </row>
    <row r="54" spans="1:8" x14ac:dyDescent="0.2">
      <c r="B54" s="46" t="s">
        <v>470</v>
      </c>
      <c r="C54" s="67">
        <v>25400911</v>
      </c>
      <c r="D54" s="253">
        <v>0</v>
      </c>
      <c r="E54" s="102">
        <f t="shared" ref="E54:H54" si="19">D59</f>
        <v>-24025.48</v>
      </c>
      <c r="F54" s="102">
        <f t="shared" si="19"/>
        <v>268047.02260300005</v>
      </c>
      <c r="G54" s="102">
        <f t="shared" si="19"/>
        <v>146853.39260300004</v>
      </c>
      <c r="H54" s="102">
        <f t="shared" si="19"/>
        <v>77851.933368632919</v>
      </c>
    </row>
    <row r="55" spans="1:8" x14ac:dyDescent="0.2">
      <c r="B55" s="259" t="s">
        <v>471</v>
      </c>
      <c r="C55" s="167"/>
      <c r="D55" s="102"/>
      <c r="E55" s="102"/>
      <c r="F55" s="102"/>
      <c r="G55" s="102"/>
      <c r="H55" s="102"/>
    </row>
    <row r="56" spans="1:8" x14ac:dyDescent="0.2">
      <c r="B56" s="259" t="s">
        <v>476</v>
      </c>
      <c r="C56" s="167"/>
      <c r="D56" s="102"/>
      <c r="E56" s="262">
        <f>'One Time NonRes Alloc 2017'!H18</f>
        <v>357847.54260300001</v>
      </c>
      <c r="F56" s="102"/>
      <c r="G56" s="102"/>
      <c r="H56" s="102"/>
    </row>
    <row r="57" spans="1:8" x14ac:dyDescent="0.2">
      <c r="B57" s="259" t="s">
        <v>472</v>
      </c>
      <c r="D57" s="442">
        <v>-24025.48</v>
      </c>
      <c r="E57" s="442">
        <v>-65775.039999999994</v>
      </c>
      <c r="F57" s="442">
        <v>-121193.63</v>
      </c>
      <c r="G57" s="260">
        <f>-'Amort Estimate'!D69</f>
        <v>-69001.459234367125</v>
      </c>
      <c r="H57" s="260">
        <f>-'Amort Estimate'!E69</f>
        <v>-67206.682079241466</v>
      </c>
    </row>
    <row r="58" spans="1:8" x14ac:dyDescent="0.2">
      <c r="B58" s="46" t="s">
        <v>473</v>
      </c>
      <c r="D58" s="261">
        <f t="shared" ref="D58:H58" si="20">SUM(D55:D57)</f>
        <v>-24025.48</v>
      </c>
      <c r="E58" s="261">
        <f t="shared" si="20"/>
        <v>292072.50260300003</v>
      </c>
      <c r="F58" s="261">
        <f t="shared" si="20"/>
        <v>-121193.63</v>
      </c>
      <c r="G58" s="261">
        <f t="shared" si="20"/>
        <v>-69001.459234367125</v>
      </c>
      <c r="H58" s="261">
        <f t="shared" si="20"/>
        <v>-67206.682079241466</v>
      </c>
    </row>
    <row r="59" spans="1:8" x14ac:dyDescent="0.2">
      <c r="B59" s="46" t="s">
        <v>474</v>
      </c>
      <c r="D59" s="102">
        <f t="shared" ref="D59:H59" si="21">D54+D58</f>
        <v>-24025.48</v>
      </c>
      <c r="E59" s="102">
        <f t="shared" si="21"/>
        <v>268047.02260300005</v>
      </c>
      <c r="F59" s="102">
        <f t="shared" si="21"/>
        <v>146853.39260300004</v>
      </c>
      <c r="G59" s="102">
        <f t="shared" si="21"/>
        <v>77851.933368632919</v>
      </c>
      <c r="H59" s="102">
        <f t="shared" si="21"/>
        <v>10645.251289391454</v>
      </c>
    </row>
    <row r="60" spans="1:8" x14ac:dyDescent="0.2">
      <c r="D60" s="102"/>
      <c r="E60" s="102"/>
      <c r="F60" s="102"/>
      <c r="G60" s="102"/>
      <c r="H60" s="102"/>
    </row>
    <row r="61" spans="1:8" x14ac:dyDescent="0.2">
      <c r="A61" s="215" t="s">
        <v>482</v>
      </c>
      <c r="C61" s="167">
        <v>18238141</v>
      </c>
      <c r="F61" s="64"/>
      <c r="G61" s="64"/>
      <c r="H61" s="64"/>
    </row>
    <row r="62" spans="1:8" x14ac:dyDescent="0.2">
      <c r="B62" s="46" t="s">
        <v>470</v>
      </c>
      <c r="C62" s="167">
        <v>25400341</v>
      </c>
      <c r="D62" s="253">
        <v>-2685103.97</v>
      </c>
      <c r="E62" s="102">
        <f t="shared" ref="E62:H62" si="22">D66</f>
        <v>-5571892.9399999995</v>
      </c>
      <c r="F62" s="102">
        <f t="shared" si="22"/>
        <v>-2236315.6899999995</v>
      </c>
      <c r="G62" s="102">
        <f t="shared" si="22"/>
        <v>-2236315.6899999995</v>
      </c>
      <c r="H62" s="102">
        <f t="shared" si="22"/>
        <v>-2236315.6899999995</v>
      </c>
    </row>
    <row r="63" spans="1:8" s="264" customFormat="1" x14ac:dyDescent="0.2">
      <c r="B63" s="259" t="s">
        <v>471</v>
      </c>
      <c r="C63" s="265"/>
      <c r="D63" s="266">
        <v>0</v>
      </c>
      <c r="E63" s="266">
        <v>0</v>
      </c>
      <c r="F63" s="266">
        <v>0</v>
      </c>
      <c r="G63" s="266">
        <v>0</v>
      </c>
      <c r="H63" s="266">
        <v>0</v>
      </c>
    </row>
    <row r="64" spans="1:8" s="259" customFormat="1" x14ac:dyDescent="0.2">
      <c r="B64" s="259" t="s">
        <v>483</v>
      </c>
      <c r="C64" s="267"/>
      <c r="D64" s="442">
        <v>-2886788.9699999997</v>
      </c>
      <c r="E64" s="442">
        <v>3335577.25</v>
      </c>
      <c r="F64" s="260">
        <v>0</v>
      </c>
      <c r="G64" s="260">
        <v>0</v>
      </c>
      <c r="H64" s="260">
        <v>0</v>
      </c>
    </row>
    <row r="65" spans="1:8" x14ac:dyDescent="0.2">
      <c r="B65" s="46" t="s">
        <v>473</v>
      </c>
      <c r="D65" s="261">
        <f t="shared" ref="D65:H65" si="23">SUM(D63:D64)</f>
        <v>-2886788.9699999997</v>
      </c>
      <c r="E65" s="261">
        <f t="shared" si="23"/>
        <v>3335577.25</v>
      </c>
      <c r="F65" s="261">
        <f t="shared" si="23"/>
        <v>0</v>
      </c>
      <c r="G65" s="261">
        <f t="shared" si="23"/>
        <v>0</v>
      </c>
      <c r="H65" s="261">
        <f t="shared" si="23"/>
        <v>0</v>
      </c>
    </row>
    <row r="66" spans="1:8" x14ac:dyDescent="0.2">
      <c r="B66" s="46" t="s">
        <v>474</v>
      </c>
      <c r="D66" s="102">
        <f t="shared" ref="D66:H66" si="24">D62+D65</f>
        <v>-5571892.9399999995</v>
      </c>
      <c r="E66" s="102">
        <f t="shared" si="24"/>
        <v>-2236315.6899999995</v>
      </c>
      <c r="F66" s="102">
        <f t="shared" si="24"/>
        <v>-2236315.6899999995</v>
      </c>
      <c r="G66" s="102">
        <f t="shared" si="24"/>
        <v>-2236315.6899999995</v>
      </c>
      <c r="H66" s="102">
        <f t="shared" si="24"/>
        <v>-2236315.6899999995</v>
      </c>
    </row>
    <row r="67" spans="1:8" x14ac:dyDescent="0.2">
      <c r="F67" s="64"/>
      <c r="G67" s="64"/>
      <c r="H67" s="64"/>
    </row>
    <row r="68" spans="1:8" x14ac:dyDescent="0.2">
      <c r="A68" s="215" t="s">
        <v>484</v>
      </c>
      <c r="C68" s="167">
        <v>18237201</v>
      </c>
      <c r="F68" s="64"/>
      <c r="G68" s="64"/>
      <c r="H68" s="64"/>
    </row>
    <row r="69" spans="1:8" x14ac:dyDescent="0.2">
      <c r="B69" s="46" t="s">
        <v>470</v>
      </c>
      <c r="C69" s="167">
        <v>25400601</v>
      </c>
      <c r="D69" s="253">
        <v>0</v>
      </c>
      <c r="E69" s="102">
        <f>D74</f>
        <v>-152462.81</v>
      </c>
      <c r="F69" s="102">
        <f>E74</f>
        <v>5310509.8987190006</v>
      </c>
      <c r="G69" s="102">
        <f>F74</f>
        <v>5310509.8987190006</v>
      </c>
      <c r="H69" s="102">
        <f t="shared" ref="H69" si="25">G74</f>
        <v>5310509.8987190006</v>
      </c>
    </row>
    <row r="70" spans="1:8" s="264" customFormat="1" x14ac:dyDescent="0.2">
      <c r="B70" s="259" t="s">
        <v>471</v>
      </c>
      <c r="C70" s="259"/>
      <c r="D70" s="266">
        <v>0</v>
      </c>
      <c r="E70" s="266">
        <v>0</v>
      </c>
      <c r="F70" s="266">
        <v>0</v>
      </c>
      <c r="G70" s="266">
        <v>0</v>
      </c>
      <c r="H70" s="266">
        <v>0</v>
      </c>
    </row>
    <row r="71" spans="1:8" s="264" customFormat="1" x14ac:dyDescent="0.2">
      <c r="B71" s="259" t="s">
        <v>485</v>
      </c>
      <c r="C71" s="259"/>
      <c r="D71" s="266"/>
      <c r="E71" s="260">
        <f>'One Time NonRes Alloc 2017'!E22</f>
        <v>4602111.2887190003</v>
      </c>
      <c r="F71" s="266"/>
      <c r="G71" s="266"/>
      <c r="H71" s="266"/>
    </row>
    <row r="72" spans="1:8" s="259" customFormat="1" x14ac:dyDescent="0.2">
      <c r="B72" s="259" t="s">
        <v>483</v>
      </c>
      <c r="C72" s="267"/>
      <c r="D72" s="442">
        <v>-152462.81</v>
      </c>
      <c r="E72" s="442">
        <v>860861.42</v>
      </c>
      <c r="F72" s="260">
        <v>0</v>
      </c>
      <c r="G72" s="260">
        <v>0</v>
      </c>
      <c r="H72" s="260">
        <v>0</v>
      </c>
    </row>
    <row r="73" spans="1:8" x14ac:dyDescent="0.2">
      <c r="B73" s="46" t="s">
        <v>473</v>
      </c>
      <c r="D73" s="261">
        <f t="shared" ref="D73:H73" si="26">SUM(D70:D72)</f>
        <v>-152462.81</v>
      </c>
      <c r="E73" s="261">
        <f t="shared" si="26"/>
        <v>5462972.7087190002</v>
      </c>
      <c r="F73" s="261">
        <f t="shared" si="26"/>
        <v>0</v>
      </c>
      <c r="G73" s="261">
        <f t="shared" si="26"/>
        <v>0</v>
      </c>
      <c r="H73" s="261">
        <f t="shared" si="26"/>
        <v>0</v>
      </c>
    </row>
    <row r="74" spans="1:8" x14ac:dyDescent="0.2">
      <c r="B74" s="46" t="s">
        <v>474</v>
      </c>
      <c r="D74" s="102">
        <f t="shared" ref="D74:H74" si="27">D69+D73</f>
        <v>-152462.81</v>
      </c>
      <c r="E74" s="102">
        <f t="shared" si="27"/>
        <v>5310509.8987190006</v>
      </c>
      <c r="F74" s="102">
        <f t="shared" si="27"/>
        <v>5310509.8987190006</v>
      </c>
      <c r="G74" s="102">
        <f t="shared" si="27"/>
        <v>5310509.8987190006</v>
      </c>
      <c r="H74" s="102">
        <f t="shared" si="27"/>
        <v>5310509.8987190006</v>
      </c>
    </row>
    <row r="75" spans="1:8" x14ac:dyDescent="0.2">
      <c r="F75" s="64"/>
      <c r="G75" s="64"/>
      <c r="H75" s="64"/>
    </row>
    <row r="76" spans="1:8" x14ac:dyDescent="0.2">
      <c r="A76" s="215" t="s">
        <v>486</v>
      </c>
      <c r="C76" s="167">
        <v>18237211</v>
      </c>
      <c r="F76" s="64"/>
      <c r="G76" s="64"/>
      <c r="H76" s="64"/>
    </row>
    <row r="77" spans="1:8" x14ac:dyDescent="0.2">
      <c r="B77" s="46" t="s">
        <v>470</v>
      </c>
      <c r="C77" s="167">
        <v>25400611</v>
      </c>
      <c r="D77" s="253">
        <v>0</v>
      </c>
      <c r="E77" s="102">
        <f t="shared" ref="E77:H77" si="28">D82</f>
        <v>23158.12</v>
      </c>
      <c r="F77" s="102">
        <f t="shared" si="28"/>
        <v>4866591.7570240004</v>
      </c>
      <c r="G77" s="102">
        <f t="shared" si="28"/>
        <v>4866591.7570240004</v>
      </c>
      <c r="H77" s="102">
        <f t="shared" si="28"/>
        <v>4866591.7570240004</v>
      </c>
    </row>
    <row r="78" spans="1:8" x14ac:dyDescent="0.2">
      <c r="A78" s="264"/>
      <c r="B78" s="259" t="s">
        <v>471</v>
      </c>
      <c r="C78" s="259"/>
      <c r="D78" s="266">
        <v>0</v>
      </c>
      <c r="E78" s="266">
        <v>0</v>
      </c>
      <c r="F78" s="266">
        <v>0</v>
      </c>
      <c r="G78" s="266">
        <v>0</v>
      </c>
      <c r="H78" s="266">
        <v>0</v>
      </c>
    </row>
    <row r="79" spans="1:8" x14ac:dyDescent="0.2">
      <c r="A79" s="264"/>
      <c r="B79" s="259" t="s">
        <v>485</v>
      </c>
      <c r="C79" s="259"/>
      <c r="D79" s="266"/>
      <c r="E79" s="260">
        <f>'One Time NonRes Alloc 2017'!F22</f>
        <v>4929765.9770240001</v>
      </c>
      <c r="F79" s="266"/>
      <c r="G79" s="266"/>
      <c r="H79" s="266"/>
    </row>
    <row r="80" spans="1:8" x14ac:dyDescent="0.2">
      <c r="A80" s="259"/>
      <c r="B80" s="259" t="s">
        <v>483</v>
      </c>
      <c r="C80" s="267"/>
      <c r="D80" s="442">
        <v>23158.12</v>
      </c>
      <c r="E80" s="442">
        <v>-86332.34</v>
      </c>
      <c r="F80" s="260">
        <v>0</v>
      </c>
      <c r="G80" s="260">
        <v>0</v>
      </c>
      <c r="H80" s="260">
        <v>0</v>
      </c>
    </row>
    <row r="81" spans="1:8" x14ac:dyDescent="0.2">
      <c r="B81" s="46" t="s">
        <v>473</v>
      </c>
      <c r="D81" s="261">
        <f t="shared" ref="D81:H81" si="29">SUM(D78:D80)</f>
        <v>23158.12</v>
      </c>
      <c r="E81" s="261">
        <f t="shared" si="29"/>
        <v>4843433.6370240003</v>
      </c>
      <c r="F81" s="261">
        <f t="shared" si="29"/>
        <v>0</v>
      </c>
      <c r="G81" s="261">
        <f t="shared" si="29"/>
        <v>0</v>
      </c>
      <c r="H81" s="261">
        <f t="shared" si="29"/>
        <v>0</v>
      </c>
    </row>
    <row r="82" spans="1:8" x14ac:dyDescent="0.2">
      <c r="B82" s="46" t="s">
        <v>474</v>
      </c>
      <c r="D82" s="102">
        <f t="shared" ref="D82:H82" si="30">D77+D81</f>
        <v>23158.12</v>
      </c>
      <c r="E82" s="102">
        <f t="shared" si="30"/>
        <v>4866591.7570240004</v>
      </c>
      <c r="F82" s="102">
        <f t="shared" si="30"/>
        <v>4866591.7570240004</v>
      </c>
      <c r="G82" s="102">
        <f t="shared" si="30"/>
        <v>4866591.7570240004</v>
      </c>
      <c r="H82" s="102">
        <f t="shared" si="30"/>
        <v>4866591.7570240004</v>
      </c>
    </row>
    <row r="83" spans="1:8" x14ac:dyDescent="0.2">
      <c r="F83" s="64"/>
      <c r="G83" s="64"/>
      <c r="H83" s="64"/>
    </row>
    <row r="84" spans="1:8" x14ac:dyDescent="0.2">
      <c r="A84" s="215" t="s">
        <v>487</v>
      </c>
      <c r="C84" s="167">
        <v>18237221</v>
      </c>
      <c r="F84" s="64"/>
      <c r="G84" s="64"/>
      <c r="H84" s="64"/>
    </row>
    <row r="85" spans="1:8" x14ac:dyDescent="0.2">
      <c r="B85" s="46" t="s">
        <v>470</v>
      </c>
      <c r="C85" s="167">
        <v>25400621</v>
      </c>
      <c r="D85" s="253">
        <v>0</v>
      </c>
      <c r="E85" s="102">
        <f t="shared" ref="E85:H85" si="31">D90</f>
        <v>94681.86</v>
      </c>
      <c r="F85" s="102">
        <f t="shared" si="31"/>
        <v>1296197.4555900001</v>
      </c>
      <c r="G85" s="102">
        <f t="shared" si="31"/>
        <v>1296197.4555900001</v>
      </c>
      <c r="H85" s="102">
        <f t="shared" si="31"/>
        <v>1296197.4555900001</v>
      </c>
    </row>
    <row r="86" spans="1:8" x14ac:dyDescent="0.2">
      <c r="A86" s="264"/>
      <c r="B86" s="259" t="s">
        <v>471</v>
      </c>
      <c r="C86" s="259"/>
      <c r="D86" s="266">
        <v>0</v>
      </c>
      <c r="E86" s="266">
        <v>0</v>
      </c>
      <c r="F86" s="266">
        <v>0</v>
      </c>
      <c r="G86" s="266">
        <v>0</v>
      </c>
      <c r="H86" s="266">
        <v>0</v>
      </c>
    </row>
    <row r="87" spans="1:8" x14ac:dyDescent="0.2">
      <c r="A87" s="264"/>
      <c r="B87" s="259" t="s">
        <v>485</v>
      </c>
      <c r="C87" s="259"/>
      <c r="D87" s="266"/>
      <c r="E87" s="260">
        <f>'One Time NonRes Alloc 2017'!G22</f>
        <v>954222.42559000012</v>
      </c>
      <c r="F87" s="266"/>
      <c r="G87" s="266"/>
      <c r="H87" s="266"/>
    </row>
    <row r="88" spans="1:8" x14ac:dyDescent="0.2">
      <c r="A88" s="259"/>
      <c r="B88" s="259" t="s">
        <v>483</v>
      </c>
      <c r="C88" s="267"/>
      <c r="D88" s="442">
        <v>94681.86</v>
      </c>
      <c r="E88" s="442">
        <v>247293.17</v>
      </c>
      <c r="F88" s="260">
        <v>0</v>
      </c>
      <c r="G88" s="260">
        <v>0</v>
      </c>
      <c r="H88" s="260">
        <v>0</v>
      </c>
    </row>
    <row r="89" spans="1:8" x14ac:dyDescent="0.2">
      <c r="B89" s="46" t="s">
        <v>473</v>
      </c>
      <c r="D89" s="261">
        <f t="shared" ref="D89:H89" si="32">SUM(D86:D88)</f>
        <v>94681.86</v>
      </c>
      <c r="E89" s="261">
        <f t="shared" si="32"/>
        <v>1201515.59559</v>
      </c>
      <c r="F89" s="261">
        <f t="shared" si="32"/>
        <v>0</v>
      </c>
      <c r="G89" s="261">
        <f t="shared" si="32"/>
        <v>0</v>
      </c>
      <c r="H89" s="261">
        <f t="shared" si="32"/>
        <v>0</v>
      </c>
    </row>
    <row r="90" spans="1:8" x14ac:dyDescent="0.2">
      <c r="B90" s="46" t="s">
        <v>474</v>
      </c>
      <c r="D90" s="102">
        <f t="shared" ref="D90:H90" si="33">D85+D89</f>
        <v>94681.86</v>
      </c>
      <c r="E90" s="102">
        <f t="shared" si="33"/>
        <v>1296197.4555900001</v>
      </c>
      <c r="F90" s="102">
        <f t="shared" si="33"/>
        <v>1296197.4555900001</v>
      </c>
      <c r="G90" s="102">
        <f t="shared" si="33"/>
        <v>1296197.4555900001</v>
      </c>
      <c r="H90" s="102">
        <f t="shared" si="33"/>
        <v>1296197.4555900001</v>
      </c>
    </row>
    <row r="91" spans="1:8" x14ac:dyDescent="0.2">
      <c r="F91" s="64"/>
      <c r="G91" s="64"/>
      <c r="H91" s="64"/>
    </row>
    <row r="92" spans="1:8" x14ac:dyDescent="0.2">
      <c r="A92" s="215" t="s">
        <v>488</v>
      </c>
      <c r="C92" s="67">
        <v>18238181</v>
      </c>
      <c r="F92" s="64"/>
      <c r="G92" s="64"/>
      <c r="H92" s="64"/>
    </row>
    <row r="93" spans="1:8" x14ac:dyDescent="0.2">
      <c r="B93" s="46" t="s">
        <v>470</v>
      </c>
      <c r="C93" s="67">
        <v>25400381</v>
      </c>
      <c r="D93" s="253">
        <v>-110665.89</v>
      </c>
      <c r="E93" s="102">
        <f>D97</f>
        <v>313287.1599999998</v>
      </c>
      <c r="F93" s="102">
        <f>E97</f>
        <v>230661.45999999979</v>
      </c>
      <c r="G93" s="102">
        <f>F97</f>
        <v>230661.45999999979</v>
      </c>
      <c r="H93" s="102">
        <f t="shared" ref="H93" si="34">G97</f>
        <v>230661.45999999979</v>
      </c>
    </row>
    <row r="94" spans="1:8" x14ac:dyDescent="0.2">
      <c r="A94" s="264"/>
      <c r="B94" s="259" t="s">
        <v>471</v>
      </c>
      <c r="C94" s="259"/>
      <c r="D94" s="266">
        <v>0</v>
      </c>
      <c r="E94" s="266">
        <v>0</v>
      </c>
      <c r="F94" s="266">
        <v>0</v>
      </c>
      <c r="G94" s="266">
        <v>0</v>
      </c>
      <c r="H94" s="266">
        <v>0</v>
      </c>
    </row>
    <row r="95" spans="1:8" x14ac:dyDescent="0.2">
      <c r="A95" s="259"/>
      <c r="B95" s="259" t="s">
        <v>483</v>
      </c>
      <c r="C95" s="267"/>
      <c r="D95" s="442">
        <v>423953.04999999981</v>
      </c>
      <c r="E95" s="442">
        <v>-82625.7</v>
      </c>
      <c r="F95" s="260">
        <v>0</v>
      </c>
      <c r="G95" s="260">
        <v>0</v>
      </c>
      <c r="H95" s="260">
        <v>0</v>
      </c>
    </row>
    <row r="96" spans="1:8" x14ac:dyDescent="0.2">
      <c r="B96" s="46" t="s">
        <v>473</v>
      </c>
      <c r="D96" s="261">
        <f t="shared" ref="D96:H96" si="35">SUM(D94:D95)</f>
        <v>423953.04999999981</v>
      </c>
      <c r="E96" s="261">
        <f t="shared" si="35"/>
        <v>-82625.7</v>
      </c>
      <c r="F96" s="261">
        <f t="shared" si="35"/>
        <v>0</v>
      </c>
      <c r="G96" s="261">
        <f t="shared" si="35"/>
        <v>0</v>
      </c>
      <c r="H96" s="261">
        <f t="shared" si="35"/>
        <v>0</v>
      </c>
    </row>
    <row r="97" spans="1:8" x14ac:dyDescent="0.2">
      <c r="B97" s="46" t="s">
        <v>474</v>
      </c>
      <c r="D97" s="102">
        <f t="shared" ref="D97:H97" si="36">D93+D96</f>
        <v>313287.1599999998</v>
      </c>
      <c r="E97" s="102">
        <f t="shared" si="36"/>
        <v>230661.45999999979</v>
      </c>
      <c r="F97" s="102">
        <f t="shared" si="36"/>
        <v>230661.45999999979</v>
      </c>
      <c r="G97" s="102">
        <f t="shared" si="36"/>
        <v>230661.45999999979</v>
      </c>
      <c r="H97" s="102">
        <f t="shared" si="36"/>
        <v>230661.45999999979</v>
      </c>
    </row>
    <row r="98" spans="1:8" x14ac:dyDescent="0.2">
      <c r="F98" s="64"/>
      <c r="G98" s="64"/>
      <c r="H98" s="64"/>
    </row>
    <row r="99" spans="1:8" x14ac:dyDescent="0.2">
      <c r="A99" s="215" t="s">
        <v>489</v>
      </c>
      <c r="C99" s="67">
        <v>18238191</v>
      </c>
      <c r="F99" s="64"/>
      <c r="G99" s="64"/>
      <c r="H99" s="64"/>
    </row>
    <row r="100" spans="1:8" x14ac:dyDescent="0.2">
      <c r="B100" s="46" t="s">
        <v>470</v>
      </c>
      <c r="C100" s="67">
        <v>25400391</v>
      </c>
      <c r="D100" s="253">
        <v>-56928.89</v>
      </c>
      <c r="E100" s="102">
        <f>D104</f>
        <v>246821.79999999993</v>
      </c>
      <c r="F100" s="102">
        <f>E104</f>
        <v>-122024.26000000007</v>
      </c>
      <c r="G100" s="102">
        <f>F104</f>
        <v>-122024.26000000007</v>
      </c>
      <c r="H100" s="102">
        <f t="shared" ref="H100" si="37">G104</f>
        <v>-122024.26000000007</v>
      </c>
    </row>
    <row r="101" spans="1:8" x14ac:dyDescent="0.2">
      <c r="A101" s="264"/>
      <c r="B101" s="259" t="s">
        <v>471</v>
      </c>
      <c r="C101" s="259"/>
      <c r="D101" s="266">
        <v>0</v>
      </c>
      <c r="E101" s="266">
        <v>0</v>
      </c>
      <c r="F101" s="266">
        <v>0</v>
      </c>
      <c r="G101" s="266">
        <v>0</v>
      </c>
      <c r="H101" s="266">
        <v>0</v>
      </c>
    </row>
    <row r="102" spans="1:8" x14ac:dyDescent="0.2">
      <c r="A102" s="259"/>
      <c r="B102" s="259" t="s">
        <v>483</v>
      </c>
      <c r="C102" s="267"/>
      <c r="D102" s="442">
        <v>303750.68999999994</v>
      </c>
      <c r="E102" s="442">
        <v>-368846.06</v>
      </c>
      <c r="F102" s="260">
        <v>0</v>
      </c>
      <c r="G102" s="260">
        <v>0</v>
      </c>
      <c r="H102" s="260">
        <v>0</v>
      </c>
    </row>
    <row r="103" spans="1:8" x14ac:dyDescent="0.2">
      <c r="B103" s="46" t="s">
        <v>473</v>
      </c>
      <c r="D103" s="261">
        <f t="shared" ref="D103:H103" si="38">SUM(D101:D102)</f>
        <v>303750.68999999994</v>
      </c>
      <c r="E103" s="261">
        <f t="shared" si="38"/>
        <v>-368846.06</v>
      </c>
      <c r="F103" s="261">
        <f t="shared" si="38"/>
        <v>0</v>
      </c>
      <c r="G103" s="261">
        <f t="shared" si="38"/>
        <v>0</v>
      </c>
      <c r="H103" s="261">
        <f t="shared" si="38"/>
        <v>0</v>
      </c>
    </row>
    <row r="104" spans="1:8" x14ac:dyDescent="0.2">
      <c r="B104" s="46" t="s">
        <v>474</v>
      </c>
      <c r="D104" s="102">
        <f t="shared" ref="D104:H104" si="39">D100+D103</f>
        <v>246821.79999999993</v>
      </c>
      <c r="E104" s="102">
        <f t="shared" si="39"/>
        <v>-122024.26000000007</v>
      </c>
      <c r="F104" s="102">
        <f t="shared" si="39"/>
        <v>-122024.26000000007</v>
      </c>
      <c r="G104" s="102">
        <f t="shared" si="39"/>
        <v>-122024.26000000007</v>
      </c>
      <c r="H104" s="102">
        <f t="shared" si="39"/>
        <v>-122024.26000000007</v>
      </c>
    </row>
    <row r="105" spans="1:8" x14ac:dyDescent="0.2">
      <c r="D105" s="102"/>
      <c r="E105" s="102"/>
      <c r="F105" s="102"/>
      <c r="G105" s="102"/>
      <c r="H105" s="102"/>
    </row>
    <row r="106" spans="1:8" x14ac:dyDescent="0.2">
      <c r="A106" s="215" t="s">
        <v>490</v>
      </c>
      <c r="C106" s="67">
        <v>18237161</v>
      </c>
      <c r="F106" s="64"/>
      <c r="G106" s="64"/>
      <c r="H106" s="64"/>
    </row>
    <row r="107" spans="1:8" x14ac:dyDescent="0.2">
      <c r="B107" s="46" t="s">
        <v>470</v>
      </c>
      <c r="C107" s="67"/>
      <c r="D107" s="253">
        <v>0</v>
      </c>
      <c r="E107" s="102">
        <f>D112</f>
        <v>0</v>
      </c>
      <c r="F107" s="102">
        <f>E112</f>
        <v>1010556.0386670001</v>
      </c>
      <c r="G107" s="102">
        <f>F112</f>
        <v>1010556.0386670001</v>
      </c>
      <c r="H107" s="102">
        <f t="shared" ref="H107" si="40">G112</f>
        <v>1010556.0386670001</v>
      </c>
    </row>
    <row r="108" spans="1:8" x14ac:dyDescent="0.2">
      <c r="A108" s="264"/>
      <c r="B108" s="259" t="s">
        <v>471</v>
      </c>
      <c r="C108" s="259"/>
      <c r="D108" s="266">
        <v>0</v>
      </c>
      <c r="E108" s="266">
        <v>0</v>
      </c>
      <c r="F108" s="266">
        <v>0</v>
      </c>
      <c r="G108" s="266">
        <v>0</v>
      </c>
      <c r="H108" s="266">
        <v>0</v>
      </c>
    </row>
    <row r="109" spans="1:8" x14ac:dyDescent="0.2">
      <c r="A109" s="264"/>
      <c r="B109" s="259" t="s">
        <v>485</v>
      </c>
      <c r="C109" s="259"/>
      <c r="D109" s="266"/>
      <c r="E109" s="260">
        <f>'One Time NonRes Alloc 2017'!H22</f>
        <v>1010556.0386670001</v>
      </c>
      <c r="F109" s="266"/>
      <c r="G109" s="266"/>
      <c r="H109" s="266"/>
    </row>
    <row r="110" spans="1:8" x14ac:dyDescent="0.2">
      <c r="A110" s="259"/>
      <c r="B110" s="259" t="s">
        <v>483</v>
      </c>
      <c r="C110" s="267"/>
      <c r="D110" s="260">
        <v>0</v>
      </c>
      <c r="E110" s="260">
        <v>0</v>
      </c>
      <c r="F110" s="260">
        <v>0</v>
      </c>
      <c r="G110" s="260">
        <v>0</v>
      </c>
      <c r="H110" s="260">
        <v>0</v>
      </c>
    </row>
    <row r="111" spans="1:8" x14ac:dyDescent="0.2">
      <c r="B111" s="46" t="s">
        <v>473</v>
      </c>
      <c r="D111" s="261">
        <f t="shared" ref="D111:H111" si="41">SUM(D108:D110)</f>
        <v>0</v>
      </c>
      <c r="E111" s="261">
        <f t="shared" si="41"/>
        <v>1010556.0386670001</v>
      </c>
      <c r="F111" s="261">
        <f t="shared" si="41"/>
        <v>0</v>
      </c>
      <c r="G111" s="261">
        <f t="shared" si="41"/>
        <v>0</v>
      </c>
      <c r="H111" s="261">
        <f t="shared" si="41"/>
        <v>0</v>
      </c>
    </row>
    <row r="112" spans="1:8" x14ac:dyDescent="0.2">
      <c r="B112" s="46" t="s">
        <v>474</v>
      </c>
      <c r="D112" s="102">
        <f t="shared" ref="D112:H112" si="42">D107+D111</f>
        <v>0</v>
      </c>
      <c r="E112" s="102">
        <f t="shared" si="42"/>
        <v>1010556.0386670001</v>
      </c>
      <c r="F112" s="102">
        <f t="shared" si="42"/>
        <v>1010556.0386670001</v>
      </c>
      <c r="G112" s="102">
        <f t="shared" si="42"/>
        <v>1010556.0386670001</v>
      </c>
      <c r="H112" s="102">
        <f t="shared" si="42"/>
        <v>1010556.0386670001</v>
      </c>
    </row>
    <row r="113" spans="1:8" x14ac:dyDescent="0.2">
      <c r="F113" s="64"/>
      <c r="G113" s="64"/>
      <c r="H113" s="64"/>
    </row>
    <row r="114" spans="1:8" x14ac:dyDescent="0.2">
      <c r="A114" s="215" t="s">
        <v>491</v>
      </c>
      <c r="C114" s="167">
        <v>18238161</v>
      </c>
      <c r="F114" s="64"/>
      <c r="G114" s="64"/>
      <c r="H114" s="64"/>
    </row>
    <row r="115" spans="1:8" x14ac:dyDescent="0.2">
      <c r="B115" s="46" t="s">
        <v>470</v>
      </c>
      <c r="C115" s="167">
        <v>25400361</v>
      </c>
      <c r="D115" s="253">
        <v>450465.47</v>
      </c>
      <c r="E115" s="102">
        <f t="shared" ref="E115:H115" si="43">D119</f>
        <v>451853.74100534996</v>
      </c>
      <c r="F115" s="102">
        <f t="shared" si="43"/>
        <v>449572.28069058032</v>
      </c>
      <c r="G115" s="102">
        <f t="shared" si="43"/>
        <v>449572.28069058032</v>
      </c>
      <c r="H115" s="102">
        <f t="shared" si="43"/>
        <v>449572.28069058032</v>
      </c>
    </row>
    <row r="116" spans="1:8" s="264" customFormat="1" x14ac:dyDescent="0.2">
      <c r="B116" s="259" t="s">
        <v>471</v>
      </c>
      <c r="C116" s="259"/>
      <c r="D116" s="266">
        <v>0</v>
      </c>
      <c r="E116" s="266">
        <v>0</v>
      </c>
      <c r="F116" s="266">
        <v>0</v>
      </c>
      <c r="G116" s="266">
        <v>0</v>
      </c>
      <c r="H116" s="266">
        <v>0</v>
      </c>
    </row>
    <row r="117" spans="1:8" s="259" customFormat="1" x14ac:dyDescent="0.2">
      <c r="B117" s="259" t="s">
        <v>492</v>
      </c>
      <c r="C117" s="267"/>
      <c r="D117" s="442">
        <v>1388.2710053499641</v>
      </c>
      <c r="E117" s="442">
        <v>-2281.4603147696457</v>
      </c>
      <c r="F117" s="260">
        <v>0</v>
      </c>
      <c r="G117" s="260">
        <v>0</v>
      </c>
      <c r="H117" s="260">
        <v>0</v>
      </c>
    </row>
    <row r="118" spans="1:8" x14ac:dyDescent="0.2">
      <c r="B118" s="46" t="s">
        <v>473</v>
      </c>
      <c r="D118" s="261">
        <f t="shared" ref="D118:H118" si="44">SUM(D116:D117)</f>
        <v>1388.2710053499641</v>
      </c>
      <c r="E118" s="261">
        <f t="shared" si="44"/>
        <v>-2281.4603147696457</v>
      </c>
      <c r="F118" s="261">
        <f t="shared" si="44"/>
        <v>0</v>
      </c>
      <c r="G118" s="261">
        <f t="shared" si="44"/>
        <v>0</v>
      </c>
      <c r="H118" s="261">
        <f t="shared" si="44"/>
        <v>0</v>
      </c>
    </row>
    <row r="119" spans="1:8" x14ac:dyDescent="0.2">
      <c r="B119" s="46" t="s">
        <v>474</v>
      </c>
      <c r="D119" s="102">
        <f t="shared" ref="D119:H119" si="45">D115+D118</f>
        <v>451853.74100534996</v>
      </c>
      <c r="E119" s="102">
        <f>E115+E118</f>
        <v>449572.28069058032</v>
      </c>
      <c r="F119" s="102">
        <f t="shared" si="45"/>
        <v>449572.28069058032</v>
      </c>
      <c r="G119" s="102">
        <f t="shared" si="45"/>
        <v>449572.28069058032</v>
      </c>
      <c r="H119" s="102">
        <f t="shared" si="45"/>
        <v>449572.28069058032</v>
      </c>
    </row>
    <row r="120" spans="1:8" x14ac:dyDescent="0.2">
      <c r="F120" s="64"/>
      <c r="G120" s="64"/>
      <c r="H120" s="64"/>
    </row>
    <row r="121" spans="1:8" x14ac:dyDescent="0.2">
      <c r="A121" s="215" t="s">
        <v>493</v>
      </c>
      <c r="C121" s="167">
        <v>18237311</v>
      </c>
      <c r="F121" s="64"/>
      <c r="G121" s="64"/>
      <c r="H121" s="64"/>
    </row>
    <row r="122" spans="1:8" x14ac:dyDescent="0.2">
      <c r="B122" s="46" t="s">
        <v>470</v>
      </c>
      <c r="C122" s="167">
        <v>25400711</v>
      </c>
      <c r="D122" s="253">
        <v>0</v>
      </c>
      <c r="E122" s="102">
        <f>D127</f>
        <v>-525.25815152602877</v>
      </c>
      <c r="F122" s="102">
        <f>E127</f>
        <v>216820.74272358636</v>
      </c>
      <c r="G122" s="102">
        <f>F127</f>
        <v>216820.74272358636</v>
      </c>
      <c r="H122" s="102">
        <f t="shared" ref="H122" si="46">G127</f>
        <v>216820.74272358636</v>
      </c>
    </row>
    <row r="123" spans="1:8" s="264" customFormat="1" x14ac:dyDescent="0.2">
      <c r="B123" s="259" t="s">
        <v>471</v>
      </c>
      <c r="C123" s="259"/>
      <c r="D123" s="266">
        <v>0</v>
      </c>
      <c r="E123" s="266">
        <v>0</v>
      </c>
      <c r="F123" s="266">
        <v>0</v>
      </c>
      <c r="G123" s="266">
        <v>0</v>
      </c>
      <c r="H123" s="266">
        <v>0</v>
      </c>
    </row>
    <row r="124" spans="1:8" s="264" customFormat="1" x14ac:dyDescent="0.2">
      <c r="B124" s="259" t="s">
        <v>494</v>
      </c>
      <c r="C124" s="259"/>
      <c r="D124" s="266"/>
      <c r="E124" s="260">
        <f>'One Time NonRes Alloc 2017'!E26</f>
        <v>206539.67666599998</v>
      </c>
      <c r="F124" s="266"/>
      <c r="G124" s="266"/>
      <c r="H124" s="266"/>
    </row>
    <row r="125" spans="1:8" s="259" customFormat="1" x14ac:dyDescent="0.2">
      <c r="B125" s="259" t="s">
        <v>492</v>
      </c>
      <c r="C125" s="267"/>
      <c r="D125" s="442">
        <v>-525.25815152602877</v>
      </c>
      <c r="E125" s="442">
        <v>10806.324209112414</v>
      </c>
      <c r="F125" s="260">
        <v>0</v>
      </c>
      <c r="G125" s="260">
        <v>0</v>
      </c>
      <c r="H125" s="260">
        <v>0</v>
      </c>
    </row>
    <row r="126" spans="1:8" x14ac:dyDescent="0.2">
      <c r="B126" s="46" t="s">
        <v>473</v>
      </c>
      <c r="D126" s="261">
        <f t="shared" ref="D126:H126" si="47">SUM(D123:D125)</f>
        <v>-525.25815152602877</v>
      </c>
      <c r="E126" s="261">
        <f t="shared" si="47"/>
        <v>217346.0008751124</v>
      </c>
      <c r="F126" s="261">
        <f t="shared" si="47"/>
        <v>0</v>
      </c>
      <c r="G126" s="261">
        <f t="shared" si="47"/>
        <v>0</v>
      </c>
      <c r="H126" s="261">
        <f t="shared" si="47"/>
        <v>0</v>
      </c>
    </row>
    <row r="127" spans="1:8" x14ac:dyDescent="0.2">
      <c r="B127" s="46" t="s">
        <v>474</v>
      </c>
      <c r="D127" s="102">
        <f t="shared" ref="D127:H127" si="48">D122+D126</f>
        <v>-525.25815152602877</v>
      </c>
      <c r="E127" s="102">
        <f t="shared" si="48"/>
        <v>216820.74272358636</v>
      </c>
      <c r="F127" s="102">
        <f t="shared" si="48"/>
        <v>216820.74272358636</v>
      </c>
      <c r="G127" s="102">
        <f t="shared" si="48"/>
        <v>216820.74272358636</v>
      </c>
      <c r="H127" s="102">
        <f t="shared" si="48"/>
        <v>216820.74272358636</v>
      </c>
    </row>
    <row r="128" spans="1:8" x14ac:dyDescent="0.2">
      <c r="D128" s="102"/>
      <c r="E128" s="102"/>
      <c r="F128" s="102"/>
      <c r="G128" s="102"/>
      <c r="H128" s="102"/>
    </row>
    <row r="129" spans="1:8" x14ac:dyDescent="0.2">
      <c r="A129" s="215" t="s">
        <v>495</v>
      </c>
      <c r="C129" s="167">
        <v>18237321</v>
      </c>
      <c r="F129" s="64"/>
      <c r="G129" s="64"/>
      <c r="H129" s="64"/>
    </row>
    <row r="130" spans="1:8" x14ac:dyDescent="0.2">
      <c r="B130" s="46" t="s">
        <v>470</v>
      </c>
      <c r="C130" s="167">
        <v>25400721</v>
      </c>
      <c r="D130" s="253">
        <v>0</v>
      </c>
      <c r="E130" s="102">
        <f t="shared" ref="E130:H130" si="49">D135</f>
        <v>-214.03711678717517</v>
      </c>
      <c r="F130" s="102">
        <f t="shared" si="49"/>
        <v>231526.69293974986</v>
      </c>
      <c r="G130" s="102">
        <f t="shared" si="49"/>
        <v>231526.69293974986</v>
      </c>
      <c r="H130" s="102">
        <f t="shared" si="49"/>
        <v>231526.69293974986</v>
      </c>
    </row>
    <row r="131" spans="1:8" x14ac:dyDescent="0.2">
      <c r="A131" s="264"/>
      <c r="B131" s="259" t="s">
        <v>471</v>
      </c>
      <c r="C131" s="259"/>
      <c r="D131" s="266">
        <v>0</v>
      </c>
      <c r="E131" s="266">
        <v>0</v>
      </c>
      <c r="F131" s="266">
        <v>0</v>
      </c>
      <c r="G131" s="266">
        <v>0</v>
      </c>
      <c r="H131" s="266">
        <v>0</v>
      </c>
    </row>
    <row r="132" spans="1:8" x14ac:dyDescent="0.2">
      <c r="A132" s="264"/>
      <c r="B132" s="259" t="s">
        <v>494</v>
      </c>
      <c r="C132" s="259"/>
      <c r="D132" s="266"/>
      <c r="E132" s="260">
        <f>'One Time NonRes Alloc 2017'!F26</f>
        <v>221244.59993599998</v>
      </c>
      <c r="F132" s="266"/>
      <c r="G132" s="266"/>
      <c r="H132" s="266"/>
    </row>
    <row r="133" spans="1:8" x14ac:dyDescent="0.2">
      <c r="A133" s="259"/>
      <c r="B133" s="259" t="s">
        <v>492</v>
      </c>
      <c r="C133" s="267"/>
      <c r="D133" s="442">
        <v>-214.03711678717517</v>
      </c>
      <c r="E133" s="442">
        <v>10496.130120537031</v>
      </c>
      <c r="F133" s="260">
        <v>0</v>
      </c>
      <c r="G133" s="260">
        <v>0</v>
      </c>
      <c r="H133" s="260">
        <v>0</v>
      </c>
    </row>
    <row r="134" spans="1:8" x14ac:dyDescent="0.2">
      <c r="B134" s="46" t="s">
        <v>473</v>
      </c>
      <c r="D134" s="261">
        <f t="shared" ref="D134:H134" si="50">SUM(D131:D133)</f>
        <v>-214.03711678717517</v>
      </c>
      <c r="E134" s="261">
        <f t="shared" si="50"/>
        <v>231740.73005653702</v>
      </c>
      <c r="F134" s="261">
        <f t="shared" si="50"/>
        <v>0</v>
      </c>
      <c r="G134" s="261">
        <f t="shared" si="50"/>
        <v>0</v>
      </c>
      <c r="H134" s="261">
        <f t="shared" si="50"/>
        <v>0</v>
      </c>
    </row>
    <row r="135" spans="1:8" x14ac:dyDescent="0.2">
      <c r="B135" s="46" t="s">
        <v>474</v>
      </c>
      <c r="D135" s="102">
        <f t="shared" ref="D135:H135" si="51">D130+D134</f>
        <v>-214.03711678717517</v>
      </c>
      <c r="E135" s="102">
        <f t="shared" si="51"/>
        <v>231526.69293974986</v>
      </c>
      <c r="F135" s="102">
        <f t="shared" si="51"/>
        <v>231526.69293974986</v>
      </c>
      <c r="G135" s="102">
        <f t="shared" si="51"/>
        <v>231526.69293974986</v>
      </c>
      <c r="H135" s="102">
        <f t="shared" si="51"/>
        <v>231526.69293974986</v>
      </c>
    </row>
    <row r="136" spans="1:8" x14ac:dyDescent="0.2">
      <c r="D136" s="102"/>
      <c r="E136" s="102"/>
      <c r="F136" s="102"/>
      <c r="G136" s="102"/>
      <c r="H136" s="102"/>
    </row>
    <row r="137" spans="1:8" x14ac:dyDescent="0.2">
      <c r="A137" s="215" t="s">
        <v>496</v>
      </c>
      <c r="C137" s="167">
        <v>18237331</v>
      </c>
      <c r="F137" s="64"/>
      <c r="G137" s="64"/>
      <c r="H137" s="64"/>
    </row>
    <row r="138" spans="1:8" x14ac:dyDescent="0.2">
      <c r="B138" s="46" t="s">
        <v>470</v>
      </c>
      <c r="C138" s="167">
        <v>25400731</v>
      </c>
      <c r="D138" s="253">
        <v>0</v>
      </c>
      <c r="E138" s="102">
        <f t="shared" ref="E138:H138" si="52">D143</f>
        <v>126.81378479105609</v>
      </c>
      <c r="F138" s="102">
        <f t="shared" si="52"/>
        <v>45813.179120149296</v>
      </c>
      <c r="G138" s="102">
        <f t="shared" si="52"/>
        <v>45813.179120149296</v>
      </c>
      <c r="H138" s="102">
        <f t="shared" si="52"/>
        <v>45813.179120149296</v>
      </c>
    </row>
    <row r="139" spans="1:8" x14ac:dyDescent="0.2">
      <c r="A139" s="264"/>
      <c r="B139" s="259" t="s">
        <v>471</v>
      </c>
      <c r="C139" s="259"/>
      <c r="D139" s="266">
        <v>0</v>
      </c>
      <c r="E139" s="266">
        <v>0</v>
      </c>
      <c r="F139" s="266">
        <v>0</v>
      </c>
      <c r="G139" s="266">
        <v>0</v>
      </c>
      <c r="H139" s="266">
        <v>0</v>
      </c>
    </row>
    <row r="140" spans="1:8" x14ac:dyDescent="0.2">
      <c r="A140" s="264"/>
      <c r="B140" s="259" t="s">
        <v>494</v>
      </c>
      <c r="C140" s="259"/>
      <c r="D140" s="266"/>
      <c r="E140" s="260">
        <f>'One Time NonRes Alloc 2017'!G26</f>
        <v>42824.864260000002</v>
      </c>
      <c r="F140" s="266"/>
      <c r="G140" s="266"/>
      <c r="H140" s="266"/>
    </row>
    <row r="141" spans="1:8" x14ac:dyDescent="0.2">
      <c r="A141" s="259"/>
      <c r="B141" s="259" t="s">
        <v>492</v>
      </c>
      <c r="C141" s="267"/>
      <c r="D141" s="442">
        <v>126.81378479105609</v>
      </c>
      <c r="E141" s="442">
        <v>2861.5010753582378</v>
      </c>
      <c r="F141" s="260">
        <v>0</v>
      </c>
      <c r="G141" s="260">
        <v>0</v>
      </c>
      <c r="H141" s="260">
        <v>0</v>
      </c>
    </row>
    <row r="142" spans="1:8" x14ac:dyDescent="0.2">
      <c r="B142" s="46" t="s">
        <v>473</v>
      </c>
      <c r="D142" s="261">
        <f t="shared" ref="D142:H142" si="53">SUM(D139:D141)</f>
        <v>126.81378479105609</v>
      </c>
      <c r="E142" s="261">
        <f t="shared" si="53"/>
        <v>45686.365335358241</v>
      </c>
      <c r="F142" s="261">
        <f t="shared" si="53"/>
        <v>0</v>
      </c>
      <c r="G142" s="261">
        <f t="shared" si="53"/>
        <v>0</v>
      </c>
      <c r="H142" s="261">
        <f t="shared" si="53"/>
        <v>0</v>
      </c>
    </row>
    <row r="143" spans="1:8" x14ac:dyDescent="0.2">
      <c r="B143" s="46" t="s">
        <v>474</v>
      </c>
      <c r="D143" s="102">
        <f t="shared" ref="D143:H143" si="54">D138+D142</f>
        <v>126.81378479105609</v>
      </c>
      <c r="E143" s="102">
        <f t="shared" si="54"/>
        <v>45813.179120149296</v>
      </c>
      <c r="F143" s="102">
        <f t="shared" si="54"/>
        <v>45813.179120149296</v>
      </c>
      <c r="G143" s="102">
        <f t="shared" si="54"/>
        <v>45813.179120149296</v>
      </c>
      <c r="H143" s="102">
        <f t="shared" si="54"/>
        <v>45813.179120149296</v>
      </c>
    </row>
    <row r="144" spans="1:8" x14ac:dyDescent="0.2">
      <c r="D144" s="102"/>
      <c r="E144" s="102"/>
      <c r="F144" s="102"/>
      <c r="G144" s="102"/>
      <c r="H144" s="102"/>
    </row>
    <row r="145" spans="1:8" x14ac:dyDescent="0.2">
      <c r="A145" s="215" t="s">
        <v>497</v>
      </c>
      <c r="C145" s="67">
        <v>18238211</v>
      </c>
      <c r="F145" s="64"/>
      <c r="G145" s="64"/>
      <c r="H145" s="64"/>
    </row>
    <row r="146" spans="1:8" x14ac:dyDescent="0.2">
      <c r="B146" s="46" t="s">
        <v>470</v>
      </c>
      <c r="C146" s="67">
        <v>25400451</v>
      </c>
      <c r="D146" s="253">
        <v>-31078.65</v>
      </c>
      <c r="E146" s="102">
        <f>D150</f>
        <v>-31636.339219031099</v>
      </c>
      <c r="F146" s="102">
        <f>E150</f>
        <v>-31366.481197420351</v>
      </c>
      <c r="G146" s="102">
        <f>F150</f>
        <v>-31366.481197420351</v>
      </c>
      <c r="H146" s="102">
        <f t="shared" ref="H146" si="55">G150</f>
        <v>-31366.481197420351</v>
      </c>
    </row>
    <row r="147" spans="1:8" x14ac:dyDescent="0.2">
      <c r="A147" s="264"/>
      <c r="B147" s="259" t="s">
        <v>471</v>
      </c>
      <c r="C147" s="259"/>
      <c r="D147" s="266">
        <v>0</v>
      </c>
      <c r="E147" s="266">
        <v>0</v>
      </c>
      <c r="F147" s="266">
        <v>0</v>
      </c>
      <c r="G147" s="266">
        <v>0</v>
      </c>
      <c r="H147" s="266">
        <v>0</v>
      </c>
    </row>
    <row r="148" spans="1:8" x14ac:dyDescent="0.2">
      <c r="A148" s="259"/>
      <c r="B148" s="259" t="s">
        <v>492</v>
      </c>
      <c r="C148" s="267"/>
      <c r="D148" s="442">
        <v>-557.68921903109901</v>
      </c>
      <c r="E148" s="442">
        <v>269.85802161074702</v>
      </c>
      <c r="F148" s="260">
        <v>0</v>
      </c>
      <c r="G148" s="260">
        <v>0</v>
      </c>
      <c r="H148" s="260">
        <v>0</v>
      </c>
    </row>
    <row r="149" spans="1:8" x14ac:dyDescent="0.2">
      <c r="B149" s="46" t="s">
        <v>473</v>
      </c>
      <c r="D149" s="261">
        <f t="shared" ref="D149:H149" si="56">SUM(D147:D148)</f>
        <v>-557.68921903109901</v>
      </c>
      <c r="E149" s="261">
        <f t="shared" si="56"/>
        <v>269.85802161074702</v>
      </c>
      <c r="F149" s="261">
        <f t="shared" si="56"/>
        <v>0</v>
      </c>
      <c r="G149" s="261">
        <f t="shared" si="56"/>
        <v>0</v>
      </c>
      <c r="H149" s="261">
        <f t="shared" si="56"/>
        <v>0</v>
      </c>
    </row>
    <row r="150" spans="1:8" x14ac:dyDescent="0.2">
      <c r="B150" s="46" t="s">
        <v>474</v>
      </c>
      <c r="D150" s="102">
        <f t="shared" ref="D150:H150" si="57">D146+D149</f>
        <v>-31636.339219031099</v>
      </c>
      <c r="E150" s="102">
        <f t="shared" si="57"/>
        <v>-31366.481197420351</v>
      </c>
      <c r="F150" s="102">
        <f t="shared" si="57"/>
        <v>-31366.481197420351</v>
      </c>
      <c r="G150" s="102">
        <f t="shared" si="57"/>
        <v>-31366.481197420351</v>
      </c>
      <c r="H150" s="102">
        <f t="shared" si="57"/>
        <v>-31366.481197420351</v>
      </c>
    </row>
    <row r="151" spans="1:8" x14ac:dyDescent="0.2">
      <c r="D151" s="102"/>
      <c r="E151" s="102"/>
      <c r="F151" s="102"/>
      <c r="G151" s="102"/>
      <c r="H151" s="102"/>
    </row>
    <row r="152" spans="1:8" x14ac:dyDescent="0.2">
      <c r="A152" s="215" t="s">
        <v>498</v>
      </c>
      <c r="C152" s="67">
        <v>18238221</v>
      </c>
      <c r="F152" s="64"/>
      <c r="G152" s="64"/>
      <c r="H152" s="64"/>
    </row>
    <row r="153" spans="1:8" x14ac:dyDescent="0.2">
      <c r="B153" s="46" t="s">
        <v>470</v>
      </c>
      <c r="C153" s="67">
        <v>25400461</v>
      </c>
      <c r="D153" s="253">
        <v>-13054.07</v>
      </c>
      <c r="E153" s="102">
        <f>D157</f>
        <v>-13439.469745565188</v>
      </c>
      <c r="F153" s="102">
        <f>E157</f>
        <v>-13890.380805339986</v>
      </c>
      <c r="G153" s="102">
        <f>F157</f>
        <v>-13890.380805339986</v>
      </c>
      <c r="H153" s="102">
        <f t="shared" ref="H153" si="58">G157</f>
        <v>-13890.380805339986</v>
      </c>
    </row>
    <row r="154" spans="1:8" x14ac:dyDescent="0.2">
      <c r="A154" s="264"/>
      <c r="B154" s="259" t="s">
        <v>471</v>
      </c>
      <c r="C154" s="259"/>
      <c r="D154" s="266">
        <v>0</v>
      </c>
      <c r="E154" s="266">
        <v>0</v>
      </c>
      <c r="F154" s="266">
        <v>0</v>
      </c>
      <c r="G154" s="266">
        <v>0</v>
      </c>
      <c r="H154" s="266">
        <v>0</v>
      </c>
    </row>
    <row r="155" spans="1:8" x14ac:dyDescent="0.2">
      <c r="A155" s="259"/>
      <c r="B155" s="259" t="s">
        <v>492</v>
      </c>
      <c r="C155" s="267"/>
      <c r="D155" s="442">
        <v>-385.39974556518763</v>
      </c>
      <c r="E155" s="442">
        <v>-450.91105977479793</v>
      </c>
      <c r="F155" s="260">
        <v>0</v>
      </c>
      <c r="G155" s="260">
        <v>0</v>
      </c>
      <c r="H155" s="260">
        <v>0</v>
      </c>
    </row>
    <row r="156" spans="1:8" x14ac:dyDescent="0.2">
      <c r="B156" s="46" t="s">
        <v>473</v>
      </c>
      <c r="D156" s="261">
        <f t="shared" ref="D156:H156" si="59">SUM(D154:D155)</f>
        <v>-385.39974556518763</v>
      </c>
      <c r="E156" s="261">
        <f t="shared" si="59"/>
        <v>-450.91105977479793</v>
      </c>
      <c r="F156" s="261">
        <f t="shared" si="59"/>
        <v>0</v>
      </c>
      <c r="G156" s="261">
        <f t="shared" si="59"/>
        <v>0</v>
      </c>
      <c r="H156" s="261">
        <f t="shared" si="59"/>
        <v>0</v>
      </c>
    </row>
    <row r="157" spans="1:8" x14ac:dyDescent="0.2">
      <c r="B157" s="46" t="s">
        <v>474</v>
      </c>
      <c r="D157" s="102">
        <f t="shared" ref="D157:H157" si="60">D153+D156</f>
        <v>-13439.469745565188</v>
      </c>
      <c r="E157" s="102">
        <f t="shared" si="60"/>
        <v>-13890.380805339986</v>
      </c>
      <c r="F157" s="102">
        <f t="shared" si="60"/>
        <v>-13890.380805339986</v>
      </c>
      <c r="G157" s="102">
        <f t="shared" si="60"/>
        <v>-13890.380805339986</v>
      </c>
      <c r="H157" s="102">
        <f t="shared" si="60"/>
        <v>-13890.380805339986</v>
      </c>
    </row>
    <row r="158" spans="1:8" x14ac:dyDescent="0.2">
      <c r="D158" s="102"/>
      <c r="E158" s="102"/>
      <c r="F158" s="102"/>
      <c r="G158" s="102"/>
      <c r="H158" s="102"/>
    </row>
    <row r="159" spans="1:8" x14ac:dyDescent="0.2">
      <c r="A159" s="215" t="s">
        <v>499</v>
      </c>
      <c r="C159" s="67">
        <v>18237401</v>
      </c>
      <c r="F159" s="64"/>
      <c r="G159" s="64"/>
      <c r="H159" s="64"/>
    </row>
    <row r="160" spans="1:8" x14ac:dyDescent="0.2">
      <c r="B160" s="46" t="s">
        <v>470</v>
      </c>
      <c r="C160" s="67">
        <v>25400691</v>
      </c>
      <c r="D160" s="253">
        <v>0</v>
      </c>
      <c r="E160" s="102">
        <f>D165</f>
        <v>-40.18143303371297</v>
      </c>
      <c r="F160" s="102">
        <f>E165</f>
        <v>47514.415613327503</v>
      </c>
      <c r="G160" s="102">
        <f>F165</f>
        <v>47514.415613327503</v>
      </c>
      <c r="H160" s="102">
        <f t="shared" ref="H160" si="61">G165</f>
        <v>47514.415613327503</v>
      </c>
    </row>
    <row r="161" spans="1:8" x14ac:dyDescent="0.2">
      <c r="A161" s="264"/>
      <c r="B161" s="259" t="s">
        <v>471</v>
      </c>
      <c r="C161" s="259"/>
      <c r="D161" s="266">
        <v>0</v>
      </c>
      <c r="E161" s="266">
        <v>0</v>
      </c>
      <c r="F161" s="266">
        <v>0</v>
      </c>
      <c r="G161" s="266">
        <v>0</v>
      </c>
      <c r="H161" s="266">
        <v>0</v>
      </c>
    </row>
    <row r="162" spans="1:8" x14ac:dyDescent="0.2">
      <c r="A162" s="264"/>
      <c r="B162" s="259" t="s">
        <v>494</v>
      </c>
      <c r="C162" s="259"/>
      <c r="D162" s="266"/>
      <c r="E162" s="260">
        <f>'One Time NonRes Alloc 2017'!H26</f>
        <v>45353.079138000001</v>
      </c>
      <c r="F162" s="266"/>
      <c r="G162" s="266"/>
      <c r="H162" s="266"/>
    </row>
    <row r="163" spans="1:8" x14ac:dyDescent="0.2">
      <c r="A163" s="259"/>
      <c r="B163" s="259" t="s">
        <v>492</v>
      </c>
      <c r="C163" s="267"/>
      <c r="D163" s="442">
        <v>-40.18143303371297</v>
      </c>
      <c r="E163" s="442">
        <v>2201.5179083612129</v>
      </c>
      <c r="F163" s="260">
        <v>0</v>
      </c>
      <c r="G163" s="260">
        <v>0</v>
      </c>
      <c r="H163" s="260">
        <v>0</v>
      </c>
    </row>
    <row r="164" spans="1:8" x14ac:dyDescent="0.2">
      <c r="B164" s="46" t="s">
        <v>473</v>
      </c>
      <c r="D164" s="261">
        <f t="shared" ref="D164:H164" si="62">SUM(D161:D163)</f>
        <v>-40.18143303371297</v>
      </c>
      <c r="E164" s="261">
        <f t="shared" si="62"/>
        <v>47554.597046361218</v>
      </c>
      <c r="F164" s="261">
        <f t="shared" si="62"/>
        <v>0</v>
      </c>
      <c r="G164" s="261">
        <f t="shared" si="62"/>
        <v>0</v>
      </c>
      <c r="H164" s="261">
        <f t="shared" si="62"/>
        <v>0</v>
      </c>
    </row>
    <row r="165" spans="1:8" x14ac:dyDescent="0.2">
      <c r="B165" s="46" t="s">
        <v>474</v>
      </c>
      <c r="D165" s="102">
        <f t="shared" ref="D165:H165" si="63">D160+D164</f>
        <v>-40.18143303371297</v>
      </c>
      <c r="E165" s="102">
        <f t="shared" si="63"/>
        <v>47514.415613327503</v>
      </c>
      <c r="F165" s="102">
        <f t="shared" si="63"/>
        <v>47514.415613327503</v>
      </c>
      <c r="G165" s="102">
        <f t="shared" si="63"/>
        <v>47514.415613327503</v>
      </c>
      <c r="H165" s="102">
        <f t="shared" si="63"/>
        <v>47514.415613327503</v>
      </c>
    </row>
    <row r="166" spans="1:8" x14ac:dyDescent="0.2">
      <c r="D166" s="102"/>
      <c r="E166" s="102"/>
      <c r="F166" s="102"/>
      <c r="G166" s="102"/>
      <c r="H166" s="102"/>
    </row>
    <row r="167" spans="1:8" s="258" customFormat="1" x14ac:dyDescent="0.2">
      <c r="A167" s="257" t="s">
        <v>500</v>
      </c>
      <c r="D167" s="268"/>
      <c r="E167" s="268"/>
      <c r="F167" s="268"/>
      <c r="G167" s="268"/>
      <c r="H167" s="268"/>
    </row>
    <row r="168" spans="1:8" x14ac:dyDescent="0.2">
      <c r="A168" s="1" t="s">
        <v>469</v>
      </c>
      <c r="C168" s="167">
        <v>18237451</v>
      </c>
    </row>
    <row r="169" spans="1:8" x14ac:dyDescent="0.2">
      <c r="B169" s="46" t="s">
        <v>470</v>
      </c>
      <c r="C169" s="167">
        <v>25400851</v>
      </c>
      <c r="D169" s="253">
        <v>0</v>
      </c>
      <c r="E169" s="102">
        <f t="shared" ref="E169:H169" si="64">D173</f>
        <v>0</v>
      </c>
      <c r="F169" s="102">
        <f t="shared" si="64"/>
        <v>0</v>
      </c>
      <c r="G169" s="102">
        <f t="shared" si="64"/>
        <v>0</v>
      </c>
      <c r="H169" s="102">
        <f t="shared" si="64"/>
        <v>0</v>
      </c>
    </row>
    <row r="170" spans="1:8" x14ac:dyDescent="0.2">
      <c r="B170" s="259" t="s">
        <v>471</v>
      </c>
      <c r="C170" s="167"/>
      <c r="D170" s="102"/>
      <c r="E170" s="102"/>
      <c r="F170" s="102"/>
      <c r="G170" s="102"/>
      <c r="H170" s="102"/>
    </row>
    <row r="171" spans="1:8" x14ac:dyDescent="0.2">
      <c r="B171" s="259" t="s">
        <v>472</v>
      </c>
      <c r="D171" s="260">
        <v>0</v>
      </c>
      <c r="E171" s="260">
        <v>0</v>
      </c>
      <c r="F171" s="260">
        <v>0</v>
      </c>
      <c r="G171" s="260">
        <v>0</v>
      </c>
      <c r="H171" s="260">
        <v>0</v>
      </c>
    </row>
    <row r="172" spans="1:8" x14ac:dyDescent="0.2">
      <c r="B172" s="46" t="s">
        <v>473</v>
      </c>
      <c r="D172" s="261">
        <f t="shared" ref="D172:H172" si="65">SUM(D170:D171)</f>
        <v>0</v>
      </c>
      <c r="E172" s="261">
        <f t="shared" si="65"/>
        <v>0</v>
      </c>
      <c r="F172" s="261">
        <f t="shared" si="65"/>
        <v>0</v>
      </c>
      <c r="G172" s="261">
        <f t="shared" si="65"/>
        <v>0</v>
      </c>
      <c r="H172" s="261">
        <f t="shared" si="65"/>
        <v>0</v>
      </c>
    </row>
    <row r="173" spans="1:8" x14ac:dyDescent="0.2">
      <c r="B173" s="46" t="s">
        <v>474</v>
      </c>
      <c r="D173" s="102">
        <f t="shared" ref="D173:H173" si="66">D169+D172</f>
        <v>0</v>
      </c>
      <c r="E173" s="102">
        <f t="shared" si="66"/>
        <v>0</v>
      </c>
      <c r="F173" s="102">
        <f t="shared" si="66"/>
        <v>0</v>
      </c>
      <c r="G173" s="102">
        <f t="shared" si="66"/>
        <v>0</v>
      </c>
      <c r="H173" s="102">
        <f t="shared" si="66"/>
        <v>0</v>
      </c>
    </row>
    <row r="174" spans="1:8" x14ac:dyDescent="0.2">
      <c r="C174" s="167"/>
      <c r="F174" s="64"/>
      <c r="G174" s="64"/>
      <c r="H174" s="64"/>
    </row>
    <row r="175" spans="1:8" x14ac:dyDescent="0.2">
      <c r="A175" s="1" t="s">
        <v>475</v>
      </c>
      <c r="C175" s="167">
        <v>18237471</v>
      </c>
      <c r="F175" s="64"/>
      <c r="G175" s="64"/>
      <c r="H175" s="64"/>
    </row>
    <row r="176" spans="1:8" x14ac:dyDescent="0.2">
      <c r="B176" s="46" t="s">
        <v>470</v>
      </c>
      <c r="C176" s="167">
        <v>25400871</v>
      </c>
      <c r="D176" s="253">
        <v>0</v>
      </c>
      <c r="E176" s="102">
        <f t="shared" ref="E176:H176" si="67">D180</f>
        <v>0</v>
      </c>
      <c r="F176" s="102">
        <f t="shared" si="67"/>
        <v>0</v>
      </c>
      <c r="G176" s="102">
        <f t="shared" si="67"/>
        <v>0</v>
      </c>
      <c r="H176" s="102">
        <f t="shared" si="67"/>
        <v>0</v>
      </c>
    </row>
    <row r="177" spans="1:8" x14ac:dyDescent="0.2">
      <c r="B177" s="259" t="s">
        <v>471</v>
      </c>
      <c r="C177" s="167"/>
      <c r="D177" s="102"/>
      <c r="E177" s="102"/>
      <c r="F177" s="102"/>
      <c r="G177" s="102"/>
      <c r="H177" s="102"/>
    </row>
    <row r="178" spans="1:8" x14ac:dyDescent="0.2">
      <c r="B178" s="259" t="s">
        <v>472</v>
      </c>
      <c r="D178" s="260">
        <v>0</v>
      </c>
      <c r="E178" s="260">
        <v>0</v>
      </c>
      <c r="F178" s="260">
        <v>0</v>
      </c>
      <c r="G178" s="260">
        <v>0</v>
      </c>
      <c r="H178" s="260">
        <v>0</v>
      </c>
    </row>
    <row r="179" spans="1:8" x14ac:dyDescent="0.2">
      <c r="B179" s="46" t="s">
        <v>473</v>
      </c>
      <c r="D179" s="261">
        <f t="shared" ref="D179:H179" si="68">SUM(D177:D178)</f>
        <v>0</v>
      </c>
      <c r="E179" s="261">
        <f t="shared" si="68"/>
        <v>0</v>
      </c>
      <c r="F179" s="261">
        <f t="shared" si="68"/>
        <v>0</v>
      </c>
      <c r="G179" s="261">
        <f t="shared" si="68"/>
        <v>0</v>
      </c>
      <c r="H179" s="261">
        <f t="shared" si="68"/>
        <v>0</v>
      </c>
    </row>
    <row r="180" spans="1:8" x14ac:dyDescent="0.2">
      <c r="B180" s="46" t="s">
        <v>474</v>
      </c>
      <c r="D180" s="102">
        <f t="shared" ref="D180:H180" si="69">D176+D179</f>
        <v>0</v>
      </c>
      <c r="E180" s="102">
        <f t="shared" si="69"/>
        <v>0</v>
      </c>
      <c r="F180" s="102">
        <f t="shared" si="69"/>
        <v>0</v>
      </c>
      <c r="G180" s="102">
        <f t="shared" si="69"/>
        <v>0</v>
      </c>
      <c r="H180" s="102">
        <f t="shared" si="69"/>
        <v>0</v>
      </c>
    </row>
    <row r="181" spans="1:8" x14ac:dyDescent="0.2">
      <c r="D181" s="102"/>
      <c r="E181" s="102"/>
      <c r="F181" s="102"/>
      <c r="G181" s="102"/>
      <c r="H181" s="102"/>
    </row>
    <row r="182" spans="1:8" x14ac:dyDescent="0.2">
      <c r="A182" s="1" t="s">
        <v>477</v>
      </c>
      <c r="C182" s="167">
        <v>18237461</v>
      </c>
      <c r="D182" s="102"/>
      <c r="E182" s="102"/>
      <c r="F182" s="102"/>
      <c r="G182" s="102"/>
      <c r="H182" s="102"/>
    </row>
    <row r="183" spans="1:8" x14ac:dyDescent="0.2">
      <c r="B183" s="46" t="s">
        <v>470</v>
      </c>
      <c r="C183" s="167">
        <v>25400861</v>
      </c>
      <c r="D183" s="253">
        <v>0</v>
      </c>
      <c r="E183" s="102">
        <f t="shared" ref="E183:H183" si="70">D187</f>
        <v>0</v>
      </c>
      <c r="F183" s="102">
        <f t="shared" si="70"/>
        <v>0</v>
      </c>
      <c r="G183" s="102">
        <f t="shared" si="70"/>
        <v>0</v>
      </c>
      <c r="H183" s="102">
        <f t="shared" si="70"/>
        <v>0</v>
      </c>
    </row>
    <row r="184" spans="1:8" x14ac:dyDescent="0.2">
      <c r="B184" s="259" t="s">
        <v>471</v>
      </c>
      <c r="C184" s="263"/>
      <c r="D184" s="102"/>
      <c r="E184" s="102"/>
      <c r="F184" s="102"/>
      <c r="G184" s="102"/>
      <c r="H184" s="102"/>
    </row>
    <row r="185" spans="1:8" x14ac:dyDescent="0.2">
      <c r="B185" s="259" t="s">
        <v>472</v>
      </c>
      <c r="D185" s="260">
        <v>0</v>
      </c>
      <c r="E185" s="260">
        <v>0</v>
      </c>
      <c r="F185" s="260">
        <v>0</v>
      </c>
      <c r="G185" s="260">
        <v>0</v>
      </c>
      <c r="H185" s="260">
        <v>0</v>
      </c>
    </row>
    <row r="186" spans="1:8" x14ac:dyDescent="0.2">
      <c r="B186" s="46" t="s">
        <v>473</v>
      </c>
      <c r="D186" s="261">
        <f t="shared" ref="D186:H186" si="71">SUM(D184:D185)</f>
        <v>0</v>
      </c>
      <c r="E186" s="261">
        <f t="shared" si="71"/>
        <v>0</v>
      </c>
      <c r="F186" s="261">
        <f t="shared" si="71"/>
        <v>0</v>
      </c>
      <c r="G186" s="261">
        <f t="shared" si="71"/>
        <v>0</v>
      </c>
      <c r="H186" s="261">
        <f t="shared" si="71"/>
        <v>0</v>
      </c>
    </row>
    <row r="187" spans="1:8" x14ac:dyDescent="0.2">
      <c r="B187" s="46" t="s">
        <v>474</v>
      </c>
      <c r="D187" s="102">
        <f t="shared" ref="D187:H187" si="72">D183+D186</f>
        <v>0</v>
      </c>
      <c r="E187" s="102">
        <f t="shared" si="72"/>
        <v>0</v>
      </c>
      <c r="F187" s="102">
        <f t="shared" si="72"/>
        <v>0</v>
      </c>
      <c r="G187" s="102">
        <f t="shared" si="72"/>
        <v>0</v>
      </c>
      <c r="H187" s="102">
        <f t="shared" si="72"/>
        <v>0</v>
      </c>
    </row>
    <row r="188" spans="1:8" x14ac:dyDescent="0.2">
      <c r="D188" s="102"/>
      <c r="E188" s="102"/>
      <c r="F188" s="102"/>
      <c r="G188" s="102"/>
      <c r="H188" s="102"/>
    </row>
    <row r="189" spans="1:8" x14ac:dyDescent="0.2">
      <c r="A189" s="1" t="s">
        <v>478</v>
      </c>
      <c r="C189" s="167">
        <v>18237501</v>
      </c>
      <c r="D189" s="102"/>
      <c r="E189" s="102"/>
      <c r="F189" s="102"/>
      <c r="G189" s="102"/>
      <c r="H189" s="102"/>
    </row>
    <row r="190" spans="1:8" x14ac:dyDescent="0.2">
      <c r="B190" s="46" t="s">
        <v>470</v>
      </c>
      <c r="C190" s="167">
        <v>25400901</v>
      </c>
      <c r="D190" s="253">
        <v>0</v>
      </c>
      <c r="E190" s="102">
        <f t="shared" ref="E190:H190" si="73">D194</f>
        <v>0</v>
      </c>
      <c r="F190" s="102">
        <f t="shared" si="73"/>
        <v>0</v>
      </c>
      <c r="G190" s="102">
        <f t="shared" si="73"/>
        <v>0</v>
      </c>
      <c r="H190" s="102">
        <f t="shared" si="73"/>
        <v>0</v>
      </c>
    </row>
    <row r="191" spans="1:8" x14ac:dyDescent="0.2">
      <c r="B191" s="259" t="s">
        <v>471</v>
      </c>
      <c r="C191" s="263"/>
      <c r="D191" s="102"/>
      <c r="E191" s="102"/>
      <c r="F191" s="102"/>
      <c r="G191" s="102"/>
      <c r="H191" s="102"/>
    </row>
    <row r="192" spans="1:8" ht="12.75" customHeight="1" x14ac:dyDescent="0.2">
      <c r="B192" s="259" t="s">
        <v>472</v>
      </c>
      <c r="D192" s="260">
        <v>0</v>
      </c>
      <c r="E192" s="260">
        <v>0</v>
      </c>
      <c r="F192" s="260">
        <v>0</v>
      </c>
      <c r="G192" s="260">
        <v>0</v>
      </c>
      <c r="H192" s="260">
        <v>0</v>
      </c>
    </row>
    <row r="193" spans="1:8" x14ac:dyDescent="0.2">
      <c r="B193" s="46" t="s">
        <v>473</v>
      </c>
      <c r="D193" s="261">
        <f t="shared" ref="D193:H193" si="74">SUM(D191:D192)</f>
        <v>0</v>
      </c>
      <c r="E193" s="261">
        <f t="shared" si="74"/>
        <v>0</v>
      </c>
      <c r="F193" s="261">
        <f t="shared" si="74"/>
        <v>0</v>
      </c>
      <c r="G193" s="261">
        <f t="shared" si="74"/>
        <v>0</v>
      </c>
      <c r="H193" s="261">
        <f t="shared" si="74"/>
        <v>0</v>
      </c>
    </row>
    <row r="194" spans="1:8" x14ac:dyDescent="0.2">
      <c r="B194" s="46" t="s">
        <v>474</v>
      </c>
      <c r="D194" s="102">
        <f t="shared" ref="D194:H194" si="75">D190+D193</f>
        <v>0</v>
      </c>
      <c r="E194" s="102">
        <f t="shared" si="75"/>
        <v>0</v>
      </c>
      <c r="F194" s="102">
        <f t="shared" si="75"/>
        <v>0</v>
      </c>
      <c r="G194" s="102">
        <f t="shared" si="75"/>
        <v>0</v>
      </c>
      <c r="H194" s="102">
        <f t="shared" si="75"/>
        <v>0</v>
      </c>
    </row>
    <row r="195" spans="1:8" x14ac:dyDescent="0.2">
      <c r="D195" s="102"/>
      <c r="E195" s="102"/>
      <c r="F195" s="102"/>
      <c r="G195" s="102"/>
      <c r="H195" s="102"/>
    </row>
    <row r="196" spans="1:8" x14ac:dyDescent="0.2">
      <c r="A196" s="1" t="s">
        <v>479</v>
      </c>
      <c r="C196" s="167">
        <v>18237491</v>
      </c>
      <c r="F196" s="64"/>
      <c r="G196" s="64"/>
      <c r="H196" s="64"/>
    </row>
    <row r="197" spans="1:8" x14ac:dyDescent="0.2">
      <c r="B197" s="46" t="s">
        <v>470</v>
      </c>
      <c r="C197" s="167">
        <v>25400891</v>
      </c>
      <c r="D197" s="253">
        <v>0</v>
      </c>
      <c r="E197" s="102">
        <f t="shared" ref="E197:H197" si="76">D201</f>
        <v>0</v>
      </c>
      <c r="F197" s="102">
        <f t="shared" si="76"/>
        <v>0</v>
      </c>
      <c r="G197" s="102">
        <f t="shared" si="76"/>
        <v>0</v>
      </c>
      <c r="H197" s="102">
        <f t="shared" si="76"/>
        <v>0</v>
      </c>
    </row>
    <row r="198" spans="1:8" x14ac:dyDescent="0.2">
      <c r="B198" s="259" t="s">
        <v>471</v>
      </c>
      <c r="C198" s="167"/>
      <c r="D198" s="102"/>
      <c r="E198" s="102"/>
      <c r="F198" s="102"/>
      <c r="G198" s="102"/>
      <c r="H198" s="102"/>
    </row>
    <row r="199" spans="1:8" x14ac:dyDescent="0.2">
      <c r="B199" s="259" t="s">
        <v>472</v>
      </c>
      <c r="D199" s="260">
        <v>0</v>
      </c>
      <c r="E199" s="260">
        <v>0</v>
      </c>
      <c r="F199" s="260">
        <v>0</v>
      </c>
      <c r="G199" s="260">
        <v>0</v>
      </c>
      <c r="H199" s="260">
        <v>0</v>
      </c>
    </row>
    <row r="200" spans="1:8" x14ac:dyDescent="0.2">
      <c r="B200" s="46" t="s">
        <v>473</v>
      </c>
      <c r="D200" s="261">
        <f t="shared" ref="D200:H200" si="77">SUM(D198:D199)</f>
        <v>0</v>
      </c>
      <c r="E200" s="261">
        <f t="shared" si="77"/>
        <v>0</v>
      </c>
      <c r="F200" s="261">
        <f t="shared" si="77"/>
        <v>0</v>
      </c>
      <c r="G200" s="261">
        <f t="shared" si="77"/>
        <v>0</v>
      </c>
      <c r="H200" s="261">
        <f t="shared" si="77"/>
        <v>0</v>
      </c>
    </row>
    <row r="201" spans="1:8" x14ac:dyDescent="0.2">
      <c r="B201" s="46" t="s">
        <v>474</v>
      </c>
      <c r="D201" s="102">
        <f t="shared" ref="D201:H201" si="78">D197+D200</f>
        <v>0</v>
      </c>
      <c r="E201" s="102">
        <f t="shared" si="78"/>
        <v>0</v>
      </c>
      <c r="F201" s="102">
        <f t="shared" si="78"/>
        <v>0</v>
      </c>
      <c r="G201" s="102">
        <f t="shared" si="78"/>
        <v>0</v>
      </c>
      <c r="H201" s="102">
        <f t="shared" si="78"/>
        <v>0</v>
      </c>
    </row>
    <row r="202" spans="1:8" x14ac:dyDescent="0.2">
      <c r="D202" s="102"/>
      <c r="E202" s="102"/>
      <c r="F202" s="102"/>
      <c r="G202" s="102"/>
      <c r="H202" s="102"/>
    </row>
    <row r="203" spans="1:8" x14ac:dyDescent="0.2">
      <c r="A203" s="1" t="s">
        <v>480</v>
      </c>
      <c r="C203" s="167">
        <v>18237481</v>
      </c>
      <c r="F203" s="64"/>
      <c r="G203" s="64"/>
      <c r="H203" s="64"/>
    </row>
    <row r="204" spans="1:8" x14ac:dyDescent="0.2">
      <c r="B204" s="46" t="s">
        <v>470</v>
      </c>
      <c r="C204" s="167">
        <v>25400881</v>
      </c>
      <c r="D204" s="253">
        <v>0</v>
      </c>
      <c r="E204" s="102">
        <f t="shared" ref="E204:H204" si="79">D208</f>
        <v>0</v>
      </c>
      <c r="F204" s="102">
        <f t="shared" si="79"/>
        <v>0</v>
      </c>
      <c r="G204" s="102">
        <f t="shared" si="79"/>
        <v>0</v>
      </c>
      <c r="H204" s="102">
        <f t="shared" si="79"/>
        <v>0</v>
      </c>
    </row>
    <row r="205" spans="1:8" x14ac:dyDescent="0.2">
      <c r="B205" s="259" t="s">
        <v>471</v>
      </c>
      <c r="C205" s="167"/>
      <c r="D205" s="102"/>
      <c r="E205" s="102"/>
      <c r="F205" s="102"/>
      <c r="G205" s="102"/>
      <c r="H205" s="102"/>
    </row>
    <row r="206" spans="1:8" x14ac:dyDescent="0.2">
      <c r="B206" s="259" t="s">
        <v>472</v>
      </c>
      <c r="D206" s="260">
        <v>0</v>
      </c>
      <c r="E206" s="260">
        <v>0</v>
      </c>
      <c r="F206" s="260">
        <v>0</v>
      </c>
      <c r="G206" s="260">
        <v>0</v>
      </c>
      <c r="H206" s="260">
        <v>0</v>
      </c>
    </row>
    <row r="207" spans="1:8" x14ac:dyDescent="0.2">
      <c r="B207" s="46" t="s">
        <v>473</v>
      </c>
      <c r="D207" s="261">
        <f t="shared" ref="D207:H207" si="80">SUM(D205:D206)</f>
        <v>0</v>
      </c>
      <c r="E207" s="261">
        <f t="shared" si="80"/>
        <v>0</v>
      </c>
      <c r="F207" s="261">
        <f t="shared" si="80"/>
        <v>0</v>
      </c>
      <c r="G207" s="261">
        <f t="shared" si="80"/>
        <v>0</v>
      </c>
      <c r="H207" s="261">
        <f t="shared" si="80"/>
        <v>0</v>
      </c>
    </row>
    <row r="208" spans="1:8" x14ac:dyDescent="0.2">
      <c r="B208" s="46" t="s">
        <v>474</v>
      </c>
      <c r="D208" s="102">
        <f t="shared" ref="D208:H208" si="81">D204+D207</f>
        <v>0</v>
      </c>
      <c r="E208" s="102">
        <f t="shared" si="81"/>
        <v>0</v>
      </c>
      <c r="F208" s="102">
        <f t="shared" si="81"/>
        <v>0</v>
      </c>
      <c r="G208" s="102">
        <f t="shared" si="81"/>
        <v>0</v>
      </c>
      <c r="H208" s="102">
        <f t="shared" si="81"/>
        <v>0</v>
      </c>
    </row>
    <row r="209" spans="1:8" x14ac:dyDescent="0.2">
      <c r="D209" s="102"/>
      <c r="E209" s="102"/>
      <c r="F209" s="102"/>
      <c r="G209" s="102"/>
      <c r="H209" s="102"/>
    </row>
    <row r="210" spans="1:8" x14ac:dyDescent="0.2">
      <c r="A210" s="1" t="s">
        <v>481</v>
      </c>
      <c r="C210" s="167">
        <v>18237191</v>
      </c>
      <c r="F210" s="64"/>
      <c r="G210" s="64"/>
      <c r="H210" s="64"/>
    </row>
    <row r="211" spans="1:8" x14ac:dyDescent="0.2">
      <c r="B211" s="46" t="s">
        <v>470</v>
      </c>
      <c r="C211" s="167"/>
      <c r="D211" s="253">
        <v>0</v>
      </c>
      <c r="E211" s="102">
        <f t="shared" ref="E211:H211" si="82">D215</f>
        <v>0</v>
      </c>
      <c r="F211" s="102">
        <f t="shared" si="82"/>
        <v>0</v>
      </c>
      <c r="G211" s="102">
        <f t="shared" si="82"/>
        <v>0</v>
      </c>
      <c r="H211" s="102">
        <f t="shared" si="82"/>
        <v>0</v>
      </c>
    </row>
    <row r="212" spans="1:8" x14ac:dyDescent="0.2">
      <c r="B212" s="259" t="s">
        <v>471</v>
      </c>
      <c r="C212" s="167"/>
      <c r="D212" s="102"/>
      <c r="E212" s="102"/>
      <c r="F212" s="102"/>
      <c r="G212" s="102"/>
      <c r="H212" s="102"/>
    </row>
    <row r="213" spans="1:8" x14ac:dyDescent="0.2">
      <c r="B213" s="259" t="s">
        <v>472</v>
      </c>
      <c r="D213" s="260">
        <v>0</v>
      </c>
      <c r="E213" s="260">
        <v>0</v>
      </c>
      <c r="F213" s="260">
        <v>0</v>
      </c>
      <c r="G213" s="260">
        <v>0</v>
      </c>
      <c r="H213" s="260">
        <v>0</v>
      </c>
    </row>
    <row r="214" spans="1:8" x14ac:dyDescent="0.2">
      <c r="B214" s="46" t="s">
        <v>473</v>
      </c>
      <c r="D214" s="261">
        <f t="shared" ref="D214:H214" si="83">SUM(D212:D213)</f>
        <v>0</v>
      </c>
      <c r="E214" s="261">
        <f t="shared" si="83"/>
        <v>0</v>
      </c>
      <c r="F214" s="261">
        <f t="shared" si="83"/>
        <v>0</v>
      </c>
      <c r="G214" s="261">
        <f t="shared" si="83"/>
        <v>0</v>
      </c>
      <c r="H214" s="261">
        <f t="shared" si="83"/>
        <v>0</v>
      </c>
    </row>
    <row r="215" spans="1:8" x14ac:dyDescent="0.2">
      <c r="B215" s="46" t="s">
        <v>474</v>
      </c>
      <c r="D215" s="102">
        <f t="shared" ref="D215:H215" si="84">D211+D214</f>
        <v>0</v>
      </c>
      <c r="E215" s="102">
        <f t="shared" si="84"/>
        <v>0</v>
      </c>
      <c r="F215" s="102">
        <f t="shared" si="84"/>
        <v>0</v>
      </c>
      <c r="G215" s="102">
        <f t="shared" si="84"/>
        <v>0</v>
      </c>
      <c r="H215" s="102">
        <f t="shared" si="84"/>
        <v>0</v>
      </c>
    </row>
    <row r="216" spans="1:8" x14ac:dyDescent="0.2">
      <c r="D216" s="102"/>
      <c r="E216" s="102"/>
      <c r="F216" s="102"/>
      <c r="G216" s="102"/>
      <c r="H216" s="102"/>
    </row>
    <row r="217" spans="1:8" x14ac:dyDescent="0.2">
      <c r="A217" s="215" t="s">
        <v>482</v>
      </c>
      <c r="C217" s="167">
        <v>18237231</v>
      </c>
      <c r="F217" s="64"/>
      <c r="G217" s="64"/>
      <c r="H217" s="64"/>
    </row>
    <row r="218" spans="1:8" x14ac:dyDescent="0.2">
      <c r="B218" s="46" t="s">
        <v>470</v>
      </c>
      <c r="C218" s="167">
        <v>25400631</v>
      </c>
      <c r="D218" s="253">
        <v>0</v>
      </c>
      <c r="E218" s="102">
        <f t="shared" ref="E218:H218" si="85">D223</f>
        <v>-1373354.01</v>
      </c>
      <c r="F218" s="102">
        <f t="shared" si="85"/>
        <v>910378.38251070981</v>
      </c>
      <c r="G218" s="102">
        <f t="shared" si="85"/>
        <v>910378.38251070981</v>
      </c>
      <c r="H218" s="102">
        <f t="shared" si="85"/>
        <v>910378.38251070981</v>
      </c>
    </row>
    <row r="219" spans="1:8" x14ac:dyDescent="0.2">
      <c r="A219" s="264"/>
      <c r="B219" s="259" t="s">
        <v>471</v>
      </c>
      <c r="C219" s="265"/>
      <c r="D219" s="266">
        <v>0</v>
      </c>
      <c r="E219" s="266">
        <v>0</v>
      </c>
      <c r="F219" s="266">
        <v>0</v>
      </c>
      <c r="G219" s="266">
        <v>0</v>
      </c>
      <c r="H219" s="266">
        <v>0</v>
      </c>
    </row>
    <row r="220" spans="1:8" x14ac:dyDescent="0.2">
      <c r="A220" s="264"/>
      <c r="B220" s="259" t="s">
        <v>501</v>
      </c>
      <c r="C220" s="265"/>
      <c r="D220" s="266"/>
      <c r="E220" s="260">
        <f>'One Time FPC Alloc 2017'!E16</f>
        <v>144662.03251071001</v>
      </c>
      <c r="F220" s="266"/>
      <c r="G220" s="266"/>
      <c r="H220" s="266"/>
    </row>
    <row r="221" spans="1:8" x14ac:dyDescent="0.2">
      <c r="A221" s="259"/>
      <c r="B221" s="259" t="s">
        <v>483</v>
      </c>
      <c r="C221" s="267"/>
      <c r="D221" s="442">
        <v>-1373354.01</v>
      </c>
      <c r="E221" s="442">
        <v>2139070.36</v>
      </c>
      <c r="F221" s="260">
        <v>0</v>
      </c>
      <c r="G221" s="260">
        <v>0</v>
      </c>
      <c r="H221" s="260">
        <v>0</v>
      </c>
    </row>
    <row r="222" spans="1:8" x14ac:dyDescent="0.2">
      <c r="B222" s="46" t="s">
        <v>473</v>
      </c>
      <c r="D222" s="261">
        <f t="shared" ref="D222:H222" si="86">SUM(D219:D221)</f>
        <v>-1373354.01</v>
      </c>
      <c r="E222" s="261">
        <f t="shared" si="86"/>
        <v>2283732.3925107098</v>
      </c>
      <c r="F222" s="261">
        <f t="shared" si="86"/>
        <v>0</v>
      </c>
      <c r="G222" s="261">
        <f t="shared" si="86"/>
        <v>0</v>
      </c>
      <c r="H222" s="261">
        <f t="shared" si="86"/>
        <v>0</v>
      </c>
    </row>
    <row r="223" spans="1:8" x14ac:dyDescent="0.2">
      <c r="B223" s="46" t="s">
        <v>474</v>
      </c>
      <c r="D223" s="102">
        <f t="shared" ref="D223:H223" si="87">D218+D222</f>
        <v>-1373354.01</v>
      </c>
      <c r="E223" s="102">
        <f t="shared" si="87"/>
        <v>910378.38251070981</v>
      </c>
      <c r="F223" s="102">
        <f t="shared" si="87"/>
        <v>910378.38251070981</v>
      </c>
      <c r="G223" s="102">
        <f t="shared" si="87"/>
        <v>910378.38251070981</v>
      </c>
      <c r="H223" s="102">
        <f t="shared" si="87"/>
        <v>910378.38251070981</v>
      </c>
    </row>
    <row r="224" spans="1:8" x14ac:dyDescent="0.2">
      <c r="F224" s="64"/>
      <c r="G224" s="64"/>
      <c r="H224" s="64"/>
    </row>
    <row r="225" spans="1:8" x14ac:dyDescent="0.2">
      <c r="A225" s="215" t="s">
        <v>484</v>
      </c>
      <c r="C225" s="167">
        <v>18237251</v>
      </c>
      <c r="F225" s="64"/>
      <c r="G225" s="64"/>
      <c r="H225" s="64"/>
    </row>
    <row r="226" spans="1:8" x14ac:dyDescent="0.2">
      <c r="B226" s="46" t="s">
        <v>470</v>
      </c>
      <c r="C226" s="167">
        <v>25400651</v>
      </c>
      <c r="D226" s="253">
        <v>0</v>
      </c>
      <c r="E226" s="102">
        <f>D231</f>
        <v>-212754.14</v>
      </c>
      <c r="F226" s="102">
        <f>E231</f>
        <v>399023.81453979993</v>
      </c>
      <c r="G226" s="102">
        <f>F231</f>
        <v>399023.81453979993</v>
      </c>
      <c r="H226" s="102">
        <f t="shared" ref="H226" si="88">G231</f>
        <v>399023.81453979993</v>
      </c>
    </row>
    <row r="227" spans="1:8" x14ac:dyDescent="0.2">
      <c r="A227" s="264"/>
      <c r="B227" s="259" t="s">
        <v>471</v>
      </c>
      <c r="C227" s="259"/>
      <c r="D227" s="266">
        <v>0</v>
      </c>
      <c r="E227" s="266">
        <v>0</v>
      </c>
      <c r="F227" s="266">
        <v>0</v>
      </c>
      <c r="G227" s="266">
        <v>0</v>
      </c>
      <c r="H227" s="266">
        <v>0</v>
      </c>
    </row>
    <row r="228" spans="1:8" x14ac:dyDescent="0.2">
      <c r="A228" s="264"/>
      <c r="B228" s="259" t="s">
        <v>501</v>
      </c>
      <c r="C228" s="259"/>
      <c r="D228" s="266"/>
      <c r="E228" s="260">
        <f>'One Time FPC Alloc 2017'!F16</f>
        <v>35465.624539799996</v>
      </c>
      <c r="F228" s="266"/>
      <c r="G228" s="266"/>
      <c r="H228" s="266"/>
    </row>
    <row r="229" spans="1:8" x14ac:dyDescent="0.2">
      <c r="A229" s="259"/>
      <c r="B229" s="259" t="s">
        <v>483</v>
      </c>
      <c r="C229" s="267"/>
      <c r="D229" s="442">
        <v>-212754.14</v>
      </c>
      <c r="E229" s="442">
        <v>576312.32999999996</v>
      </c>
      <c r="F229" s="260">
        <v>0</v>
      </c>
      <c r="G229" s="260">
        <v>0</v>
      </c>
      <c r="H229" s="260">
        <v>0</v>
      </c>
    </row>
    <row r="230" spans="1:8" x14ac:dyDescent="0.2">
      <c r="B230" s="46" t="s">
        <v>473</v>
      </c>
      <c r="D230" s="261">
        <f t="shared" ref="D230:H230" si="89">SUM(D227:D229)</f>
        <v>-212754.14</v>
      </c>
      <c r="E230" s="261">
        <f t="shared" si="89"/>
        <v>611777.95453979995</v>
      </c>
      <c r="F230" s="261">
        <f t="shared" si="89"/>
        <v>0</v>
      </c>
      <c r="G230" s="261">
        <f t="shared" si="89"/>
        <v>0</v>
      </c>
      <c r="H230" s="261">
        <f t="shared" si="89"/>
        <v>0</v>
      </c>
    </row>
    <row r="231" spans="1:8" x14ac:dyDescent="0.2">
      <c r="B231" s="46" t="s">
        <v>474</v>
      </c>
      <c r="D231" s="102">
        <f t="shared" ref="D231:H231" si="90">D226+D230</f>
        <v>-212754.14</v>
      </c>
      <c r="E231" s="102">
        <f t="shared" si="90"/>
        <v>399023.81453979993</v>
      </c>
      <c r="F231" s="102">
        <f t="shared" si="90"/>
        <v>399023.81453979993</v>
      </c>
      <c r="G231" s="102">
        <f t="shared" si="90"/>
        <v>399023.81453979993</v>
      </c>
      <c r="H231" s="102">
        <f t="shared" si="90"/>
        <v>399023.81453979993</v>
      </c>
    </row>
    <row r="232" spans="1:8" s="64" customFormat="1" x14ac:dyDescent="0.2">
      <c r="A232" s="46"/>
      <c r="B232" s="46"/>
    </row>
    <row r="233" spans="1:8" s="64" customFormat="1" x14ac:dyDescent="0.2">
      <c r="A233" s="215" t="s">
        <v>486</v>
      </c>
      <c r="B233" s="46"/>
      <c r="C233" s="167">
        <v>18237241</v>
      </c>
    </row>
    <row r="234" spans="1:8" s="64" customFormat="1" x14ac:dyDescent="0.2">
      <c r="A234" s="46"/>
      <c r="B234" s="46" t="s">
        <v>470</v>
      </c>
      <c r="C234" s="167">
        <v>25400641</v>
      </c>
      <c r="D234" s="253">
        <v>0</v>
      </c>
      <c r="E234" s="102">
        <f t="shared" ref="E234:H234" si="91">D239</f>
        <v>-35937.72</v>
      </c>
      <c r="F234" s="102">
        <f t="shared" si="91"/>
        <v>-240266.59207911001</v>
      </c>
      <c r="G234" s="102">
        <f t="shared" si="91"/>
        <v>-240266.59207911001</v>
      </c>
      <c r="H234" s="102">
        <f t="shared" si="91"/>
        <v>-240266.59207911001</v>
      </c>
    </row>
    <row r="235" spans="1:8" x14ac:dyDescent="0.2">
      <c r="A235" s="264"/>
      <c r="B235" s="259" t="s">
        <v>471</v>
      </c>
      <c r="C235" s="259"/>
      <c r="D235" s="266">
        <v>0</v>
      </c>
      <c r="E235" s="266">
        <v>0</v>
      </c>
      <c r="F235" s="266">
        <v>0</v>
      </c>
      <c r="G235" s="266">
        <v>0</v>
      </c>
      <c r="H235" s="266">
        <v>0</v>
      </c>
    </row>
    <row r="236" spans="1:8" x14ac:dyDescent="0.2">
      <c r="A236" s="264"/>
      <c r="B236" s="259" t="s">
        <v>501</v>
      </c>
      <c r="C236" s="259"/>
      <c r="D236" s="266"/>
      <c r="E236" s="260">
        <f>'One Time FPC Alloc 2017'!G16</f>
        <v>36988.007920889992</v>
      </c>
      <c r="F236" s="266"/>
      <c r="G236" s="266"/>
      <c r="H236" s="266"/>
    </row>
    <row r="237" spans="1:8" x14ac:dyDescent="0.2">
      <c r="A237" s="259"/>
      <c r="B237" s="259" t="s">
        <v>483</v>
      </c>
      <c r="C237" s="267"/>
      <c r="D237" s="442">
        <v>-35937.72</v>
      </c>
      <c r="E237" s="442">
        <v>-241316.88</v>
      </c>
      <c r="F237" s="260">
        <v>0</v>
      </c>
      <c r="G237" s="260">
        <v>0</v>
      </c>
      <c r="H237" s="260">
        <v>0</v>
      </c>
    </row>
    <row r="238" spans="1:8" x14ac:dyDescent="0.2">
      <c r="B238" s="46" t="s">
        <v>473</v>
      </c>
      <c r="D238" s="261">
        <f t="shared" ref="D238:H238" si="92">SUM(D235:D237)</f>
        <v>-35937.72</v>
      </c>
      <c r="E238" s="261">
        <f t="shared" si="92"/>
        <v>-204328.87207911001</v>
      </c>
      <c r="F238" s="261">
        <f t="shared" si="92"/>
        <v>0</v>
      </c>
      <c r="G238" s="261">
        <f t="shared" si="92"/>
        <v>0</v>
      </c>
      <c r="H238" s="261">
        <f t="shared" si="92"/>
        <v>0</v>
      </c>
    </row>
    <row r="239" spans="1:8" x14ac:dyDescent="0.2">
      <c r="B239" s="46" t="s">
        <v>474</v>
      </c>
      <c r="D239" s="102">
        <f t="shared" ref="D239:H239" si="93">D234+D238</f>
        <v>-35937.72</v>
      </c>
      <c r="E239" s="102">
        <f t="shared" si="93"/>
        <v>-240266.59207911001</v>
      </c>
      <c r="F239" s="102">
        <f t="shared" si="93"/>
        <v>-240266.59207911001</v>
      </c>
      <c r="G239" s="102">
        <f t="shared" si="93"/>
        <v>-240266.59207911001</v>
      </c>
      <c r="H239" s="102">
        <f t="shared" si="93"/>
        <v>-240266.59207911001</v>
      </c>
    </row>
    <row r="240" spans="1:8" x14ac:dyDescent="0.2">
      <c r="F240" s="64"/>
      <c r="G240" s="64"/>
      <c r="H240" s="64"/>
    </row>
    <row r="241" spans="1:8" x14ac:dyDescent="0.2">
      <c r="A241" s="215" t="s">
        <v>487</v>
      </c>
      <c r="C241" s="167">
        <v>18237281</v>
      </c>
      <c r="F241" s="64"/>
      <c r="G241" s="64"/>
      <c r="H241" s="64"/>
    </row>
    <row r="242" spans="1:8" x14ac:dyDescent="0.2">
      <c r="B242" s="46" t="s">
        <v>470</v>
      </c>
      <c r="C242" s="167">
        <v>25400681</v>
      </c>
      <c r="D242" s="253">
        <v>0</v>
      </c>
      <c r="E242" s="102">
        <f t="shared" ref="E242:H242" si="94">D247</f>
        <v>129130.56</v>
      </c>
      <c r="F242" s="102">
        <f t="shared" si="94"/>
        <v>472597.07665573998</v>
      </c>
      <c r="G242" s="102">
        <f t="shared" si="94"/>
        <v>472597.07665573998</v>
      </c>
      <c r="H242" s="102">
        <f t="shared" si="94"/>
        <v>472597.07665573998</v>
      </c>
    </row>
    <row r="243" spans="1:8" x14ac:dyDescent="0.2">
      <c r="A243" s="264"/>
      <c r="B243" s="259" t="s">
        <v>471</v>
      </c>
      <c r="C243" s="259"/>
      <c r="D243" s="266">
        <v>0</v>
      </c>
      <c r="E243" s="266">
        <v>0</v>
      </c>
      <c r="F243" s="266">
        <v>0</v>
      </c>
      <c r="G243" s="266">
        <v>0</v>
      </c>
      <c r="H243" s="266">
        <v>0</v>
      </c>
    </row>
    <row r="244" spans="1:8" x14ac:dyDescent="0.2">
      <c r="A244" s="264"/>
      <c r="B244" s="259" t="s">
        <v>501</v>
      </c>
      <c r="C244" s="259"/>
      <c r="D244" s="266"/>
      <c r="E244" s="260">
        <f>'One Time FPC Alloc 2017'!H16</f>
        <v>7202.6566557400001</v>
      </c>
      <c r="F244" s="266"/>
      <c r="G244" s="266"/>
      <c r="H244" s="266"/>
    </row>
    <row r="245" spans="1:8" x14ac:dyDescent="0.2">
      <c r="A245" s="259"/>
      <c r="B245" s="259" t="s">
        <v>483</v>
      </c>
      <c r="C245" s="267"/>
      <c r="D245" s="442">
        <v>129130.56</v>
      </c>
      <c r="E245" s="442">
        <v>336263.86</v>
      </c>
      <c r="F245" s="260">
        <v>0</v>
      </c>
      <c r="G245" s="260">
        <v>0</v>
      </c>
      <c r="H245" s="260">
        <v>0</v>
      </c>
    </row>
    <row r="246" spans="1:8" x14ac:dyDescent="0.2">
      <c r="B246" s="46" t="s">
        <v>473</v>
      </c>
      <c r="D246" s="261">
        <f t="shared" ref="D246:H246" si="95">SUM(D243:D245)</f>
        <v>129130.56</v>
      </c>
      <c r="E246" s="261">
        <f t="shared" si="95"/>
        <v>343466.51665573998</v>
      </c>
      <c r="F246" s="261">
        <f t="shared" si="95"/>
        <v>0</v>
      </c>
      <c r="G246" s="261">
        <f t="shared" si="95"/>
        <v>0</v>
      </c>
      <c r="H246" s="261">
        <f t="shared" si="95"/>
        <v>0</v>
      </c>
    </row>
    <row r="247" spans="1:8" x14ac:dyDescent="0.2">
      <c r="B247" s="46" t="s">
        <v>474</v>
      </c>
      <c r="D247" s="102">
        <f t="shared" ref="D247:H247" si="96">D242+D246</f>
        <v>129130.56</v>
      </c>
      <c r="E247" s="102">
        <f t="shared" si="96"/>
        <v>472597.07665573998</v>
      </c>
      <c r="F247" s="102">
        <f t="shared" si="96"/>
        <v>472597.07665573998</v>
      </c>
      <c r="G247" s="102">
        <f t="shared" si="96"/>
        <v>472597.07665573998</v>
      </c>
      <c r="H247" s="102">
        <f t="shared" si="96"/>
        <v>472597.07665573998</v>
      </c>
    </row>
    <row r="248" spans="1:8" x14ac:dyDescent="0.2">
      <c r="F248" s="64"/>
      <c r="G248" s="64"/>
      <c r="H248" s="64"/>
    </row>
    <row r="249" spans="1:8" x14ac:dyDescent="0.2">
      <c r="A249" s="215" t="s">
        <v>488</v>
      </c>
      <c r="C249" s="167">
        <v>18237271</v>
      </c>
      <c r="F249" s="64"/>
      <c r="G249" s="64"/>
      <c r="H249" s="64"/>
    </row>
    <row r="250" spans="1:8" x14ac:dyDescent="0.2">
      <c r="B250" s="46" t="s">
        <v>470</v>
      </c>
      <c r="C250" s="167">
        <v>25400671</v>
      </c>
      <c r="D250" s="253">
        <v>0</v>
      </c>
      <c r="E250" s="102">
        <f>D255</f>
        <v>133361.39000000001</v>
      </c>
      <c r="F250" s="102">
        <f>E255</f>
        <v>553107.41987235006</v>
      </c>
      <c r="G250" s="102">
        <f>F255</f>
        <v>553107.41987235006</v>
      </c>
      <c r="H250" s="102">
        <f t="shared" ref="H250" si="97">G255</f>
        <v>553107.41987235006</v>
      </c>
    </row>
    <row r="251" spans="1:8" x14ac:dyDescent="0.2">
      <c r="A251" s="264"/>
      <c r="B251" s="259" t="s">
        <v>471</v>
      </c>
      <c r="C251" s="259"/>
      <c r="D251" s="266">
        <v>0</v>
      </c>
      <c r="E251" s="266">
        <v>0</v>
      </c>
      <c r="F251" s="266">
        <v>0</v>
      </c>
      <c r="G251" s="266">
        <v>0</v>
      </c>
      <c r="H251" s="266">
        <v>0</v>
      </c>
    </row>
    <row r="252" spans="1:8" x14ac:dyDescent="0.2">
      <c r="A252" s="264"/>
      <c r="B252" s="259" t="s">
        <v>501</v>
      </c>
      <c r="C252" s="259"/>
      <c r="D252" s="266"/>
      <c r="E252" s="260">
        <f>'One Time FPC Alloc 2017'!J16</f>
        <v>23159.489872349997</v>
      </c>
      <c r="F252" s="266"/>
      <c r="G252" s="266"/>
      <c r="H252" s="266"/>
    </row>
    <row r="253" spans="1:8" x14ac:dyDescent="0.2">
      <c r="A253" s="259"/>
      <c r="B253" s="259" t="s">
        <v>483</v>
      </c>
      <c r="C253" s="267"/>
      <c r="D253" s="442">
        <v>133361.39000000001</v>
      </c>
      <c r="E253" s="442">
        <v>396586.54</v>
      </c>
      <c r="F253" s="260">
        <v>0</v>
      </c>
      <c r="G253" s="260">
        <v>0</v>
      </c>
      <c r="H253" s="260">
        <v>0</v>
      </c>
    </row>
    <row r="254" spans="1:8" x14ac:dyDescent="0.2">
      <c r="B254" s="46" t="s">
        <v>473</v>
      </c>
      <c r="D254" s="261">
        <f t="shared" ref="D254:H254" si="98">SUM(D251:D253)</f>
        <v>133361.39000000001</v>
      </c>
      <c r="E254" s="261">
        <f t="shared" si="98"/>
        <v>419746.02987234999</v>
      </c>
      <c r="F254" s="261">
        <f t="shared" si="98"/>
        <v>0</v>
      </c>
      <c r="G254" s="261">
        <f t="shared" si="98"/>
        <v>0</v>
      </c>
      <c r="H254" s="261">
        <f t="shared" si="98"/>
        <v>0</v>
      </c>
    </row>
    <row r="255" spans="1:8" x14ac:dyDescent="0.2">
      <c r="B255" s="46" t="s">
        <v>474</v>
      </c>
      <c r="D255" s="102">
        <f t="shared" ref="D255:H255" si="99">D250+D254</f>
        <v>133361.39000000001</v>
      </c>
      <c r="E255" s="102">
        <f t="shared" si="99"/>
        <v>553107.41987235006</v>
      </c>
      <c r="F255" s="102">
        <f t="shared" si="99"/>
        <v>553107.41987235006</v>
      </c>
      <c r="G255" s="102">
        <f t="shared" si="99"/>
        <v>553107.41987235006</v>
      </c>
      <c r="H255" s="102">
        <f t="shared" si="99"/>
        <v>553107.41987235006</v>
      </c>
    </row>
    <row r="256" spans="1:8" x14ac:dyDescent="0.2">
      <c r="F256" s="64"/>
      <c r="G256" s="64"/>
      <c r="H256" s="64"/>
    </row>
    <row r="257" spans="1:8" x14ac:dyDescent="0.2">
      <c r="A257" s="215" t="s">
        <v>489</v>
      </c>
      <c r="C257" s="167">
        <v>18237261</v>
      </c>
      <c r="F257" s="64"/>
      <c r="G257" s="64"/>
      <c r="H257" s="64"/>
    </row>
    <row r="258" spans="1:8" x14ac:dyDescent="0.2">
      <c r="B258" s="46" t="s">
        <v>470</v>
      </c>
      <c r="C258" s="167">
        <v>25400661</v>
      </c>
      <c r="D258" s="253">
        <v>0</v>
      </c>
      <c r="E258" s="102">
        <f>D263</f>
        <v>-86393.95</v>
      </c>
      <c r="F258" s="102">
        <f>E263</f>
        <v>-338743.21661795996</v>
      </c>
      <c r="G258" s="102">
        <f>F263</f>
        <v>-338743.21661795996</v>
      </c>
      <c r="H258" s="102">
        <f t="shared" ref="H258" si="100">G263</f>
        <v>-338743.21661795996</v>
      </c>
    </row>
    <row r="259" spans="1:8" x14ac:dyDescent="0.2">
      <c r="A259" s="264"/>
      <c r="B259" s="259" t="s">
        <v>471</v>
      </c>
      <c r="C259" s="259"/>
      <c r="D259" s="266">
        <v>0</v>
      </c>
      <c r="E259" s="266">
        <v>0</v>
      </c>
      <c r="F259" s="266">
        <v>0</v>
      </c>
      <c r="G259" s="266">
        <v>0</v>
      </c>
      <c r="H259" s="266">
        <v>0</v>
      </c>
    </row>
    <row r="260" spans="1:8" x14ac:dyDescent="0.2">
      <c r="A260" s="264"/>
      <c r="B260" s="259" t="s">
        <v>501</v>
      </c>
      <c r="C260" s="259"/>
      <c r="D260" s="266"/>
      <c r="E260" s="260">
        <f>'One Time FPC Alloc 2017'!K16</f>
        <v>15298.833382039998</v>
      </c>
      <c r="F260" s="266"/>
      <c r="G260" s="266"/>
      <c r="H260" s="266"/>
    </row>
    <row r="261" spans="1:8" x14ac:dyDescent="0.2">
      <c r="A261" s="259"/>
      <c r="B261" s="259" t="s">
        <v>483</v>
      </c>
      <c r="C261" s="267"/>
      <c r="D261" s="442">
        <v>-86393.95</v>
      </c>
      <c r="E261" s="442">
        <v>-267648.09999999998</v>
      </c>
      <c r="F261" s="260">
        <v>0</v>
      </c>
      <c r="G261" s="260">
        <v>0</v>
      </c>
      <c r="H261" s="260">
        <v>0</v>
      </c>
    </row>
    <row r="262" spans="1:8" x14ac:dyDescent="0.2">
      <c r="B262" s="46" t="s">
        <v>473</v>
      </c>
      <c r="D262" s="261">
        <f t="shared" ref="D262:H262" si="101">SUM(D259:D261)</f>
        <v>-86393.95</v>
      </c>
      <c r="E262" s="261">
        <f t="shared" si="101"/>
        <v>-252349.26661795998</v>
      </c>
      <c r="F262" s="261">
        <f t="shared" si="101"/>
        <v>0</v>
      </c>
      <c r="G262" s="261">
        <f t="shared" si="101"/>
        <v>0</v>
      </c>
      <c r="H262" s="261">
        <f t="shared" si="101"/>
        <v>0</v>
      </c>
    </row>
    <row r="263" spans="1:8" x14ac:dyDescent="0.2">
      <c r="B263" s="46" t="s">
        <v>474</v>
      </c>
      <c r="D263" s="102">
        <f t="shared" ref="D263:H263" si="102">D258+D262</f>
        <v>-86393.95</v>
      </c>
      <c r="E263" s="102">
        <f t="shared" si="102"/>
        <v>-338743.21661795996</v>
      </c>
      <c r="F263" s="102">
        <f t="shared" si="102"/>
        <v>-338743.21661795996</v>
      </c>
      <c r="G263" s="102">
        <f t="shared" si="102"/>
        <v>-338743.21661795996</v>
      </c>
      <c r="H263" s="102">
        <f t="shared" si="102"/>
        <v>-338743.21661795996</v>
      </c>
    </row>
    <row r="264" spans="1:8" x14ac:dyDescent="0.2">
      <c r="F264" s="64"/>
      <c r="G264" s="64"/>
      <c r="H264" s="64"/>
    </row>
    <row r="265" spans="1:8" x14ac:dyDescent="0.2">
      <c r="A265" s="215" t="s">
        <v>490</v>
      </c>
      <c r="C265" s="167">
        <v>18237171</v>
      </c>
      <c r="F265" s="64"/>
      <c r="G265" s="64"/>
      <c r="H265" s="64"/>
    </row>
    <row r="266" spans="1:8" x14ac:dyDescent="0.2">
      <c r="B266" s="46" t="s">
        <v>470</v>
      </c>
      <c r="C266" s="167"/>
      <c r="D266" s="253">
        <v>0</v>
      </c>
      <c r="E266" s="102">
        <f>D271</f>
        <v>0</v>
      </c>
      <c r="F266" s="102">
        <f>E271</f>
        <v>6913.9892416399998</v>
      </c>
      <c r="G266" s="102">
        <f>F271</f>
        <v>6913.9892416399998</v>
      </c>
      <c r="H266" s="102">
        <f t="shared" ref="H266" si="103">G271</f>
        <v>6913.9892416399998</v>
      </c>
    </row>
    <row r="267" spans="1:8" x14ac:dyDescent="0.2">
      <c r="A267" s="264"/>
      <c r="B267" s="259" t="s">
        <v>471</v>
      </c>
      <c r="C267" s="259"/>
      <c r="D267" s="266">
        <v>0</v>
      </c>
      <c r="E267" s="266">
        <v>0</v>
      </c>
      <c r="F267" s="266">
        <v>0</v>
      </c>
      <c r="G267" s="266">
        <v>0</v>
      </c>
      <c r="H267" s="266">
        <v>0</v>
      </c>
    </row>
    <row r="268" spans="1:8" x14ac:dyDescent="0.2">
      <c r="A268" s="264"/>
      <c r="B268" s="259" t="s">
        <v>501</v>
      </c>
      <c r="C268" s="259"/>
      <c r="D268" s="266"/>
      <c r="E268" s="260">
        <f>'One Time FPC Alloc 2017'!I16</f>
        <v>6913.9892416399998</v>
      </c>
      <c r="F268" s="266"/>
      <c r="G268" s="266"/>
      <c r="H268" s="266"/>
    </row>
    <row r="269" spans="1:8" x14ac:dyDescent="0.2">
      <c r="A269" s="259"/>
      <c r="B269" s="259" t="s">
        <v>483</v>
      </c>
      <c r="C269" s="267"/>
      <c r="D269" s="260">
        <v>0</v>
      </c>
      <c r="E269" s="260">
        <v>0</v>
      </c>
      <c r="F269" s="260">
        <v>0</v>
      </c>
      <c r="G269" s="260">
        <v>0</v>
      </c>
      <c r="H269" s="260">
        <v>0</v>
      </c>
    </row>
    <row r="270" spans="1:8" x14ac:dyDescent="0.2">
      <c r="B270" s="46" t="s">
        <v>473</v>
      </c>
      <c r="D270" s="261">
        <f t="shared" ref="D270:H270" si="104">SUM(D267:D269)</f>
        <v>0</v>
      </c>
      <c r="E270" s="261">
        <f t="shared" si="104"/>
        <v>6913.9892416399998</v>
      </c>
      <c r="F270" s="261">
        <f t="shared" si="104"/>
        <v>0</v>
      </c>
      <c r="G270" s="261">
        <f t="shared" si="104"/>
        <v>0</v>
      </c>
      <c r="H270" s="261">
        <f t="shared" si="104"/>
        <v>0</v>
      </c>
    </row>
    <row r="271" spans="1:8" x14ac:dyDescent="0.2">
      <c r="B271" s="46" t="s">
        <v>474</v>
      </c>
      <c r="D271" s="102">
        <f t="shared" ref="D271:H271" si="105">D266+D270</f>
        <v>0</v>
      </c>
      <c r="E271" s="102">
        <f t="shared" si="105"/>
        <v>6913.9892416399998</v>
      </c>
      <c r="F271" s="102">
        <f t="shared" si="105"/>
        <v>6913.9892416399998</v>
      </c>
      <c r="G271" s="102">
        <f t="shared" si="105"/>
        <v>6913.9892416399998</v>
      </c>
      <c r="H271" s="102">
        <f t="shared" si="105"/>
        <v>6913.9892416399998</v>
      </c>
    </row>
    <row r="272" spans="1:8" x14ac:dyDescent="0.2">
      <c r="D272" s="102"/>
      <c r="E272" s="102"/>
      <c r="F272" s="102"/>
      <c r="G272" s="102"/>
      <c r="H272" s="102"/>
    </row>
    <row r="273" spans="1:8" x14ac:dyDescent="0.2">
      <c r="A273" s="215" t="s">
        <v>491</v>
      </c>
      <c r="C273" s="167">
        <v>18237341</v>
      </c>
      <c r="F273" s="64"/>
      <c r="G273" s="64"/>
      <c r="H273" s="64"/>
    </row>
    <row r="274" spans="1:8" x14ac:dyDescent="0.2">
      <c r="B274" s="46" t="s">
        <v>470</v>
      </c>
      <c r="C274" s="167">
        <v>25400741</v>
      </c>
      <c r="D274" s="253">
        <v>0</v>
      </c>
      <c r="E274" s="102">
        <f t="shared" ref="E274:H274" si="106">D278</f>
        <v>-2409.0918258749998</v>
      </c>
      <c r="F274" s="102">
        <f t="shared" si="106"/>
        <v>1234.0212221048973</v>
      </c>
      <c r="G274" s="102">
        <f t="shared" si="106"/>
        <v>1234.0212221048973</v>
      </c>
      <c r="H274" s="102">
        <f t="shared" si="106"/>
        <v>1234.0212221048973</v>
      </c>
    </row>
    <row r="275" spans="1:8" x14ac:dyDescent="0.2">
      <c r="A275" s="264"/>
      <c r="B275" s="259" t="s">
        <v>471</v>
      </c>
      <c r="C275" s="259"/>
      <c r="D275" s="266">
        <v>0</v>
      </c>
      <c r="E275" s="266">
        <v>0</v>
      </c>
      <c r="F275" s="266">
        <v>0</v>
      </c>
      <c r="G275" s="266">
        <v>0</v>
      </c>
      <c r="H275" s="266">
        <v>0</v>
      </c>
    </row>
    <row r="276" spans="1:8" x14ac:dyDescent="0.2">
      <c r="A276" s="259"/>
      <c r="B276" s="259" t="s">
        <v>492</v>
      </c>
      <c r="C276" s="267"/>
      <c r="D276" s="442">
        <v>-2409.0918258749998</v>
      </c>
      <c r="E276" s="442">
        <v>3643.1130479798971</v>
      </c>
      <c r="F276" s="260">
        <v>0</v>
      </c>
      <c r="G276" s="260">
        <v>0</v>
      </c>
      <c r="H276" s="260">
        <v>0</v>
      </c>
    </row>
    <row r="277" spans="1:8" x14ac:dyDescent="0.2">
      <c r="B277" s="46" t="s">
        <v>473</v>
      </c>
      <c r="D277" s="261">
        <f t="shared" ref="D277:H277" si="107">SUM(D275:D276)</f>
        <v>-2409.0918258749998</v>
      </c>
      <c r="E277" s="261">
        <f t="shared" si="107"/>
        <v>3643.1130479798971</v>
      </c>
      <c r="F277" s="261">
        <f t="shared" si="107"/>
        <v>0</v>
      </c>
      <c r="G277" s="261">
        <f t="shared" si="107"/>
        <v>0</v>
      </c>
      <c r="H277" s="261">
        <f t="shared" si="107"/>
        <v>0</v>
      </c>
    </row>
    <row r="278" spans="1:8" x14ac:dyDescent="0.2">
      <c r="B278" s="46" t="s">
        <v>474</v>
      </c>
      <c r="D278" s="102">
        <f t="shared" ref="D278:H278" si="108">D274+D277</f>
        <v>-2409.0918258749998</v>
      </c>
      <c r="E278" s="102">
        <f t="shared" si="108"/>
        <v>1234.0212221048973</v>
      </c>
      <c r="F278" s="102">
        <f t="shared" si="108"/>
        <v>1234.0212221048973</v>
      </c>
      <c r="G278" s="102">
        <f t="shared" si="108"/>
        <v>1234.0212221048973</v>
      </c>
      <c r="H278" s="102">
        <f t="shared" si="108"/>
        <v>1234.0212221048973</v>
      </c>
    </row>
    <row r="279" spans="1:8" x14ac:dyDescent="0.2">
      <c r="F279" s="64"/>
      <c r="G279" s="64"/>
      <c r="H279" s="64"/>
    </row>
    <row r="280" spans="1:8" x14ac:dyDescent="0.2">
      <c r="A280" s="215" t="s">
        <v>493</v>
      </c>
      <c r="C280" s="167">
        <v>18237361</v>
      </c>
      <c r="F280" s="64"/>
      <c r="G280" s="64"/>
      <c r="H280" s="64"/>
    </row>
    <row r="281" spans="1:8" x14ac:dyDescent="0.2">
      <c r="B281" s="46" t="s">
        <v>470</v>
      </c>
      <c r="C281" s="167">
        <v>25400761</v>
      </c>
      <c r="D281" s="253">
        <v>0</v>
      </c>
      <c r="E281" s="102">
        <f>D285</f>
        <v>-373.20622058333333</v>
      </c>
      <c r="F281" s="102">
        <f>E285</f>
        <v>1050.7956627145834</v>
      </c>
      <c r="G281" s="102">
        <f>F285</f>
        <v>1050.7956627145834</v>
      </c>
      <c r="H281" s="102">
        <f t="shared" ref="H281" si="109">G285</f>
        <v>1050.7956627145834</v>
      </c>
    </row>
    <row r="282" spans="1:8" x14ac:dyDescent="0.2">
      <c r="A282" s="264"/>
      <c r="B282" s="259" t="s">
        <v>471</v>
      </c>
      <c r="C282" s="259"/>
      <c r="D282" s="266">
        <v>0</v>
      </c>
      <c r="E282" s="266">
        <v>0</v>
      </c>
      <c r="F282" s="266">
        <v>0</v>
      </c>
      <c r="G282" s="266">
        <v>0</v>
      </c>
      <c r="H282" s="266">
        <v>0</v>
      </c>
    </row>
    <row r="283" spans="1:8" x14ac:dyDescent="0.2">
      <c r="A283" s="259"/>
      <c r="B283" s="259" t="s">
        <v>492</v>
      </c>
      <c r="C283" s="267"/>
      <c r="D283" s="442">
        <v>-373.20622058333333</v>
      </c>
      <c r="E283" s="442">
        <v>1424.0018832979167</v>
      </c>
      <c r="F283" s="260">
        <v>0</v>
      </c>
      <c r="G283" s="260">
        <v>0</v>
      </c>
      <c r="H283" s="260">
        <v>0</v>
      </c>
    </row>
    <row r="284" spans="1:8" x14ac:dyDescent="0.2">
      <c r="B284" s="46" t="s">
        <v>473</v>
      </c>
      <c r="D284" s="261">
        <f t="shared" ref="D284:H284" si="110">SUM(D282:D283)</f>
        <v>-373.20622058333333</v>
      </c>
      <c r="E284" s="261">
        <f t="shared" si="110"/>
        <v>1424.0018832979167</v>
      </c>
      <c r="F284" s="261">
        <f t="shared" si="110"/>
        <v>0</v>
      </c>
      <c r="G284" s="261">
        <f t="shared" si="110"/>
        <v>0</v>
      </c>
      <c r="H284" s="261">
        <f t="shared" si="110"/>
        <v>0</v>
      </c>
    </row>
    <row r="285" spans="1:8" x14ac:dyDescent="0.2">
      <c r="B285" s="46" t="s">
        <v>474</v>
      </c>
      <c r="D285" s="102">
        <f t="shared" ref="D285:H285" si="111">D281+D284</f>
        <v>-373.20622058333333</v>
      </c>
      <c r="E285" s="102">
        <f t="shared" si="111"/>
        <v>1050.7956627145834</v>
      </c>
      <c r="F285" s="102">
        <f t="shared" si="111"/>
        <v>1050.7956627145834</v>
      </c>
      <c r="G285" s="102">
        <f t="shared" si="111"/>
        <v>1050.7956627145834</v>
      </c>
      <c r="H285" s="102">
        <f t="shared" si="111"/>
        <v>1050.7956627145834</v>
      </c>
    </row>
    <row r="286" spans="1:8" x14ac:dyDescent="0.2">
      <c r="D286" s="102"/>
      <c r="E286" s="102"/>
      <c r="F286" s="102"/>
      <c r="G286" s="102"/>
      <c r="H286" s="102"/>
    </row>
    <row r="287" spans="1:8" x14ac:dyDescent="0.2">
      <c r="A287" s="215" t="s">
        <v>495</v>
      </c>
      <c r="C287" s="167">
        <v>18237351</v>
      </c>
      <c r="F287" s="64"/>
      <c r="G287" s="64"/>
      <c r="H287" s="64"/>
    </row>
    <row r="288" spans="1:8" x14ac:dyDescent="0.2">
      <c r="B288" s="46" t="s">
        <v>470</v>
      </c>
      <c r="C288" s="167">
        <v>25400751</v>
      </c>
      <c r="D288" s="253">
        <v>0</v>
      </c>
      <c r="E288" s="102">
        <f t="shared" ref="E288:H288" si="112">D292</f>
        <v>-63.040750500000001</v>
      </c>
      <c r="F288" s="102">
        <f t="shared" si="112"/>
        <v>588.96380336593734</v>
      </c>
      <c r="G288" s="102">
        <f t="shared" si="112"/>
        <v>588.96380336593734</v>
      </c>
      <c r="H288" s="102">
        <f t="shared" si="112"/>
        <v>588.96380336593734</v>
      </c>
    </row>
    <row r="289" spans="1:8" x14ac:dyDescent="0.2">
      <c r="A289" s="264"/>
      <c r="B289" s="259" t="s">
        <v>471</v>
      </c>
      <c r="C289" s="259"/>
      <c r="D289" s="266">
        <v>0</v>
      </c>
      <c r="E289" s="266">
        <v>0</v>
      </c>
      <c r="F289" s="266">
        <v>0</v>
      </c>
      <c r="G289" s="266">
        <v>0</v>
      </c>
      <c r="H289" s="266">
        <v>0</v>
      </c>
    </row>
    <row r="290" spans="1:8" x14ac:dyDescent="0.2">
      <c r="A290" s="259"/>
      <c r="B290" s="259" t="s">
        <v>492</v>
      </c>
      <c r="C290" s="267"/>
      <c r="D290" s="442">
        <v>-63.040750500000001</v>
      </c>
      <c r="E290" s="442">
        <v>652.00455386593728</v>
      </c>
      <c r="F290" s="260">
        <v>0</v>
      </c>
      <c r="G290" s="260">
        <v>0</v>
      </c>
      <c r="H290" s="260">
        <v>0</v>
      </c>
    </row>
    <row r="291" spans="1:8" x14ac:dyDescent="0.2">
      <c r="B291" s="46" t="s">
        <v>473</v>
      </c>
      <c r="D291" s="261">
        <f t="shared" ref="D291:H291" si="113">SUM(D289:D290)</f>
        <v>-63.040750500000001</v>
      </c>
      <c r="E291" s="261">
        <f t="shared" si="113"/>
        <v>652.00455386593728</v>
      </c>
      <c r="F291" s="261">
        <f t="shared" si="113"/>
        <v>0</v>
      </c>
      <c r="G291" s="261">
        <f t="shared" si="113"/>
        <v>0</v>
      </c>
      <c r="H291" s="261">
        <f t="shared" si="113"/>
        <v>0</v>
      </c>
    </row>
    <row r="292" spans="1:8" x14ac:dyDescent="0.2">
      <c r="B292" s="46" t="s">
        <v>474</v>
      </c>
      <c r="D292" s="102">
        <f t="shared" ref="D292:H292" si="114">D288+D291</f>
        <v>-63.040750500000001</v>
      </c>
      <c r="E292" s="102">
        <f t="shared" si="114"/>
        <v>588.96380336593734</v>
      </c>
      <c r="F292" s="102">
        <f t="shared" si="114"/>
        <v>588.96380336593734</v>
      </c>
      <c r="G292" s="102">
        <f t="shared" si="114"/>
        <v>588.96380336593734</v>
      </c>
      <c r="H292" s="102">
        <f t="shared" si="114"/>
        <v>588.96380336593734</v>
      </c>
    </row>
    <row r="293" spans="1:8" x14ac:dyDescent="0.2">
      <c r="D293" s="102"/>
      <c r="E293" s="102"/>
      <c r="F293" s="102"/>
      <c r="G293" s="102"/>
      <c r="H293" s="102"/>
    </row>
    <row r="294" spans="1:8" x14ac:dyDescent="0.2">
      <c r="A294" s="215" t="s">
        <v>496</v>
      </c>
      <c r="C294" s="167">
        <v>18237391</v>
      </c>
      <c r="F294" s="64"/>
      <c r="G294" s="64"/>
      <c r="H294" s="64"/>
    </row>
    <row r="295" spans="1:8" x14ac:dyDescent="0.2">
      <c r="B295" s="46" t="s">
        <v>470</v>
      </c>
      <c r="C295" s="167">
        <v>25400791</v>
      </c>
      <c r="D295" s="253">
        <v>0</v>
      </c>
      <c r="E295" s="102">
        <f t="shared" ref="E295:H295" si="115">D299</f>
        <v>226.516524</v>
      </c>
      <c r="F295" s="102">
        <f t="shared" si="115"/>
        <v>1514.2849094539583</v>
      </c>
      <c r="G295" s="102">
        <f t="shared" si="115"/>
        <v>1514.2849094539583</v>
      </c>
      <c r="H295" s="102">
        <f t="shared" si="115"/>
        <v>1514.2849094539583</v>
      </c>
    </row>
    <row r="296" spans="1:8" x14ac:dyDescent="0.2">
      <c r="A296" s="264"/>
      <c r="B296" s="259" t="s">
        <v>471</v>
      </c>
      <c r="C296" s="259"/>
      <c r="D296" s="266">
        <v>0</v>
      </c>
      <c r="E296" s="266">
        <v>0</v>
      </c>
      <c r="F296" s="266">
        <v>0</v>
      </c>
      <c r="G296" s="266">
        <v>0</v>
      </c>
      <c r="H296" s="266">
        <v>0</v>
      </c>
    </row>
    <row r="297" spans="1:8" x14ac:dyDescent="0.2">
      <c r="A297" s="259"/>
      <c r="B297" s="259" t="s">
        <v>492</v>
      </c>
      <c r="C297" s="267"/>
      <c r="D297" s="442">
        <v>226.516524</v>
      </c>
      <c r="E297" s="442">
        <v>1287.7683854539584</v>
      </c>
      <c r="F297" s="260">
        <v>0</v>
      </c>
      <c r="G297" s="260">
        <v>0</v>
      </c>
      <c r="H297" s="260">
        <v>0</v>
      </c>
    </row>
    <row r="298" spans="1:8" x14ac:dyDescent="0.2">
      <c r="B298" s="46" t="s">
        <v>473</v>
      </c>
      <c r="D298" s="261">
        <f t="shared" ref="D298:H298" si="116">SUM(D296:D297)</f>
        <v>226.516524</v>
      </c>
      <c r="E298" s="261">
        <f t="shared" si="116"/>
        <v>1287.7683854539584</v>
      </c>
      <c r="F298" s="261">
        <f t="shared" si="116"/>
        <v>0</v>
      </c>
      <c r="G298" s="261">
        <f t="shared" si="116"/>
        <v>0</v>
      </c>
      <c r="H298" s="261">
        <f t="shared" si="116"/>
        <v>0</v>
      </c>
    </row>
    <row r="299" spans="1:8" x14ac:dyDescent="0.2">
      <c r="B299" s="46" t="s">
        <v>474</v>
      </c>
      <c r="D299" s="102">
        <f t="shared" ref="D299:H299" si="117">D295+D298</f>
        <v>226.516524</v>
      </c>
      <c r="E299" s="102">
        <f t="shared" si="117"/>
        <v>1514.2849094539583</v>
      </c>
      <c r="F299" s="102">
        <f t="shared" si="117"/>
        <v>1514.2849094539583</v>
      </c>
      <c r="G299" s="102">
        <f t="shared" si="117"/>
        <v>1514.2849094539583</v>
      </c>
      <c r="H299" s="102">
        <f t="shared" si="117"/>
        <v>1514.2849094539583</v>
      </c>
    </row>
    <row r="300" spans="1:8" x14ac:dyDescent="0.2">
      <c r="D300" s="102"/>
      <c r="E300" s="102"/>
      <c r="F300" s="102"/>
      <c r="G300" s="102"/>
      <c r="H300" s="102"/>
    </row>
    <row r="301" spans="1:8" x14ac:dyDescent="0.2">
      <c r="A301" s="215" t="s">
        <v>497</v>
      </c>
      <c r="C301" s="167">
        <v>18237381</v>
      </c>
      <c r="F301" s="64"/>
      <c r="G301" s="64"/>
      <c r="H301" s="64"/>
    </row>
    <row r="302" spans="1:8" x14ac:dyDescent="0.2">
      <c r="B302" s="46" t="s">
        <v>470</v>
      </c>
      <c r="C302" s="167">
        <v>25400781</v>
      </c>
      <c r="D302" s="253">
        <v>0</v>
      </c>
      <c r="E302" s="102">
        <f>D306</f>
        <v>233.93810495833335</v>
      </c>
      <c r="F302" s="102">
        <f>E306</f>
        <v>2164.0529546453126</v>
      </c>
      <c r="G302" s="102">
        <f>F306</f>
        <v>2164.0529546453126</v>
      </c>
      <c r="H302" s="102">
        <f t="shared" ref="H302" si="118">G306</f>
        <v>2164.0529546453126</v>
      </c>
    </row>
    <row r="303" spans="1:8" x14ac:dyDescent="0.2">
      <c r="A303" s="264"/>
      <c r="B303" s="259" t="s">
        <v>471</v>
      </c>
      <c r="C303" s="259"/>
      <c r="D303" s="266">
        <v>0</v>
      </c>
      <c r="E303" s="266">
        <v>0</v>
      </c>
      <c r="F303" s="266">
        <v>0</v>
      </c>
      <c r="G303" s="266">
        <v>0</v>
      </c>
      <c r="H303" s="266">
        <v>0</v>
      </c>
    </row>
    <row r="304" spans="1:8" x14ac:dyDescent="0.2">
      <c r="A304" s="259"/>
      <c r="B304" s="259" t="s">
        <v>492</v>
      </c>
      <c r="C304" s="267"/>
      <c r="D304" s="442">
        <v>233.93810495833335</v>
      </c>
      <c r="E304" s="442">
        <v>1930.1148496869791</v>
      </c>
      <c r="F304" s="260">
        <v>0</v>
      </c>
      <c r="G304" s="260">
        <v>0</v>
      </c>
      <c r="H304" s="260">
        <v>0</v>
      </c>
    </row>
    <row r="305" spans="1:8" x14ac:dyDescent="0.2">
      <c r="B305" s="46" t="s">
        <v>473</v>
      </c>
      <c r="D305" s="261">
        <f t="shared" ref="D305:H305" si="119">SUM(D303:D304)</f>
        <v>233.93810495833335</v>
      </c>
      <c r="E305" s="261">
        <f t="shared" si="119"/>
        <v>1930.1148496869791</v>
      </c>
      <c r="F305" s="261">
        <f t="shared" si="119"/>
        <v>0</v>
      </c>
      <c r="G305" s="261">
        <f t="shared" si="119"/>
        <v>0</v>
      </c>
      <c r="H305" s="261">
        <f t="shared" si="119"/>
        <v>0</v>
      </c>
    </row>
    <row r="306" spans="1:8" x14ac:dyDescent="0.2">
      <c r="B306" s="46" t="s">
        <v>474</v>
      </c>
      <c r="D306" s="102">
        <f t="shared" ref="D306:H306" si="120">D302+D305</f>
        <v>233.93810495833335</v>
      </c>
      <c r="E306" s="102">
        <f t="shared" si="120"/>
        <v>2164.0529546453126</v>
      </c>
      <c r="F306" s="102">
        <f t="shared" si="120"/>
        <v>2164.0529546453126</v>
      </c>
      <c r="G306" s="102">
        <f t="shared" si="120"/>
        <v>2164.0529546453126</v>
      </c>
      <c r="H306" s="102">
        <f t="shared" si="120"/>
        <v>2164.0529546453126</v>
      </c>
    </row>
    <row r="307" spans="1:8" x14ac:dyDescent="0.2">
      <c r="D307" s="102"/>
      <c r="E307" s="102"/>
      <c r="F307" s="102"/>
      <c r="G307" s="102"/>
      <c r="H307" s="102"/>
    </row>
    <row r="308" spans="1:8" x14ac:dyDescent="0.2">
      <c r="A308" s="215" t="s">
        <v>498</v>
      </c>
      <c r="C308" s="167">
        <v>18237371</v>
      </c>
      <c r="F308" s="64"/>
      <c r="G308" s="64"/>
      <c r="H308" s="64"/>
    </row>
    <row r="309" spans="1:8" x14ac:dyDescent="0.2">
      <c r="B309" s="46" t="s">
        <v>470</v>
      </c>
      <c r="C309" s="167">
        <v>25400771</v>
      </c>
      <c r="D309" s="253">
        <v>0</v>
      </c>
      <c r="E309" s="102">
        <f>D313</f>
        <v>-151.54938729166665</v>
      </c>
      <c r="F309" s="102">
        <f>E313</f>
        <v>-432.41242405541675</v>
      </c>
      <c r="G309" s="102">
        <f>F313</f>
        <v>-432.41242405541675</v>
      </c>
      <c r="H309" s="102">
        <f t="shared" ref="H309" si="121">G313</f>
        <v>-432.41242405541675</v>
      </c>
    </row>
    <row r="310" spans="1:8" x14ac:dyDescent="0.2">
      <c r="A310" s="264"/>
      <c r="B310" s="259" t="s">
        <v>471</v>
      </c>
      <c r="C310" s="259"/>
      <c r="D310" s="266">
        <v>0</v>
      </c>
      <c r="E310" s="266">
        <v>0</v>
      </c>
      <c r="F310" s="266">
        <v>0</v>
      </c>
      <c r="G310" s="266">
        <v>0</v>
      </c>
      <c r="H310" s="266">
        <v>0</v>
      </c>
    </row>
    <row r="311" spans="1:8" x14ac:dyDescent="0.2">
      <c r="A311" s="259"/>
      <c r="B311" s="259" t="s">
        <v>492</v>
      </c>
      <c r="C311" s="267"/>
      <c r="D311" s="442">
        <v>-151.54938729166665</v>
      </c>
      <c r="E311" s="442">
        <v>-280.86303676375013</v>
      </c>
      <c r="F311" s="260">
        <v>0</v>
      </c>
      <c r="G311" s="260">
        <v>0</v>
      </c>
      <c r="H311" s="260">
        <v>0</v>
      </c>
    </row>
    <row r="312" spans="1:8" x14ac:dyDescent="0.2">
      <c r="B312" s="46" t="s">
        <v>473</v>
      </c>
      <c r="D312" s="261">
        <f t="shared" ref="D312:H312" si="122">SUM(D310:D311)</f>
        <v>-151.54938729166665</v>
      </c>
      <c r="E312" s="261">
        <f t="shared" si="122"/>
        <v>-280.86303676375013</v>
      </c>
      <c r="F312" s="261">
        <f t="shared" si="122"/>
        <v>0</v>
      </c>
      <c r="G312" s="261">
        <f t="shared" si="122"/>
        <v>0</v>
      </c>
      <c r="H312" s="261">
        <f t="shared" si="122"/>
        <v>0</v>
      </c>
    </row>
    <row r="313" spans="1:8" x14ac:dyDescent="0.2">
      <c r="B313" s="46" t="s">
        <v>474</v>
      </c>
      <c r="D313" s="102">
        <f t="shared" ref="D313:H313" si="123">D309+D312</f>
        <v>-151.54938729166665</v>
      </c>
      <c r="E313" s="102">
        <f t="shared" si="123"/>
        <v>-432.41242405541675</v>
      </c>
      <c r="F313" s="102">
        <f t="shared" si="123"/>
        <v>-432.41242405541675</v>
      </c>
      <c r="G313" s="102">
        <f t="shared" si="123"/>
        <v>-432.41242405541675</v>
      </c>
      <c r="H313" s="102">
        <f t="shared" si="123"/>
        <v>-432.41242405541675</v>
      </c>
    </row>
    <row r="314" spans="1:8" x14ac:dyDescent="0.2">
      <c r="D314" s="102"/>
      <c r="E314" s="102"/>
      <c r="F314" s="102"/>
      <c r="G314" s="102"/>
      <c r="H314" s="102"/>
    </row>
    <row r="315" spans="1:8" x14ac:dyDescent="0.2">
      <c r="A315" s="215" t="s">
        <v>499</v>
      </c>
      <c r="C315" s="167">
        <v>18237181</v>
      </c>
      <c r="F315" s="64"/>
      <c r="G315" s="64"/>
      <c r="H315" s="64"/>
    </row>
    <row r="316" spans="1:8" x14ac:dyDescent="0.2">
      <c r="B316" s="46" t="s">
        <v>470</v>
      </c>
      <c r="C316" s="167"/>
      <c r="D316" s="253">
        <v>0</v>
      </c>
      <c r="E316" s="102">
        <f>D320</f>
        <v>0</v>
      </c>
      <c r="F316" s="102">
        <f>E320</f>
        <v>225.54687837375002</v>
      </c>
      <c r="G316" s="102">
        <f>F320</f>
        <v>225.54687837375002</v>
      </c>
      <c r="H316" s="102">
        <f t="shared" ref="H316" si="124">G320</f>
        <v>225.54687837375002</v>
      </c>
    </row>
    <row r="317" spans="1:8" x14ac:dyDescent="0.2">
      <c r="A317" s="264"/>
      <c r="B317" s="259" t="s">
        <v>471</v>
      </c>
      <c r="C317" s="259"/>
      <c r="D317" s="266">
        <v>0</v>
      </c>
      <c r="E317" s="266">
        <v>0</v>
      </c>
      <c r="F317" s="266">
        <v>0</v>
      </c>
      <c r="G317" s="266">
        <v>0</v>
      </c>
      <c r="H317" s="266">
        <v>0</v>
      </c>
    </row>
    <row r="318" spans="1:8" x14ac:dyDescent="0.2">
      <c r="A318" s="259"/>
      <c r="B318" s="259" t="s">
        <v>492</v>
      </c>
      <c r="C318" s="267"/>
      <c r="D318" s="442">
        <v>0</v>
      </c>
      <c r="E318" s="442">
        <v>225.54687837375002</v>
      </c>
      <c r="F318" s="260">
        <v>0</v>
      </c>
      <c r="G318" s="260">
        <v>0</v>
      </c>
      <c r="H318" s="260">
        <v>0</v>
      </c>
    </row>
    <row r="319" spans="1:8" x14ac:dyDescent="0.2">
      <c r="B319" s="46" t="s">
        <v>473</v>
      </c>
      <c r="D319" s="261">
        <f t="shared" ref="D319:H319" si="125">SUM(D317:D318)</f>
        <v>0</v>
      </c>
      <c r="E319" s="261">
        <f t="shared" si="125"/>
        <v>225.54687837375002</v>
      </c>
      <c r="F319" s="261">
        <f t="shared" si="125"/>
        <v>0</v>
      </c>
      <c r="G319" s="261">
        <f t="shared" si="125"/>
        <v>0</v>
      </c>
      <c r="H319" s="261">
        <f t="shared" si="125"/>
        <v>0</v>
      </c>
    </row>
    <row r="320" spans="1:8" x14ac:dyDescent="0.2">
      <c r="B320" s="46" t="s">
        <v>474</v>
      </c>
      <c r="D320" s="102">
        <f t="shared" ref="D320:H320" si="126">D316+D319</f>
        <v>0</v>
      </c>
      <c r="E320" s="102">
        <f t="shared" si="126"/>
        <v>225.54687837375002</v>
      </c>
      <c r="F320" s="102">
        <f t="shared" si="126"/>
        <v>225.54687837375002</v>
      </c>
      <c r="G320" s="102">
        <f t="shared" si="126"/>
        <v>225.54687837375002</v>
      </c>
      <c r="H320" s="102">
        <f t="shared" si="126"/>
        <v>225.54687837375002</v>
      </c>
    </row>
    <row r="321" spans="1:8" x14ac:dyDescent="0.2">
      <c r="D321" s="102"/>
      <c r="E321" s="102"/>
      <c r="F321" s="102"/>
      <c r="G321" s="102"/>
      <c r="H321" s="102"/>
    </row>
    <row r="322" spans="1:8" x14ac:dyDescent="0.2">
      <c r="A322" s="215" t="s">
        <v>502</v>
      </c>
      <c r="F322" s="64"/>
      <c r="G322" s="64"/>
      <c r="H322" s="64"/>
    </row>
    <row r="323" spans="1:8" x14ac:dyDescent="0.2">
      <c r="B323" s="46" t="s">
        <v>470</v>
      </c>
      <c r="D323" s="269">
        <f>SUM(D9,D16,D24,D32,D40,D47,D54,D62,D69,D77,D85,D93,D100,D107,D115,D122,D130,D138,D146,D153,D160,D169,D176,D183,D190,D197,D204,D211,D218,D226,D234,D242,D250,D258,D266,D274,D281,D288,D295,D302,D309,D316)</f>
        <v>2824081.21</v>
      </c>
      <c r="E323" s="332">
        <f t="shared" ref="E323:H323" si="127">SUM(E9,E16,E24,E32,E40,E47,E54,E62,E69,E77,E85,E93,E100,E107,E115,E122,E130,E138,E146,E153,E160,E169,E176,E183,E190,E197,E204,E211,E218,E226,E234,E242,E250,E258,E266,E274,E281,E288,E295,E302,E309,E316)</f>
        <v>-2576694.9744310933</v>
      </c>
      <c r="F323" s="332">
        <f t="shared" si="127"/>
        <v>18602317.476214416</v>
      </c>
      <c r="G323" s="332">
        <f t="shared" si="127"/>
        <v>16640295.006214403</v>
      </c>
      <c r="H323" s="332">
        <f t="shared" si="127"/>
        <v>14736301.24528762</v>
      </c>
    </row>
    <row r="324" spans="1:8" x14ac:dyDescent="0.2">
      <c r="B324" s="46" t="s">
        <v>473</v>
      </c>
      <c r="D324" s="270">
        <f>SUM(D12,D20,D28,D36,D43,D50,D58,D65,D73,D81,D89,D96,D103,D111,D118,D126,D134,D142,D149,D156,D164,D172,D179,D186,D193,D200,D207,D214,D222,D230,D238,D246,D254,D262,D270,D277,D284,D291,D298,D305,D312,D319)</f>
        <v>-5400776.1844310937</v>
      </c>
      <c r="E324" s="270">
        <f t="shared" ref="E324:H324" si="128">SUM(E12,E20,E28,E36,E43,E50,E58,E65,E73,E81,E89,E96,E103,E111,E118,E126,E134,E142,E149,E156,E164,E172,E179,E186,E193,E200,E207,E214,E222,E230,E238,E246,E254,E262,E270,E277,E284,E291,E298,E305,E312,E319)</f>
        <v>21179012.450645491</v>
      </c>
      <c r="F324" s="270">
        <f t="shared" si="128"/>
        <v>-1962022.4699999997</v>
      </c>
      <c r="G324" s="270">
        <f t="shared" si="128"/>
        <v>-1903993.7609267831</v>
      </c>
      <c r="H324" s="270">
        <f t="shared" si="128"/>
        <v>-1629310.6664645746</v>
      </c>
    </row>
    <row r="325" spans="1:8" ht="13.5" thickBot="1" x14ac:dyDescent="0.25">
      <c r="B325" s="46" t="s">
        <v>474</v>
      </c>
      <c r="D325" s="271">
        <f>SUM(D13,D21,D29,D37,D44,D51,D59,D66,D74,D82,D90,D97,D104,D112,D119,D127,D135,D143,D150,D157,D165,D173,D180,D187,D194,D201,D208,D215,D223,D231,D239,D247,D255,D263,D271,D278,D285,D292,D299,D306,D313,D320)</f>
        <v>-2576694.9744310933</v>
      </c>
      <c r="E325" s="271">
        <f t="shared" ref="E325:H325" si="129">SUM(E13,E21,E29,E37,E44,E51,E59,E66,E74,E82,E90,E97,E104,E112,E119,E127,E135,E143,E150,E157,E165,E173,E180,E187,E194,E201,E208,E215,E223,E231,E239,E247,E255,E263,E271,E278,E285,E292,E299,E306,E313,E320)</f>
        <v>18602317.476214416</v>
      </c>
      <c r="F325" s="271">
        <f t="shared" si="129"/>
        <v>16640295.006214403</v>
      </c>
      <c r="G325" s="271">
        <f t="shared" si="129"/>
        <v>14736301.24528762</v>
      </c>
      <c r="H325" s="271">
        <f t="shared" si="129"/>
        <v>13106990.578823045</v>
      </c>
    </row>
    <row r="326" spans="1:8" ht="13.5" thickTop="1" x14ac:dyDescent="0.2">
      <c r="A326" s="46" t="s">
        <v>503</v>
      </c>
      <c r="D326" s="103">
        <f>SUM(D13,D21,D29,D37,D44,D51,D59,D173,D180,D187,D194,D201,D208,D215)</f>
        <v>3512070.8700000006</v>
      </c>
      <c r="E326" s="103">
        <f>SUM(E13,E21,E29,E37,E44,E51,E59,E173,E180,E187,E194,E201,E208,E215)</f>
        <v>5530794.2400000002</v>
      </c>
      <c r="F326" s="103">
        <f>SUM(F13,F21,F29,F37,F44,F51,F59,F173,F180,F187,F194,F201,F208,F215)</f>
        <v>3568771.77</v>
      </c>
      <c r="G326" s="103">
        <f>SUM(G13,G21,G29,G37,G44,G51,G59,G173,G180,G187,G194,G201,G208,G215)</f>
        <v>1664778.0090732169</v>
      </c>
      <c r="H326" s="103">
        <f>SUM(H13,H21,H29,H37,H44,H51,H59,H173,H180,H187,H194,H201,H208,H215)</f>
        <v>35467.342608642415</v>
      </c>
    </row>
    <row r="327" spans="1:8" ht="13.5" thickBot="1" x14ac:dyDescent="0.25">
      <c r="A327" s="46" t="s">
        <v>504</v>
      </c>
      <c r="D327" s="272">
        <f>D325-D326</f>
        <v>-6088765.8444310939</v>
      </c>
      <c r="E327" s="272">
        <f t="shared" ref="E327:H327" si="130">E325-E326</f>
        <v>13071523.236214416</v>
      </c>
      <c r="F327" s="272">
        <f t="shared" si="130"/>
        <v>13071523.236214403</v>
      </c>
      <c r="G327" s="272">
        <f t="shared" si="130"/>
        <v>13071523.236214403</v>
      </c>
      <c r="H327" s="272">
        <f t="shared" si="130"/>
        <v>13071523.236214403</v>
      </c>
    </row>
    <row r="328" spans="1:8" ht="13.5" thickTop="1" x14ac:dyDescent="0.2">
      <c r="D328" s="269"/>
    </row>
    <row r="329" spans="1:8" x14ac:dyDescent="0.2">
      <c r="A329" s="297" t="s">
        <v>631</v>
      </c>
    </row>
    <row r="355" spans="2:8" x14ac:dyDescent="0.2">
      <c r="B355" s="48"/>
      <c r="F355" s="64"/>
      <c r="G355" s="64"/>
      <c r="H355" s="64"/>
    </row>
    <row r="356" spans="2:8" x14ac:dyDescent="0.2">
      <c r="B356" s="273"/>
      <c r="F356" s="64"/>
      <c r="G356" s="64"/>
      <c r="H356" s="64"/>
    </row>
    <row r="357" spans="2:8" x14ac:dyDescent="0.2">
      <c r="B357" s="273"/>
      <c r="F357" s="64"/>
      <c r="G357" s="64"/>
      <c r="H357" s="64"/>
    </row>
  </sheetData>
  <printOptions horizontalCentered="1"/>
  <pageMargins left="0.45" right="0.45" top="0.75" bottom="0.75" header="0.3" footer="0.3"/>
  <pageSetup scale="56" fitToWidth="2" orientation="portrait" blackAndWhite="1" horizontalDpi="1200" verticalDpi="1200" r:id="rId1"/>
  <headerFooter>
    <oddHeader>&amp;RAdvice No. 2018-xx
Exhibit No. 12</oddHeader>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71"/>
  <sheetViews>
    <sheetView zoomScaleNormal="100" workbookViewId="0">
      <selection activeCell="C48" sqref="C48"/>
    </sheetView>
  </sheetViews>
  <sheetFormatPr defaultRowHeight="12.75" x14ac:dyDescent="0.2"/>
  <cols>
    <col min="1" max="1" width="6.85546875" style="54" customWidth="1"/>
    <col min="2" max="2" width="3.5703125" style="54" customWidth="1"/>
    <col min="3" max="3" width="66" style="54" customWidth="1"/>
    <col min="4" max="5" width="15.28515625" style="54" customWidth="1"/>
    <col min="6" max="16384" width="9.140625" style="54"/>
  </cols>
  <sheetData>
    <row r="1" spans="1:5" x14ac:dyDescent="0.2">
      <c r="A1" s="506" t="s">
        <v>0</v>
      </c>
      <c r="B1" s="506"/>
      <c r="C1" s="506"/>
      <c r="D1" s="506"/>
      <c r="E1" s="506"/>
    </row>
    <row r="2" spans="1:5" x14ac:dyDescent="0.2">
      <c r="A2" s="506" t="str">
        <f>'Delivery Rate Change Calc'!A2:H2</f>
        <v>2018 Electric Decoupling Filing</v>
      </c>
      <c r="B2" s="506"/>
      <c r="C2" s="506"/>
      <c r="D2" s="506"/>
      <c r="E2" s="506"/>
    </row>
    <row r="3" spans="1:5" x14ac:dyDescent="0.2">
      <c r="A3" s="506" t="s">
        <v>297</v>
      </c>
      <c r="B3" s="506"/>
      <c r="C3" s="506"/>
      <c r="D3" s="506"/>
      <c r="E3" s="506"/>
    </row>
    <row r="4" spans="1:5" x14ac:dyDescent="0.2">
      <c r="A4" s="506" t="str">
        <f>'Delivery Rate Change Calc'!A4:H4</f>
        <v>Proposed Effective May 1, 2018</v>
      </c>
      <c r="B4" s="506"/>
      <c r="C4" s="506"/>
      <c r="D4" s="506"/>
      <c r="E4" s="506"/>
    </row>
    <row r="5" spans="1:5" x14ac:dyDescent="0.2">
      <c r="A5" s="10"/>
      <c r="B5" s="10"/>
      <c r="C5" s="10"/>
      <c r="D5" s="10"/>
      <c r="E5" s="10"/>
    </row>
    <row r="6" spans="1:5" x14ac:dyDescent="0.2">
      <c r="A6" s="9"/>
      <c r="B6" s="9"/>
      <c r="C6" s="9"/>
      <c r="D6" s="10" t="s">
        <v>290</v>
      </c>
      <c r="E6" s="10" t="s">
        <v>290</v>
      </c>
    </row>
    <row r="7" spans="1:5" ht="25.5" customHeight="1" x14ac:dyDescent="0.2">
      <c r="A7" s="183" t="s">
        <v>56</v>
      </c>
      <c r="B7" s="183"/>
      <c r="C7" s="184"/>
      <c r="D7" s="185">
        <v>43160</v>
      </c>
      <c r="E7" s="185">
        <f t="shared" ref="E7" si="0">EDATE(D7,1)</f>
        <v>43191</v>
      </c>
    </row>
    <row r="8" spans="1:5" x14ac:dyDescent="0.2">
      <c r="A8" s="99">
        <v>1</v>
      </c>
      <c r="B8" s="186" t="s">
        <v>299</v>
      </c>
    </row>
    <row r="9" spans="1:5" x14ac:dyDescent="0.2">
      <c r="A9" s="99">
        <f>A8+1</f>
        <v>2</v>
      </c>
      <c r="B9" s="99"/>
      <c r="C9" s="54" t="s">
        <v>120</v>
      </c>
      <c r="D9" s="187">
        <f>Forecast!B8</f>
        <v>1022641304</v>
      </c>
      <c r="E9" s="187">
        <f>Forecast!C8</f>
        <v>844891597</v>
      </c>
    </row>
    <row r="10" spans="1:5" x14ac:dyDescent="0.2">
      <c r="A10" s="99">
        <f t="shared" ref="A10:A69" si="1">A9+1</f>
        <v>3</v>
      </c>
      <c r="B10" s="99"/>
      <c r="C10" s="9" t="s">
        <v>291</v>
      </c>
      <c r="D10" s="188">
        <v>1.201E-3</v>
      </c>
      <c r="E10" s="188">
        <v>1.201E-3</v>
      </c>
    </row>
    <row r="11" spans="1:5" x14ac:dyDescent="0.2">
      <c r="A11" s="99">
        <f t="shared" si="1"/>
        <v>4</v>
      </c>
      <c r="B11" s="99"/>
      <c r="C11" s="9" t="s">
        <v>292</v>
      </c>
      <c r="D11" s="101">
        <f>D9*D10</f>
        <v>1228192.2061040001</v>
      </c>
      <c r="E11" s="101">
        <f>E9*E10</f>
        <v>1014714.8079970001</v>
      </c>
    </row>
    <row r="12" spans="1:5" x14ac:dyDescent="0.2">
      <c r="A12" s="99">
        <f t="shared" si="1"/>
        <v>5</v>
      </c>
      <c r="B12" s="99"/>
      <c r="C12" s="9"/>
    </row>
    <row r="13" spans="1:5" x14ac:dyDescent="0.2">
      <c r="A13" s="99">
        <f t="shared" si="1"/>
        <v>6</v>
      </c>
      <c r="B13" s="99"/>
      <c r="C13" s="9" t="s">
        <v>293</v>
      </c>
      <c r="D13" s="189">
        <f>'Elect 2017GRC Conv Fctr'!$E$20</f>
        <v>0.95238599999999995</v>
      </c>
      <c r="E13" s="189">
        <f>'Elect 2017GRC Conv Fctr'!$E$20</f>
        <v>0.95238599999999995</v>
      </c>
    </row>
    <row r="14" spans="1:5" x14ac:dyDescent="0.2">
      <c r="A14" s="99">
        <f t="shared" si="1"/>
        <v>7</v>
      </c>
      <c r="B14" s="99"/>
      <c r="C14" s="9"/>
    </row>
    <row r="15" spans="1:5" x14ac:dyDescent="0.2">
      <c r="A15" s="99">
        <f t="shared" si="1"/>
        <v>8</v>
      </c>
      <c r="B15" s="99"/>
      <c r="C15" s="9" t="s">
        <v>294</v>
      </c>
      <c r="D15" s="101">
        <f>D11*D13</f>
        <v>1169713.0624025641</v>
      </c>
      <c r="E15" s="101">
        <f>E11*E13</f>
        <v>966400.17712903081</v>
      </c>
    </row>
    <row r="16" spans="1:5" x14ac:dyDescent="0.2">
      <c r="A16" s="99">
        <f t="shared" si="1"/>
        <v>9</v>
      </c>
      <c r="B16" s="99"/>
    </row>
    <row r="17" spans="1:5" x14ac:dyDescent="0.2">
      <c r="A17" s="99">
        <f t="shared" si="1"/>
        <v>10</v>
      </c>
      <c r="B17" s="186" t="s">
        <v>300</v>
      </c>
    </row>
    <row r="18" spans="1:5" x14ac:dyDescent="0.2">
      <c r="A18" s="99">
        <f t="shared" si="1"/>
        <v>11</v>
      </c>
      <c r="B18" s="99"/>
      <c r="C18" s="54" t="s">
        <v>120</v>
      </c>
      <c r="D18" s="187">
        <f>Forecast!B10</f>
        <v>255512572</v>
      </c>
      <c r="E18" s="187">
        <f>Forecast!C10</f>
        <v>229538962</v>
      </c>
    </row>
    <row r="19" spans="1:5" x14ac:dyDescent="0.2">
      <c r="A19" s="99">
        <f t="shared" si="1"/>
        <v>12</v>
      </c>
      <c r="B19" s="99"/>
      <c r="C19" s="9" t="s">
        <v>291</v>
      </c>
      <c r="D19" s="188">
        <v>1.335E-3</v>
      </c>
      <c r="E19" s="188">
        <v>1.335E-3</v>
      </c>
    </row>
    <row r="20" spans="1:5" x14ac:dyDescent="0.2">
      <c r="A20" s="99">
        <f t="shared" si="1"/>
        <v>13</v>
      </c>
      <c r="B20" s="99"/>
      <c r="C20" s="9" t="s">
        <v>292</v>
      </c>
      <c r="D20" s="101">
        <f>D18*D19</f>
        <v>341109.28362</v>
      </c>
      <c r="E20" s="101">
        <f>E18*E19</f>
        <v>306434.51426999999</v>
      </c>
    </row>
    <row r="21" spans="1:5" x14ac:dyDescent="0.2">
      <c r="A21" s="99">
        <f t="shared" si="1"/>
        <v>14</v>
      </c>
      <c r="B21" s="99"/>
      <c r="C21" s="9"/>
    </row>
    <row r="22" spans="1:5" x14ac:dyDescent="0.2">
      <c r="A22" s="99">
        <f t="shared" si="1"/>
        <v>15</v>
      </c>
      <c r="B22" s="99"/>
      <c r="C22" s="9" t="s">
        <v>293</v>
      </c>
      <c r="D22" s="189">
        <f>'Elect 2017GRC Conv Fctr'!$E$20</f>
        <v>0.95238599999999995</v>
      </c>
      <c r="E22" s="189">
        <f>'Elect 2017GRC Conv Fctr'!$E$20</f>
        <v>0.95238599999999995</v>
      </c>
    </row>
    <row r="23" spans="1:5" x14ac:dyDescent="0.2">
      <c r="A23" s="99">
        <f t="shared" si="1"/>
        <v>16</v>
      </c>
      <c r="B23" s="99"/>
      <c r="C23" s="9"/>
    </row>
    <row r="24" spans="1:5" x14ac:dyDescent="0.2">
      <c r="A24" s="99">
        <f t="shared" si="1"/>
        <v>17</v>
      </c>
      <c r="B24" s="99"/>
      <c r="C24" s="9" t="s">
        <v>294</v>
      </c>
      <c r="D24" s="101">
        <f>D20*D22</f>
        <v>324867.70618971728</v>
      </c>
      <c r="E24" s="101">
        <f>E20*E22</f>
        <v>291843.9413075482</v>
      </c>
    </row>
    <row r="25" spans="1:5" x14ac:dyDescent="0.2">
      <c r="A25" s="99">
        <f t="shared" si="1"/>
        <v>18</v>
      </c>
    </row>
    <row r="26" spans="1:5" x14ac:dyDescent="0.2">
      <c r="A26" s="99">
        <f t="shared" si="1"/>
        <v>19</v>
      </c>
      <c r="B26" s="186" t="s">
        <v>301</v>
      </c>
    </row>
    <row r="27" spans="1:5" x14ac:dyDescent="0.2">
      <c r="A27" s="99">
        <f t="shared" si="1"/>
        <v>20</v>
      </c>
      <c r="B27" s="99"/>
      <c r="C27" s="54" t="s">
        <v>120</v>
      </c>
      <c r="D27" s="187">
        <f>Forecast!B22</f>
        <v>269664525</v>
      </c>
      <c r="E27" s="187">
        <f>Forecast!C22</f>
        <v>244615863</v>
      </c>
    </row>
    <row r="28" spans="1:5" x14ac:dyDescent="0.2">
      <c r="A28" s="99">
        <f t="shared" si="1"/>
        <v>21</v>
      </c>
      <c r="B28" s="99"/>
      <c r="C28" s="9" t="s">
        <v>291</v>
      </c>
      <c r="D28" s="188">
        <v>1.335E-3</v>
      </c>
      <c r="E28" s="188">
        <v>1.335E-3</v>
      </c>
    </row>
    <row r="29" spans="1:5" x14ac:dyDescent="0.2">
      <c r="A29" s="99">
        <f t="shared" si="1"/>
        <v>22</v>
      </c>
      <c r="B29" s="99"/>
      <c r="C29" s="9" t="s">
        <v>292</v>
      </c>
      <c r="D29" s="101">
        <f>D27*D28</f>
        <v>360002.14087499998</v>
      </c>
      <c r="E29" s="101">
        <f>E27*E28</f>
        <v>326562.17710500001</v>
      </c>
    </row>
    <row r="30" spans="1:5" x14ac:dyDescent="0.2">
      <c r="A30" s="99">
        <f t="shared" si="1"/>
        <v>23</v>
      </c>
      <c r="B30" s="99"/>
      <c r="C30" s="9"/>
    </row>
    <row r="31" spans="1:5" x14ac:dyDescent="0.2">
      <c r="A31" s="99">
        <f t="shared" si="1"/>
        <v>24</v>
      </c>
      <c r="B31" s="99"/>
      <c r="C31" s="9" t="s">
        <v>293</v>
      </c>
      <c r="D31" s="189">
        <f>'Elect 2017GRC Conv Fctr'!$E$20</f>
        <v>0.95238599999999995</v>
      </c>
      <c r="E31" s="189">
        <f>'Elect 2017GRC Conv Fctr'!$E$20</f>
        <v>0.95238599999999995</v>
      </c>
    </row>
    <row r="32" spans="1:5" x14ac:dyDescent="0.2">
      <c r="A32" s="99">
        <f t="shared" si="1"/>
        <v>25</v>
      </c>
      <c r="B32" s="99"/>
      <c r="C32" s="9"/>
    </row>
    <row r="33" spans="1:5" x14ac:dyDescent="0.2">
      <c r="A33" s="99">
        <f t="shared" si="1"/>
        <v>26</v>
      </c>
      <c r="B33" s="99"/>
      <c r="C33" s="9" t="s">
        <v>294</v>
      </c>
      <c r="D33" s="101">
        <f>D29*D31</f>
        <v>342860.99893937772</v>
      </c>
      <c r="E33" s="101">
        <f>E29*E31</f>
        <v>311013.24560432252</v>
      </c>
    </row>
    <row r="34" spans="1:5" x14ac:dyDescent="0.2">
      <c r="A34" s="99">
        <f t="shared" si="1"/>
        <v>27</v>
      </c>
    </row>
    <row r="35" spans="1:5" x14ac:dyDescent="0.2">
      <c r="A35" s="99">
        <f t="shared" si="1"/>
        <v>28</v>
      </c>
      <c r="B35" s="186" t="s">
        <v>302</v>
      </c>
    </row>
    <row r="36" spans="1:5" x14ac:dyDescent="0.2">
      <c r="A36" s="99">
        <f t="shared" si="1"/>
        <v>29</v>
      </c>
      <c r="B36" s="99"/>
      <c r="C36" s="54" t="s">
        <v>120</v>
      </c>
      <c r="D36" s="187">
        <f>Forecast!B16</f>
        <v>53406700</v>
      </c>
      <c r="E36" s="187">
        <f>Forecast!C16</f>
        <v>50259102</v>
      </c>
    </row>
    <row r="37" spans="1:5" x14ac:dyDescent="0.2">
      <c r="A37" s="99">
        <f t="shared" si="1"/>
        <v>30</v>
      </c>
      <c r="B37" s="99"/>
      <c r="C37" s="9" t="s">
        <v>291</v>
      </c>
      <c r="D37" s="188">
        <v>1.335E-3</v>
      </c>
      <c r="E37" s="188">
        <v>1.335E-3</v>
      </c>
    </row>
    <row r="38" spans="1:5" x14ac:dyDescent="0.2">
      <c r="A38" s="99">
        <f t="shared" si="1"/>
        <v>31</v>
      </c>
      <c r="B38" s="99"/>
      <c r="C38" s="9" t="s">
        <v>292</v>
      </c>
      <c r="D38" s="101">
        <f>D36*D37</f>
        <v>71297.944499999998</v>
      </c>
      <c r="E38" s="101">
        <f>E36*E37</f>
        <v>67095.901169999997</v>
      </c>
    </row>
    <row r="39" spans="1:5" x14ac:dyDescent="0.2">
      <c r="A39" s="99">
        <f t="shared" si="1"/>
        <v>32</v>
      </c>
      <c r="B39" s="99"/>
      <c r="C39" s="9"/>
    </row>
    <row r="40" spans="1:5" x14ac:dyDescent="0.2">
      <c r="A40" s="99">
        <f t="shared" si="1"/>
        <v>33</v>
      </c>
      <c r="B40" s="99"/>
      <c r="C40" s="9" t="s">
        <v>293</v>
      </c>
      <c r="D40" s="189">
        <f>'Elect 2017GRC Conv Fctr'!$E$20</f>
        <v>0.95238599999999995</v>
      </c>
      <c r="E40" s="189">
        <f>'Elect 2017GRC Conv Fctr'!$E$20</f>
        <v>0.95238599999999995</v>
      </c>
    </row>
    <row r="41" spans="1:5" x14ac:dyDescent="0.2">
      <c r="A41" s="99">
        <f t="shared" si="1"/>
        <v>34</v>
      </c>
      <c r="B41" s="99"/>
      <c r="C41" s="9"/>
    </row>
    <row r="42" spans="1:5" x14ac:dyDescent="0.2">
      <c r="A42" s="99">
        <f t="shared" si="1"/>
        <v>35</v>
      </c>
      <c r="B42" s="99"/>
      <c r="C42" s="9" t="s">
        <v>294</v>
      </c>
      <c r="D42" s="101">
        <f>D38*D40</f>
        <v>67903.164170577002</v>
      </c>
      <c r="E42" s="101">
        <f>E38*E40</f>
        <v>63901.196931691615</v>
      </c>
    </row>
    <row r="43" spans="1:5" x14ac:dyDescent="0.2">
      <c r="A43" s="99">
        <f t="shared" si="1"/>
        <v>36</v>
      </c>
    </row>
    <row r="44" spans="1:5" x14ac:dyDescent="0.2">
      <c r="A44" s="99">
        <f t="shared" si="1"/>
        <v>37</v>
      </c>
      <c r="B44" s="186" t="s">
        <v>303</v>
      </c>
    </row>
    <row r="45" spans="1:5" x14ac:dyDescent="0.2">
      <c r="A45" s="99">
        <f t="shared" si="1"/>
        <v>38</v>
      </c>
      <c r="B45" s="99"/>
      <c r="C45" s="54" t="s">
        <v>122</v>
      </c>
      <c r="D45" s="187">
        <f>Forecast!B28</f>
        <v>369747</v>
      </c>
      <c r="E45" s="187">
        <f>Forecast!C28</f>
        <v>374335</v>
      </c>
    </row>
    <row r="46" spans="1:5" x14ac:dyDescent="0.2">
      <c r="A46" s="99">
        <f t="shared" si="1"/>
        <v>39</v>
      </c>
      <c r="B46" s="99"/>
      <c r="C46" s="9" t="s">
        <v>296</v>
      </c>
      <c r="D46" s="190">
        <v>-0.17</v>
      </c>
      <c r="E46" s="190">
        <v>-0.17</v>
      </c>
    </row>
    <row r="47" spans="1:5" x14ac:dyDescent="0.2">
      <c r="A47" s="99">
        <f t="shared" si="1"/>
        <v>40</v>
      </c>
      <c r="B47" s="99"/>
      <c r="C47" s="9" t="s">
        <v>292</v>
      </c>
      <c r="D47" s="101">
        <f>D45*D46</f>
        <v>-62856.990000000005</v>
      </c>
      <c r="E47" s="101">
        <f>E45*E46</f>
        <v>-63636.950000000004</v>
      </c>
    </row>
    <row r="48" spans="1:5" x14ac:dyDescent="0.2">
      <c r="A48" s="99">
        <f t="shared" si="1"/>
        <v>41</v>
      </c>
      <c r="B48" s="99"/>
      <c r="C48" s="9"/>
    </row>
    <row r="49" spans="1:5" x14ac:dyDescent="0.2">
      <c r="A49" s="99">
        <f t="shared" si="1"/>
        <v>42</v>
      </c>
      <c r="B49" s="99"/>
      <c r="C49" s="9" t="s">
        <v>293</v>
      </c>
      <c r="D49" s="189">
        <f>'Elect 2017GRC Conv Fctr'!$E$20</f>
        <v>0.95238599999999995</v>
      </c>
      <c r="E49" s="189">
        <f>'Elect 2017GRC Conv Fctr'!$E$20</f>
        <v>0.95238599999999995</v>
      </c>
    </row>
    <row r="50" spans="1:5" x14ac:dyDescent="0.2">
      <c r="A50" s="99">
        <f t="shared" si="1"/>
        <v>43</v>
      </c>
      <c r="B50" s="99"/>
      <c r="C50" s="9"/>
    </row>
    <row r="51" spans="1:5" x14ac:dyDescent="0.2">
      <c r="A51" s="99">
        <f t="shared" si="1"/>
        <v>44</v>
      </c>
      <c r="B51" s="99"/>
      <c r="C51" s="9" t="s">
        <v>294</v>
      </c>
      <c r="D51" s="101">
        <f>D47*D49</f>
        <v>-59864.117278140002</v>
      </c>
      <c r="E51" s="101">
        <f>E47*E49</f>
        <v>-60606.940262700002</v>
      </c>
    </row>
    <row r="52" spans="1:5" x14ac:dyDescent="0.2">
      <c r="A52" s="99">
        <f t="shared" si="1"/>
        <v>45</v>
      </c>
    </row>
    <row r="53" spans="1:5" x14ac:dyDescent="0.2">
      <c r="A53" s="99">
        <f t="shared" si="1"/>
        <v>46</v>
      </c>
      <c r="B53" s="186" t="s">
        <v>304</v>
      </c>
    </row>
    <row r="54" spans="1:5" x14ac:dyDescent="0.2">
      <c r="A54" s="99">
        <f t="shared" si="1"/>
        <v>47</v>
      </c>
      <c r="B54" s="99"/>
      <c r="C54" s="54" t="s">
        <v>295</v>
      </c>
      <c r="D54" s="187">
        <f>Forecast!B29</f>
        <v>275322</v>
      </c>
      <c r="E54" s="187">
        <f>Forecast!C29</f>
        <v>274249</v>
      </c>
    </row>
    <row r="55" spans="1:5" x14ac:dyDescent="0.2">
      <c r="A55" s="99">
        <f t="shared" si="1"/>
        <v>48</v>
      </c>
      <c r="B55" s="99"/>
      <c r="C55" s="9" t="s">
        <v>296</v>
      </c>
      <c r="D55" s="190">
        <v>-0.04</v>
      </c>
      <c r="E55" s="190">
        <v>-0.04</v>
      </c>
    </row>
    <row r="56" spans="1:5" x14ac:dyDescent="0.2">
      <c r="A56" s="99">
        <f t="shared" si="1"/>
        <v>49</v>
      </c>
      <c r="B56" s="99"/>
      <c r="C56" s="9" t="s">
        <v>292</v>
      </c>
      <c r="D56" s="101">
        <f>D54*D55</f>
        <v>-11012.880000000001</v>
      </c>
      <c r="E56" s="101">
        <f>E54*E55</f>
        <v>-10969.960000000001</v>
      </c>
    </row>
    <row r="57" spans="1:5" x14ac:dyDescent="0.2">
      <c r="A57" s="99">
        <f t="shared" si="1"/>
        <v>50</v>
      </c>
      <c r="B57" s="99"/>
      <c r="C57" s="9"/>
    </row>
    <row r="58" spans="1:5" x14ac:dyDescent="0.2">
      <c r="A58" s="99">
        <f t="shared" si="1"/>
        <v>51</v>
      </c>
      <c r="B58" s="99"/>
      <c r="C58" s="9" t="s">
        <v>293</v>
      </c>
      <c r="D58" s="189">
        <f>'Elect 2017GRC Conv Fctr'!$E$20</f>
        <v>0.95238599999999995</v>
      </c>
      <c r="E58" s="189">
        <f>'Elect 2017GRC Conv Fctr'!$E$20</f>
        <v>0.95238599999999995</v>
      </c>
    </row>
    <row r="59" spans="1:5" x14ac:dyDescent="0.2">
      <c r="A59" s="99">
        <f t="shared" si="1"/>
        <v>52</v>
      </c>
      <c r="B59" s="99"/>
      <c r="C59" s="9"/>
    </row>
    <row r="60" spans="1:5" x14ac:dyDescent="0.2">
      <c r="A60" s="99">
        <f t="shared" si="1"/>
        <v>53</v>
      </c>
      <c r="B60" s="99"/>
      <c r="C60" s="9" t="s">
        <v>294</v>
      </c>
      <c r="D60" s="101">
        <f>D56*D58</f>
        <v>-10488.512731680001</v>
      </c>
      <c r="E60" s="101">
        <f>E56*E58</f>
        <v>-10447.636324560001</v>
      </c>
    </row>
    <row r="61" spans="1:5" x14ac:dyDescent="0.2">
      <c r="A61" s="99">
        <f t="shared" si="1"/>
        <v>54</v>
      </c>
    </row>
    <row r="62" spans="1:5" x14ac:dyDescent="0.2">
      <c r="A62" s="99">
        <f t="shared" si="1"/>
        <v>55</v>
      </c>
      <c r="B62" s="186" t="s">
        <v>305</v>
      </c>
    </row>
    <row r="63" spans="1:5" x14ac:dyDescent="0.2">
      <c r="A63" s="99">
        <f t="shared" si="1"/>
        <v>56</v>
      </c>
      <c r="B63" s="99"/>
      <c r="C63" s="54" t="s">
        <v>120</v>
      </c>
      <c r="D63" s="187">
        <f>Forecast!B23</f>
        <v>54270523</v>
      </c>
      <c r="E63" s="187">
        <f>Forecast!C23</f>
        <v>52858908</v>
      </c>
    </row>
    <row r="64" spans="1:5" x14ac:dyDescent="0.2">
      <c r="A64" s="99">
        <f t="shared" si="1"/>
        <v>57</v>
      </c>
      <c r="B64" s="99"/>
      <c r="C64" s="9" t="s">
        <v>291</v>
      </c>
      <c r="D64" s="188">
        <v>1.335E-3</v>
      </c>
      <c r="E64" s="188">
        <v>1.335E-3</v>
      </c>
    </row>
    <row r="65" spans="1:5" x14ac:dyDescent="0.2">
      <c r="A65" s="99">
        <f t="shared" si="1"/>
        <v>58</v>
      </c>
      <c r="B65" s="99"/>
      <c r="C65" s="9" t="s">
        <v>292</v>
      </c>
      <c r="D65" s="101">
        <f>D63*D64</f>
        <v>72451.148205000005</v>
      </c>
      <c r="E65" s="101">
        <f>E63*E64</f>
        <v>70566.642179999995</v>
      </c>
    </row>
    <row r="66" spans="1:5" x14ac:dyDescent="0.2">
      <c r="A66" s="99">
        <f t="shared" si="1"/>
        <v>59</v>
      </c>
      <c r="B66" s="99"/>
      <c r="C66" s="9"/>
    </row>
    <row r="67" spans="1:5" x14ac:dyDescent="0.2">
      <c r="A67" s="99">
        <f t="shared" si="1"/>
        <v>60</v>
      </c>
      <c r="B67" s="99"/>
      <c r="C67" s="9" t="s">
        <v>293</v>
      </c>
      <c r="D67" s="189">
        <f>'Elect 2017GRC Conv Fctr'!$E$20</f>
        <v>0.95238599999999995</v>
      </c>
      <c r="E67" s="189">
        <f>'Elect 2017GRC Conv Fctr'!$E$20</f>
        <v>0.95238599999999995</v>
      </c>
    </row>
    <row r="68" spans="1:5" x14ac:dyDescent="0.2">
      <c r="A68" s="99">
        <f t="shared" si="1"/>
        <v>61</v>
      </c>
      <c r="B68" s="99"/>
      <c r="C68" s="9"/>
    </row>
    <row r="69" spans="1:5" x14ac:dyDescent="0.2">
      <c r="A69" s="99">
        <f t="shared" si="1"/>
        <v>62</v>
      </c>
      <c r="B69" s="99"/>
      <c r="C69" s="9" t="s">
        <v>294</v>
      </c>
      <c r="D69" s="101">
        <f>D65*D67</f>
        <v>69001.459234367125</v>
      </c>
      <c r="E69" s="101">
        <f>E65*E67</f>
        <v>67206.682079241466</v>
      </c>
    </row>
    <row r="71" spans="1:5" x14ac:dyDescent="0.2">
      <c r="B71" s="54" t="s">
        <v>648</v>
      </c>
    </row>
  </sheetData>
  <mergeCells count="4">
    <mergeCell ref="A1:E1"/>
    <mergeCell ref="A2:E2"/>
    <mergeCell ref="A3:E3"/>
    <mergeCell ref="A4:E4"/>
  </mergeCells>
  <pageMargins left="0.7" right="0.7" top="0.75" bottom="0.75" header="0.3" footer="0.3"/>
  <pageSetup scale="77" orientation="portrait" blackAndWhite="1" r:id="rId1"/>
  <headerFooter>
    <oddHeader>&amp;RAdvice No. 2018-xx
Exhibit No. 13</oddHeader>
    <oddFooter>&amp;L&amp;F
&amp;A&amp;R&amp;D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73"/>
  <sheetViews>
    <sheetView zoomScaleNormal="100" workbookViewId="0">
      <selection activeCell="C48" sqref="C48"/>
    </sheetView>
  </sheetViews>
  <sheetFormatPr defaultRowHeight="12.75" x14ac:dyDescent="0.2"/>
  <cols>
    <col min="1" max="1" width="26.28515625" style="64" customWidth="1"/>
    <col min="2" max="15" width="14.140625" style="64" customWidth="1"/>
    <col min="16" max="16" width="15" style="64" customWidth="1"/>
    <col min="17" max="17" width="15" style="64" bestFit="1" customWidth="1"/>
    <col min="18" max="18" width="14" style="64" bestFit="1" customWidth="1"/>
    <col min="19" max="19" width="4.7109375" style="64" bestFit="1" customWidth="1"/>
    <col min="20" max="256" width="9.140625" style="64"/>
    <col min="257" max="257" width="12.140625" style="64" customWidth="1"/>
    <col min="258" max="258" width="14.7109375" style="64" bestFit="1" customWidth="1"/>
    <col min="259" max="259" width="12.7109375" style="64" bestFit="1" customWidth="1"/>
    <col min="260" max="260" width="13.7109375" style="64" bestFit="1" customWidth="1"/>
    <col min="261" max="261" width="12.7109375" style="64" bestFit="1" customWidth="1"/>
    <col min="262" max="262" width="12.28515625" style="64" bestFit="1" customWidth="1"/>
    <col min="263" max="263" width="12.7109375" style="64" bestFit="1" customWidth="1"/>
    <col min="264" max="264" width="12.42578125" style="64" bestFit="1" customWidth="1"/>
    <col min="265" max="265" width="12.5703125" style="64" bestFit="1" customWidth="1"/>
    <col min="266" max="266" width="13.7109375" style="64" bestFit="1" customWidth="1"/>
    <col min="267" max="271" width="13.7109375" style="64" customWidth="1"/>
    <col min="272" max="272" width="16" style="64" customWidth="1"/>
    <col min="273" max="274" width="14" style="64" bestFit="1" customWidth="1"/>
    <col min="275" max="275" width="4.7109375" style="64" bestFit="1" customWidth="1"/>
    <col min="276" max="512" width="9.140625" style="64"/>
    <col min="513" max="513" width="12.140625" style="64" customWidth="1"/>
    <col min="514" max="514" width="14.7109375" style="64" bestFit="1" customWidth="1"/>
    <col min="515" max="515" width="12.7109375" style="64" bestFit="1" customWidth="1"/>
    <col min="516" max="516" width="13.7109375" style="64" bestFit="1" customWidth="1"/>
    <col min="517" max="517" width="12.7109375" style="64" bestFit="1" customWidth="1"/>
    <col min="518" max="518" width="12.28515625" style="64" bestFit="1" customWidth="1"/>
    <col min="519" max="519" width="12.7109375" style="64" bestFit="1" customWidth="1"/>
    <col min="520" max="520" width="12.42578125" style="64" bestFit="1" customWidth="1"/>
    <col min="521" max="521" width="12.5703125" style="64" bestFit="1" customWidth="1"/>
    <col min="522" max="522" width="13.7109375" style="64" bestFit="1" customWidth="1"/>
    <col min="523" max="527" width="13.7109375" style="64" customWidth="1"/>
    <col min="528" max="528" width="16" style="64" customWidth="1"/>
    <col min="529" max="530" width="14" style="64" bestFit="1" customWidth="1"/>
    <col min="531" max="531" width="4.7109375" style="64" bestFit="1" customWidth="1"/>
    <col min="532" max="768" width="9.140625" style="64"/>
    <col min="769" max="769" width="12.140625" style="64" customWidth="1"/>
    <col min="770" max="770" width="14.7109375" style="64" bestFit="1" customWidth="1"/>
    <col min="771" max="771" width="12.7109375" style="64" bestFit="1" customWidth="1"/>
    <col min="772" max="772" width="13.7109375" style="64" bestFit="1" customWidth="1"/>
    <col min="773" max="773" width="12.7109375" style="64" bestFit="1" customWidth="1"/>
    <col min="774" max="774" width="12.28515625" style="64" bestFit="1" customWidth="1"/>
    <col min="775" max="775" width="12.7109375" style="64" bestFit="1" customWidth="1"/>
    <col min="776" max="776" width="12.42578125" style="64" bestFit="1" customWidth="1"/>
    <col min="777" max="777" width="12.5703125" style="64" bestFit="1" customWidth="1"/>
    <col min="778" max="778" width="13.7109375" style="64" bestFit="1" customWidth="1"/>
    <col min="779" max="783" width="13.7109375" style="64" customWidth="1"/>
    <col min="784" max="784" width="16" style="64" customWidth="1"/>
    <col min="785" max="786" width="14" style="64" bestFit="1" customWidth="1"/>
    <col min="787" max="787" width="4.7109375" style="64" bestFit="1" customWidth="1"/>
    <col min="788" max="1024" width="9.140625" style="64"/>
    <col min="1025" max="1025" width="12.140625" style="64" customWidth="1"/>
    <col min="1026" max="1026" width="14.7109375" style="64" bestFit="1" customWidth="1"/>
    <col min="1027" max="1027" width="12.7109375" style="64" bestFit="1" customWidth="1"/>
    <col min="1028" max="1028" width="13.7109375" style="64" bestFit="1" customWidth="1"/>
    <col min="1029" max="1029" width="12.7109375" style="64" bestFit="1" customWidth="1"/>
    <col min="1030" max="1030" width="12.28515625" style="64" bestFit="1" customWidth="1"/>
    <col min="1031" max="1031" width="12.7109375" style="64" bestFit="1" customWidth="1"/>
    <col min="1032" max="1032" width="12.42578125" style="64" bestFit="1" customWidth="1"/>
    <col min="1033" max="1033" width="12.5703125" style="64" bestFit="1" customWidth="1"/>
    <col min="1034" max="1034" width="13.7109375" style="64" bestFit="1" customWidth="1"/>
    <col min="1035" max="1039" width="13.7109375" style="64" customWidth="1"/>
    <col min="1040" max="1040" width="16" style="64" customWidth="1"/>
    <col min="1041" max="1042" width="14" style="64" bestFit="1" customWidth="1"/>
    <col min="1043" max="1043" width="4.7109375" style="64" bestFit="1" customWidth="1"/>
    <col min="1044" max="1280" width="9.140625" style="64"/>
    <col min="1281" max="1281" width="12.140625" style="64" customWidth="1"/>
    <col min="1282" max="1282" width="14.7109375" style="64" bestFit="1" customWidth="1"/>
    <col min="1283" max="1283" width="12.7109375" style="64" bestFit="1" customWidth="1"/>
    <col min="1284" max="1284" width="13.7109375" style="64" bestFit="1" customWidth="1"/>
    <col min="1285" max="1285" width="12.7109375" style="64" bestFit="1" customWidth="1"/>
    <col min="1286" max="1286" width="12.28515625" style="64" bestFit="1" customWidth="1"/>
    <col min="1287" max="1287" width="12.7109375" style="64" bestFit="1" customWidth="1"/>
    <col min="1288" max="1288" width="12.42578125" style="64" bestFit="1" customWidth="1"/>
    <col min="1289" max="1289" width="12.5703125" style="64" bestFit="1" customWidth="1"/>
    <col min="1290" max="1290" width="13.7109375" style="64" bestFit="1" customWidth="1"/>
    <col min="1291" max="1295" width="13.7109375" style="64" customWidth="1"/>
    <col min="1296" max="1296" width="16" style="64" customWidth="1"/>
    <col min="1297" max="1298" width="14" style="64" bestFit="1" customWidth="1"/>
    <col min="1299" max="1299" width="4.7109375" style="64" bestFit="1" customWidth="1"/>
    <col min="1300" max="1536" width="9.140625" style="64"/>
    <col min="1537" max="1537" width="12.140625" style="64" customWidth="1"/>
    <col min="1538" max="1538" width="14.7109375" style="64" bestFit="1" customWidth="1"/>
    <col min="1539" max="1539" width="12.7109375" style="64" bestFit="1" customWidth="1"/>
    <col min="1540" max="1540" width="13.7109375" style="64" bestFit="1" customWidth="1"/>
    <col min="1541" max="1541" width="12.7109375" style="64" bestFit="1" customWidth="1"/>
    <col min="1542" max="1542" width="12.28515625" style="64" bestFit="1" customWidth="1"/>
    <col min="1543" max="1543" width="12.7109375" style="64" bestFit="1" customWidth="1"/>
    <col min="1544" max="1544" width="12.42578125" style="64" bestFit="1" customWidth="1"/>
    <col min="1545" max="1545" width="12.5703125" style="64" bestFit="1" customWidth="1"/>
    <col min="1546" max="1546" width="13.7109375" style="64" bestFit="1" customWidth="1"/>
    <col min="1547" max="1551" width="13.7109375" style="64" customWidth="1"/>
    <col min="1552" max="1552" width="16" style="64" customWidth="1"/>
    <col min="1553" max="1554" width="14" style="64" bestFit="1" customWidth="1"/>
    <col min="1555" max="1555" width="4.7109375" style="64" bestFit="1" customWidth="1"/>
    <col min="1556" max="1792" width="9.140625" style="64"/>
    <col min="1793" max="1793" width="12.140625" style="64" customWidth="1"/>
    <col min="1794" max="1794" width="14.7109375" style="64" bestFit="1" customWidth="1"/>
    <col min="1795" max="1795" width="12.7109375" style="64" bestFit="1" customWidth="1"/>
    <col min="1796" max="1796" width="13.7109375" style="64" bestFit="1" customWidth="1"/>
    <col min="1797" max="1797" width="12.7109375" style="64" bestFit="1" customWidth="1"/>
    <col min="1798" max="1798" width="12.28515625" style="64" bestFit="1" customWidth="1"/>
    <col min="1799" max="1799" width="12.7109375" style="64" bestFit="1" customWidth="1"/>
    <col min="1800" max="1800" width="12.42578125" style="64" bestFit="1" customWidth="1"/>
    <col min="1801" max="1801" width="12.5703125" style="64" bestFit="1" customWidth="1"/>
    <col min="1802" max="1802" width="13.7109375" style="64" bestFit="1" customWidth="1"/>
    <col min="1803" max="1807" width="13.7109375" style="64" customWidth="1"/>
    <col min="1808" max="1808" width="16" style="64" customWidth="1"/>
    <col min="1809" max="1810" width="14" style="64" bestFit="1" customWidth="1"/>
    <col min="1811" max="1811" width="4.7109375" style="64" bestFit="1" customWidth="1"/>
    <col min="1812" max="2048" width="9.140625" style="64"/>
    <col min="2049" max="2049" width="12.140625" style="64" customWidth="1"/>
    <col min="2050" max="2050" width="14.7109375" style="64" bestFit="1" customWidth="1"/>
    <col min="2051" max="2051" width="12.7109375" style="64" bestFit="1" customWidth="1"/>
    <col min="2052" max="2052" width="13.7109375" style="64" bestFit="1" customWidth="1"/>
    <col min="2053" max="2053" width="12.7109375" style="64" bestFit="1" customWidth="1"/>
    <col min="2054" max="2054" width="12.28515625" style="64" bestFit="1" customWidth="1"/>
    <col min="2055" max="2055" width="12.7109375" style="64" bestFit="1" customWidth="1"/>
    <col min="2056" max="2056" width="12.42578125" style="64" bestFit="1" customWidth="1"/>
    <col min="2057" max="2057" width="12.5703125" style="64" bestFit="1" customWidth="1"/>
    <col min="2058" max="2058" width="13.7109375" style="64" bestFit="1" customWidth="1"/>
    <col min="2059" max="2063" width="13.7109375" style="64" customWidth="1"/>
    <col min="2064" max="2064" width="16" style="64" customWidth="1"/>
    <col min="2065" max="2066" width="14" style="64" bestFit="1" customWidth="1"/>
    <col min="2067" max="2067" width="4.7109375" style="64" bestFit="1" customWidth="1"/>
    <col min="2068" max="2304" width="9.140625" style="64"/>
    <col min="2305" max="2305" width="12.140625" style="64" customWidth="1"/>
    <col min="2306" max="2306" width="14.7109375" style="64" bestFit="1" customWidth="1"/>
    <col min="2307" max="2307" width="12.7109375" style="64" bestFit="1" customWidth="1"/>
    <col min="2308" max="2308" width="13.7109375" style="64" bestFit="1" customWidth="1"/>
    <col min="2309" max="2309" width="12.7109375" style="64" bestFit="1" customWidth="1"/>
    <col min="2310" max="2310" width="12.28515625" style="64" bestFit="1" customWidth="1"/>
    <col min="2311" max="2311" width="12.7109375" style="64" bestFit="1" customWidth="1"/>
    <col min="2312" max="2312" width="12.42578125" style="64" bestFit="1" customWidth="1"/>
    <col min="2313" max="2313" width="12.5703125" style="64" bestFit="1" customWidth="1"/>
    <col min="2314" max="2314" width="13.7109375" style="64" bestFit="1" customWidth="1"/>
    <col min="2315" max="2319" width="13.7109375" style="64" customWidth="1"/>
    <col min="2320" max="2320" width="16" style="64" customWidth="1"/>
    <col min="2321" max="2322" width="14" style="64" bestFit="1" customWidth="1"/>
    <col min="2323" max="2323" width="4.7109375" style="64" bestFit="1" customWidth="1"/>
    <col min="2324" max="2560" width="9.140625" style="64"/>
    <col min="2561" max="2561" width="12.140625" style="64" customWidth="1"/>
    <col min="2562" max="2562" width="14.7109375" style="64" bestFit="1" customWidth="1"/>
    <col min="2563" max="2563" width="12.7109375" style="64" bestFit="1" customWidth="1"/>
    <col min="2564" max="2564" width="13.7109375" style="64" bestFit="1" customWidth="1"/>
    <col min="2565" max="2565" width="12.7109375" style="64" bestFit="1" customWidth="1"/>
    <col min="2566" max="2566" width="12.28515625" style="64" bestFit="1" customWidth="1"/>
    <col min="2567" max="2567" width="12.7109375" style="64" bestFit="1" customWidth="1"/>
    <col min="2568" max="2568" width="12.42578125" style="64" bestFit="1" customWidth="1"/>
    <col min="2569" max="2569" width="12.5703125" style="64" bestFit="1" customWidth="1"/>
    <col min="2570" max="2570" width="13.7109375" style="64" bestFit="1" customWidth="1"/>
    <col min="2571" max="2575" width="13.7109375" style="64" customWidth="1"/>
    <col min="2576" max="2576" width="16" style="64" customWidth="1"/>
    <col min="2577" max="2578" width="14" style="64" bestFit="1" customWidth="1"/>
    <col min="2579" max="2579" width="4.7109375" style="64" bestFit="1" customWidth="1"/>
    <col min="2580" max="2816" width="9.140625" style="64"/>
    <col min="2817" max="2817" width="12.140625" style="64" customWidth="1"/>
    <col min="2818" max="2818" width="14.7109375" style="64" bestFit="1" customWidth="1"/>
    <col min="2819" max="2819" width="12.7109375" style="64" bestFit="1" customWidth="1"/>
    <col min="2820" max="2820" width="13.7109375" style="64" bestFit="1" customWidth="1"/>
    <col min="2821" max="2821" width="12.7109375" style="64" bestFit="1" customWidth="1"/>
    <col min="2822" max="2822" width="12.28515625" style="64" bestFit="1" customWidth="1"/>
    <col min="2823" max="2823" width="12.7109375" style="64" bestFit="1" customWidth="1"/>
    <col min="2824" max="2824" width="12.42578125" style="64" bestFit="1" customWidth="1"/>
    <col min="2825" max="2825" width="12.5703125" style="64" bestFit="1" customWidth="1"/>
    <col min="2826" max="2826" width="13.7109375" style="64" bestFit="1" customWidth="1"/>
    <col min="2827" max="2831" width="13.7109375" style="64" customWidth="1"/>
    <col min="2832" max="2832" width="16" style="64" customWidth="1"/>
    <col min="2833" max="2834" width="14" style="64" bestFit="1" customWidth="1"/>
    <col min="2835" max="2835" width="4.7109375" style="64" bestFit="1" customWidth="1"/>
    <col min="2836" max="3072" width="9.140625" style="64"/>
    <col min="3073" max="3073" width="12.140625" style="64" customWidth="1"/>
    <col min="3074" max="3074" width="14.7109375" style="64" bestFit="1" customWidth="1"/>
    <col min="3075" max="3075" width="12.7109375" style="64" bestFit="1" customWidth="1"/>
    <col min="3076" max="3076" width="13.7109375" style="64" bestFit="1" customWidth="1"/>
    <col min="3077" max="3077" width="12.7109375" style="64" bestFit="1" customWidth="1"/>
    <col min="3078" max="3078" width="12.28515625" style="64" bestFit="1" customWidth="1"/>
    <col min="3079" max="3079" width="12.7109375" style="64" bestFit="1" customWidth="1"/>
    <col min="3080" max="3080" width="12.42578125" style="64" bestFit="1" customWidth="1"/>
    <col min="3081" max="3081" width="12.5703125" style="64" bestFit="1" customWidth="1"/>
    <col min="3082" max="3082" width="13.7109375" style="64" bestFit="1" customWidth="1"/>
    <col min="3083" max="3087" width="13.7109375" style="64" customWidth="1"/>
    <col min="3088" max="3088" width="16" style="64" customWidth="1"/>
    <col min="3089" max="3090" width="14" style="64" bestFit="1" customWidth="1"/>
    <col min="3091" max="3091" width="4.7109375" style="64" bestFit="1" customWidth="1"/>
    <col min="3092" max="3328" width="9.140625" style="64"/>
    <col min="3329" max="3329" width="12.140625" style="64" customWidth="1"/>
    <col min="3330" max="3330" width="14.7109375" style="64" bestFit="1" customWidth="1"/>
    <col min="3331" max="3331" width="12.7109375" style="64" bestFit="1" customWidth="1"/>
    <col min="3332" max="3332" width="13.7109375" style="64" bestFit="1" customWidth="1"/>
    <col min="3333" max="3333" width="12.7109375" style="64" bestFit="1" customWidth="1"/>
    <col min="3334" max="3334" width="12.28515625" style="64" bestFit="1" customWidth="1"/>
    <col min="3335" max="3335" width="12.7109375" style="64" bestFit="1" customWidth="1"/>
    <col min="3336" max="3336" width="12.42578125" style="64" bestFit="1" customWidth="1"/>
    <col min="3337" max="3337" width="12.5703125" style="64" bestFit="1" customWidth="1"/>
    <col min="3338" max="3338" width="13.7109375" style="64" bestFit="1" customWidth="1"/>
    <col min="3339" max="3343" width="13.7109375" style="64" customWidth="1"/>
    <col min="3344" max="3344" width="16" style="64" customWidth="1"/>
    <col min="3345" max="3346" width="14" style="64" bestFit="1" customWidth="1"/>
    <col min="3347" max="3347" width="4.7109375" style="64" bestFit="1" customWidth="1"/>
    <col min="3348" max="3584" width="9.140625" style="64"/>
    <col min="3585" max="3585" width="12.140625" style="64" customWidth="1"/>
    <col min="3586" max="3586" width="14.7109375" style="64" bestFit="1" customWidth="1"/>
    <col min="3587" max="3587" width="12.7109375" style="64" bestFit="1" customWidth="1"/>
    <col min="3588" max="3588" width="13.7109375" style="64" bestFit="1" customWidth="1"/>
    <col min="3589" max="3589" width="12.7109375" style="64" bestFit="1" customWidth="1"/>
    <col min="3590" max="3590" width="12.28515625" style="64" bestFit="1" customWidth="1"/>
    <col min="3591" max="3591" width="12.7109375" style="64" bestFit="1" customWidth="1"/>
    <col min="3592" max="3592" width="12.42578125" style="64" bestFit="1" customWidth="1"/>
    <col min="3593" max="3593" width="12.5703125" style="64" bestFit="1" customWidth="1"/>
    <col min="3594" max="3594" width="13.7109375" style="64" bestFit="1" customWidth="1"/>
    <col min="3595" max="3599" width="13.7109375" style="64" customWidth="1"/>
    <col min="3600" max="3600" width="16" style="64" customWidth="1"/>
    <col min="3601" max="3602" width="14" style="64" bestFit="1" customWidth="1"/>
    <col min="3603" max="3603" width="4.7109375" style="64" bestFit="1" customWidth="1"/>
    <col min="3604" max="3840" width="9.140625" style="64"/>
    <col min="3841" max="3841" width="12.140625" style="64" customWidth="1"/>
    <col min="3842" max="3842" width="14.7109375" style="64" bestFit="1" customWidth="1"/>
    <col min="3843" max="3843" width="12.7109375" style="64" bestFit="1" customWidth="1"/>
    <col min="3844" max="3844" width="13.7109375" style="64" bestFit="1" customWidth="1"/>
    <col min="3845" max="3845" width="12.7109375" style="64" bestFit="1" customWidth="1"/>
    <col min="3846" max="3846" width="12.28515625" style="64" bestFit="1" customWidth="1"/>
    <col min="3847" max="3847" width="12.7109375" style="64" bestFit="1" customWidth="1"/>
    <col min="3848" max="3848" width="12.42578125" style="64" bestFit="1" customWidth="1"/>
    <col min="3849" max="3849" width="12.5703125" style="64" bestFit="1" customWidth="1"/>
    <col min="3850" max="3850" width="13.7109375" style="64" bestFit="1" customWidth="1"/>
    <col min="3851" max="3855" width="13.7109375" style="64" customWidth="1"/>
    <col min="3856" max="3856" width="16" style="64" customWidth="1"/>
    <col min="3857" max="3858" width="14" style="64" bestFit="1" customWidth="1"/>
    <col min="3859" max="3859" width="4.7109375" style="64" bestFit="1" customWidth="1"/>
    <col min="3860" max="4096" width="9.140625" style="64"/>
    <col min="4097" max="4097" width="12.140625" style="64" customWidth="1"/>
    <col min="4098" max="4098" width="14.7109375" style="64" bestFit="1" customWidth="1"/>
    <col min="4099" max="4099" width="12.7109375" style="64" bestFit="1" customWidth="1"/>
    <col min="4100" max="4100" width="13.7109375" style="64" bestFit="1" customWidth="1"/>
    <col min="4101" max="4101" width="12.7109375" style="64" bestFit="1" customWidth="1"/>
    <col min="4102" max="4102" width="12.28515625" style="64" bestFit="1" customWidth="1"/>
    <col min="4103" max="4103" width="12.7109375" style="64" bestFit="1" customWidth="1"/>
    <col min="4104" max="4104" width="12.42578125" style="64" bestFit="1" customWidth="1"/>
    <col min="4105" max="4105" width="12.5703125" style="64" bestFit="1" customWidth="1"/>
    <col min="4106" max="4106" width="13.7109375" style="64" bestFit="1" customWidth="1"/>
    <col min="4107" max="4111" width="13.7109375" style="64" customWidth="1"/>
    <col min="4112" max="4112" width="16" style="64" customWidth="1"/>
    <col min="4113" max="4114" width="14" style="64" bestFit="1" customWidth="1"/>
    <col min="4115" max="4115" width="4.7109375" style="64" bestFit="1" customWidth="1"/>
    <col min="4116" max="4352" width="9.140625" style="64"/>
    <col min="4353" max="4353" width="12.140625" style="64" customWidth="1"/>
    <col min="4354" max="4354" width="14.7109375" style="64" bestFit="1" customWidth="1"/>
    <col min="4355" max="4355" width="12.7109375" style="64" bestFit="1" customWidth="1"/>
    <col min="4356" max="4356" width="13.7109375" style="64" bestFit="1" customWidth="1"/>
    <col min="4357" max="4357" width="12.7109375" style="64" bestFit="1" customWidth="1"/>
    <col min="4358" max="4358" width="12.28515625" style="64" bestFit="1" customWidth="1"/>
    <col min="4359" max="4359" width="12.7109375" style="64" bestFit="1" customWidth="1"/>
    <col min="4360" max="4360" width="12.42578125" style="64" bestFit="1" customWidth="1"/>
    <col min="4361" max="4361" width="12.5703125" style="64" bestFit="1" customWidth="1"/>
    <col min="4362" max="4362" width="13.7109375" style="64" bestFit="1" customWidth="1"/>
    <col min="4363" max="4367" width="13.7109375" style="64" customWidth="1"/>
    <col min="4368" max="4368" width="16" style="64" customWidth="1"/>
    <col min="4369" max="4370" width="14" style="64" bestFit="1" customWidth="1"/>
    <col min="4371" max="4371" width="4.7109375" style="64" bestFit="1" customWidth="1"/>
    <col min="4372" max="4608" width="9.140625" style="64"/>
    <col min="4609" max="4609" width="12.140625" style="64" customWidth="1"/>
    <col min="4610" max="4610" width="14.7109375" style="64" bestFit="1" customWidth="1"/>
    <col min="4611" max="4611" width="12.7109375" style="64" bestFit="1" customWidth="1"/>
    <col min="4612" max="4612" width="13.7109375" style="64" bestFit="1" customWidth="1"/>
    <col min="4613" max="4613" width="12.7109375" style="64" bestFit="1" customWidth="1"/>
    <col min="4614" max="4614" width="12.28515625" style="64" bestFit="1" customWidth="1"/>
    <col min="4615" max="4615" width="12.7109375" style="64" bestFit="1" customWidth="1"/>
    <col min="4616" max="4616" width="12.42578125" style="64" bestFit="1" customWidth="1"/>
    <col min="4617" max="4617" width="12.5703125" style="64" bestFit="1" customWidth="1"/>
    <col min="4618" max="4618" width="13.7109375" style="64" bestFit="1" customWidth="1"/>
    <col min="4619" max="4623" width="13.7109375" style="64" customWidth="1"/>
    <col min="4624" max="4624" width="16" style="64" customWidth="1"/>
    <col min="4625" max="4626" width="14" style="64" bestFit="1" customWidth="1"/>
    <col min="4627" max="4627" width="4.7109375" style="64" bestFit="1" customWidth="1"/>
    <col min="4628" max="4864" width="9.140625" style="64"/>
    <col min="4865" max="4865" width="12.140625" style="64" customWidth="1"/>
    <col min="4866" max="4866" width="14.7109375" style="64" bestFit="1" customWidth="1"/>
    <col min="4867" max="4867" width="12.7109375" style="64" bestFit="1" customWidth="1"/>
    <col min="4868" max="4868" width="13.7109375" style="64" bestFit="1" customWidth="1"/>
    <col min="4869" max="4869" width="12.7109375" style="64" bestFit="1" customWidth="1"/>
    <col min="4870" max="4870" width="12.28515625" style="64" bestFit="1" customWidth="1"/>
    <col min="4871" max="4871" width="12.7109375" style="64" bestFit="1" customWidth="1"/>
    <col min="4872" max="4872" width="12.42578125" style="64" bestFit="1" customWidth="1"/>
    <col min="4873" max="4873" width="12.5703125" style="64" bestFit="1" customWidth="1"/>
    <col min="4874" max="4874" width="13.7109375" style="64" bestFit="1" customWidth="1"/>
    <col min="4875" max="4879" width="13.7109375" style="64" customWidth="1"/>
    <col min="4880" max="4880" width="16" style="64" customWidth="1"/>
    <col min="4881" max="4882" width="14" style="64" bestFit="1" customWidth="1"/>
    <col min="4883" max="4883" width="4.7109375" style="64" bestFit="1" customWidth="1"/>
    <col min="4884" max="5120" width="9.140625" style="64"/>
    <col min="5121" max="5121" width="12.140625" style="64" customWidth="1"/>
    <col min="5122" max="5122" width="14.7109375" style="64" bestFit="1" customWidth="1"/>
    <col min="5123" max="5123" width="12.7109375" style="64" bestFit="1" customWidth="1"/>
    <col min="5124" max="5124" width="13.7109375" style="64" bestFit="1" customWidth="1"/>
    <col min="5125" max="5125" width="12.7109375" style="64" bestFit="1" customWidth="1"/>
    <col min="5126" max="5126" width="12.28515625" style="64" bestFit="1" customWidth="1"/>
    <col min="5127" max="5127" width="12.7109375" style="64" bestFit="1" customWidth="1"/>
    <col min="5128" max="5128" width="12.42578125" style="64" bestFit="1" customWidth="1"/>
    <col min="5129" max="5129" width="12.5703125" style="64" bestFit="1" customWidth="1"/>
    <col min="5130" max="5130" width="13.7109375" style="64" bestFit="1" customWidth="1"/>
    <col min="5131" max="5135" width="13.7109375" style="64" customWidth="1"/>
    <col min="5136" max="5136" width="16" style="64" customWidth="1"/>
    <col min="5137" max="5138" width="14" style="64" bestFit="1" customWidth="1"/>
    <col min="5139" max="5139" width="4.7109375" style="64" bestFit="1" customWidth="1"/>
    <col min="5140" max="5376" width="9.140625" style="64"/>
    <col min="5377" max="5377" width="12.140625" style="64" customWidth="1"/>
    <col min="5378" max="5378" width="14.7109375" style="64" bestFit="1" customWidth="1"/>
    <col min="5379" max="5379" width="12.7109375" style="64" bestFit="1" customWidth="1"/>
    <col min="5380" max="5380" width="13.7109375" style="64" bestFit="1" customWidth="1"/>
    <col min="5381" max="5381" width="12.7109375" style="64" bestFit="1" customWidth="1"/>
    <col min="5382" max="5382" width="12.28515625" style="64" bestFit="1" customWidth="1"/>
    <col min="5383" max="5383" width="12.7109375" style="64" bestFit="1" customWidth="1"/>
    <col min="5384" max="5384" width="12.42578125" style="64" bestFit="1" customWidth="1"/>
    <col min="5385" max="5385" width="12.5703125" style="64" bestFit="1" customWidth="1"/>
    <col min="5386" max="5386" width="13.7109375" style="64" bestFit="1" customWidth="1"/>
    <col min="5387" max="5391" width="13.7109375" style="64" customWidth="1"/>
    <col min="5392" max="5392" width="16" style="64" customWidth="1"/>
    <col min="5393" max="5394" width="14" style="64" bestFit="1" customWidth="1"/>
    <col min="5395" max="5395" width="4.7109375" style="64" bestFit="1" customWidth="1"/>
    <col min="5396" max="5632" width="9.140625" style="64"/>
    <col min="5633" max="5633" width="12.140625" style="64" customWidth="1"/>
    <col min="5634" max="5634" width="14.7109375" style="64" bestFit="1" customWidth="1"/>
    <col min="5635" max="5635" width="12.7109375" style="64" bestFit="1" customWidth="1"/>
    <col min="5636" max="5636" width="13.7109375" style="64" bestFit="1" customWidth="1"/>
    <col min="5637" max="5637" width="12.7109375" style="64" bestFit="1" customWidth="1"/>
    <col min="5638" max="5638" width="12.28515625" style="64" bestFit="1" customWidth="1"/>
    <col min="5639" max="5639" width="12.7109375" style="64" bestFit="1" customWidth="1"/>
    <col min="5640" max="5640" width="12.42578125" style="64" bestFit="1" customWidth="1"/>
    <col min="5641" max="5641" width="12.5703125" style="64" bestFit="1" customWidth="1"/>
    <col min="5642" max="5642" width="13.7109375" style="64" bestFit="1" customWidth="1"/>
    <col min="5643" max="5647" width="13.7109375" style="64" customWidth="1"/>
    <col min="5648" max="5648" width="16" style="64" customWidth="1"/>
    <col min="5649" max="5650" width="14" style="64" bestFit="1" customWidth="1"/>
    <col min="5651" max="5651" width="4.7109375" style="64" bestFit="1" customWidth="1"/>
    <col min="5652" max="5888" width="9.140625" style="64"/>
    <col min="5889" max="5889" width="12.140625" style="64" customWidth="1"/>
    <col min="5890" max="5890" width="14.7109375" style="64" bestFit="1" customWidth="1"/>
    <col min="5891" max="5891" width="12.7109375" style="64" bestFit="1" customWidth="1"/>
    <col min="5892" max="5892" width="13.7109375" style="64" bestFit="1" customWidth="1"/>
    <col min="5893" max="5893" width="12.7109375" style="64" bestFit="1" customWidth="1"/>
    <col min="5894" max="5894" width="12.28515625" style="64" bestFit="1" customWidth="1"/>
    <col min="5895" max="5895" width="12.7109375" style="64" bestFit="1" customWidth="1"/>
    <col min="5896" max="5896" width="12.42578125" style="64" bestFit="1" customWidth="1"/>
    <col min="5897" max="5897" width="12.5703125" style="64" bestFit="1" customWidth="1"/>
    <col min="5898" max="5898" width="13.7109375" style="64" bestFit="1" customWidth="1"/>
    <col min="5899" max="5903" width="13.7109375" style="64" customWidth="1"/>
    <col min="5904" max="5904" width="16" style="64" customWidth="1"/>
    <col min="5905" max="5906" width="14" style="64" bestFit="1" customWidth="1"/>
    <col min="5907" max="5907" width="4.7109375" style="64" bestFit="1" customWidth="1"/>
    <col min="5908" max="6144" width="9.140625" style="64"/>
    <col min="6145" max="6145" width="12.140625" style="64" customWidth="1"/>
    <col min="6146" max="6146" width="14.7109375" style="64" bestFit="1" customWidth="1"/>
    <col min="6147" max="6147" width="12.7109375" style="64" bestFit="1" customWidth="1"/>
    <col min="6148" max="6148" width="13.7109375" style="64" bestFit="1" customWidth="1"/>
    <col min="6149" max="6149" width="12.7109375" style="64" bestFit="1" customWidth="1"/>
    <col min="6150" max="6150" width="12.28515625" style="64" bestFit="1" customWidth="1"/>
    <col min="6151" max="6151" width="12.7109375" style="64" bestFit="1" customWidth="1"/>
    <col min="6152" max="6152" width="12.42578125" style="64" bestFit="1" customWidth="1"/>
    <col min="6153" max="6153" width="12.5703125" style="64" bestFit="1" customWidth="1"/>
    <col min="6154" max="6154" width="13.7109375" style="64" bestFit="1" customWidth="1"/>
    <col min="6155" max="6159" width="13.7109375" style="64" customWidth="1"/>
    <col min="6160" max="6160" width="16" style="64" customWidth="1"/>
    <col min="6161" max="6162" width="14" style="64" bestFit="1" customWidth="1"/>
    <col min="6163" max="6163" width="4.7109375" style="64" bestFit="1" customWidth="1"/>
    <col min="6164" max="6400" width="9.140625" style="64"/>
    <col min="6401" max="6401" width="12.140625" style="64" customWidth="1"/>
    <col min="6402" max="6402" width="14.7109375" style="64" bestFit="1" customWidth="1"/>
    <col min="6403" max="6403" width="12.7109375" style="64" bestFit="1" customWidth="1"/>
    <col min="6404" max="6404" width="13.7109375" style="64" bestFit="1" customWidth="1"/>
    <col min="6405" max="6405" width="12.7109375" style="64" bestFit="1" customWidth="1"/>
    <col min="6406" max="6406" width="12.28515625" style="64" bestFit="1" customWidth="1"/>
    <col min="6407" max="6407" width="12.7109375" style="64" bestFit="1" customWidth="1"/>
    <col min="6408" max="6408" width="12.42578125" style="64" bestFit="1" customWidth="1"/>
    <col min="6409" max="6409" width="12.5703125" style="64" bestFit="1" customWidth="1"/>
    <col min="6410" max="6410" width="13.7109375" style="64" bestFit="1" customWidth="1"/>
    <col min="6411" max="6415" width="13.7109375" style="64" customWidth="1"/>
    <col min="6416" max="6416" width="16" style="64" customWidth="1"/>
    <col min="6417" max="6418" width="14" style="64" bestFit="1" customWidth="1"/>
    <col min="6419" max="6419" width="4.7109375" style="64" bestFit="1" customWidth="1"/>
    <col min="6420" max="6656" width="9.140625" style="64"/>
    <col min="6657" max="6657" width="12.140625" style="64" customWidth="1"/>
    <col min="6658" max="6658" width="14.7109375" style="64" bestFit="1" customWidth="1"/>
    <col min="6659" max="6659" width="12.7109375" style="64" bestFit="1" customWidth="1"/>
    <col min="6660" max="6660" width="13.7109375" style="64" bestFit="1" customWidth="1"/>
    <col min="6661" max="6661" width="12.7109375" style="64" bestFit="1" customWidth="1"/>
    <col min="6662" max="6662" width="12.28515625" style="64" bestFit="1" customWidth="1"/>
    <col min="6663" max="6663" width="12.7109375" style="64" bestFit="1" customWidth="1"/>
    <col min="6664" max="6664" width="12.42578125" style="64" bestFit="1" customWidth="1"/>
    <col min="6665" max="6665" width="12.5703125" style="64" bestFit="1" customWidth="1"/>
    <col min="6666" max="6666" width="13.7109375" style="64" bestFit="1" customWidth="1"/>
    <col min="6667" max="6671" width="13.7109375" style="64" customWidth="1"/>
    <col min="6672" max="6672" width="16" style="64" customWidth="1"/>
    <col min="6673" max="6674" width="14" style="64" bestFit="1" customWidth="1"/>
    <col min="6675" max="6675" width="4.7109375" style="64" bestFit="1" customWidth="1"/>
    <col min="6676" max="6912" width="9.140625" style="64"/>
    <col min="6913" max="6913" width="12.140625" style="64" customWidth="1"/>
    <col min="6914" max="6914" width="14.7109375" style="64" bestFit="1" customWidth="1"/>
    <col min="6915" max="6915" width="12.7109375" style="64" bestFit="1" customWidth="1"/>
    <col min="6916" max="6916" width="13.7109375" style="64" bestFit="1" customWidth="1"/>
    <col min="6917" max="6917" width="12.7109375" style="64" bestFit="1" customWidth="1"/>
    <col min="6918" max="6918" width="12.28515625" style="64" bestFit="1" customWidth="1"/>
    <col min="6919" max="6919" width="12.7109375" style="64" bestFit="1" customWidth="1"/>
    <col min="6920" max="6920" width="12.42578125" style="64" bestFit="1" customWidth="1"/>
    <col min="6921" max="6921" width="12.5703125" style="64" bestFit="1" customWidth="1"/>
    <col min="6922" max="6922" width="13.7109375" style="64" bestFit="1" customWidth="1"/>
    <col min="6923" max="6927" width="13.7109375" style="64" customWidth="1"/>
    <col min="6928" max="6928" width="16" style="64" customWidth="1"/>
    <col min="6929" max="6930" width="14" style="64" bestFit="1" customWidth="1"/>
    <col min="6931" max="6931" width="4.7109375" style="64" bestFit="1" customWidth="1"/>
    <col min="6932" max="7168" width="9.140625" style="64"/>
    <col min="7169" max="7169" width="12.140625" style="64" customWidth="1"/>
    <col min="7170" max="7170" width="14.7109375" style="64" bestFit="1" customWidth="1"/>
    <col min="7171" max="7171" width="12.7109375" style="64" bestFit="1" customWidth="1"/>
    <col min="7172" max="7172" width="13.7109375" style="64" bestFit="1" customWidth="1"/>
    <col min="7173" max="7173" width="12.7109375" style="64" bestFit="1" customWidth="1"/>
    <col min="7174" max="7174" width="12.28515625" style="64" bestFit="1" customWidth="1"/>
    <col min="7175" max="7175" width="12.7109375" style="64" bestFit="1" customWidth="1"/>
    <col min="7176" max="7176" width="12.42578125" style="64" bestFit="1" customWidth="1"/>
    <col min="7177" max="7177" width="12.5703125" style="64" bestFit="1" customWidth="1"/>
    <col min="7178" max="7178" width="13.7109375" style="64" bestFit="1" customWidth="1"/>
    <col min="7179" max="7183" width="13.7109375" style="64" customWidth="1"/>
    <col min="7184" max="7184" width="16" style="64" customWidth="1"/>
    <col min="7185" max="7186" width="14" style="64" bestFit="1" customWidth="1"/>
    <col min="7187" max="7187" width="4.7109375" style="64" bestFit="1" customWidth="1"/>
    <col min="7188" max="7424" width="9.140625" style="64"/>
    <col min="7425" max="7425" width="12.140625" style="64" customWidth="1"/>
    <col min="7426" max="7426" width="14.7109375" style="64" bestFit="1" customWidth="1"/>
    <col min="7427" max="7427" width="12.7109375" style="64" bestFit="1" customWidth="1"/>
    <col min="7428" max="7428" width="13.7109375" style="64" bestFit="1" customWidth="1"/>
    <col min="7429" max="7429" width="12.7109375" style="64" bestFit="1" customWidth="1"/>
    <col min="7430" max="7430" width="12.28515625" style="64" bestFit="1" customWidth="1"/>
    <col min="7431" max="7431" width="12.7109375" style="64" bestFit="1" customWidth="1"/>
    <col min="7432" max="7432" width="12.42578125" style="64" bestFit="1" customWidth="1"/>
    <col min="7433" max="7433" width="12.5703125" style="64" bestFit="1" customWidth="1"/>
    <col min="7434" max="7434" width="13.7109375" style="64" bestFit="1" customWidth="1"/>
    <col min="7435" max="7439" width="13.7109375" style="64" customWidth="1"/>
    <col min="7440" max="7440" width="16" style="64" customWidth="1"/>
    <col min="7441" max="7442" width="14" style="64" bestFit="1" customWidth="1"/>
    <col min="7443" max="7443" width="4.7109375" style="64" bestFit="1" customWidth="1"/>
    <col min="7444" max="7680" width="9.140625" style="64"/>
    <col min="7681" max="7681" width="12.140625" style="64" customWidth="1"/>
    <col min="7682" max="7682" width="14.7109375" style="64" bestFit="1" customWidth="1"/>
    <col min="7683" max="7683" width="12.7109375" style="64" bestFit="1" customWidth="1"/>
    <col min="7684" max="7684" width="13.7109375" style="64" bestFit="1" customWidth="1"/>
    <col min="7685" max="7685" width="12.7109375" style="64" bestFit="1" customWidth="1"/>
    <col min="7686" max="7686" width="12.28515625" style="64" bestFit="1" customWidth="1"/>
    <col min="7687" max="7687" width="12.7109375" style="64" bestFit="1" customWidth="1"/>
    <col min="7688" max="7688" width="12.42578125" style="64" bestFit="1" customWidth="1"/>
    <col min="7689" max="7689" width="12.5703125" style="64" bestFit="1" customWidth="1"/>
    <col min="7690" max="7690" width="13.7109375" style="64" bestFit="1" customWidth="1"/>
    <col min="7691" max="7695" width="13.7109375" style="64" customWidth="1"/>
    <col min="7696" max="7696" width="16" style="64" customWidth="1"/>
    <col min="7697" max="7698" width="14" style="64" bestFit="1" customWidth="1"/>
    <col min="7699" max="7699" width="4.7109375" style="64" bestFit="1" customWidth="1"/>
    <col min="7700" max="7936" width="9.140625" style="64"/>
    <col min="7937" max="7937" width="12.140625" style="64" customWidth="1"/>
    <col min="7938" max="7938" width="14.7109375" style="64" bestFit="1" customWidth="1"/>
    <col min="7939" max="7939" width="12.7109375" style="64" bestFit="1" customWidth="1"/>
    <col min="7940" max="7940" width="13.7109375" style="64" bestFit="1" customWidth="1"/>
    <col min="7941" max="7941" width="12.7109375" style="64" bestFit="1" customWidth="1"/>
    <col min="7942" max="7942" width="12.28515625" style="64" bestFit="1" customWidth="1"/>
    <col min="7943" max="7943" width="12.7109375" style="64" bestFit="1" customWidth="1"/>
    <col min="7944" max="7944" width="12.42578125" style="64" bestFit="1" customWidth="1"/>
    <col min="7945" max="7945" width="12.5703125" style="64" bestFit="1" customWidth="1"/>
    <col min="7946" max="7946" width="13.7109375" style="64" bestFit="1" customWidth="1"/>
    <col min="7947" max="7951" width="13.7109375" style="64" customWidth="1"/>
    <col min="7952" max="7952" width="16" style="64" customWidth="1"/>
    <col min="7953" max="7954" width="14" style="64" bestFit="1" customWidth="1"/>
    <col min="7955" max="7955" width="4.7109375" style="64" bestFit="1" customWidth="1"/>
    <col min="7956" max="8192" width="9.140625" style="64"/>
    <col min="8193" max="8193" width="12.140625" style="64" customWidth="1"/>
    <col min="8194" max="8194" width="14.7109375" style="64" bestFit="1" customWidth="1"/>
    <col min="8195" max="8195" width="12.7109375" style="64" bestFit="1" customWidth="1"/>
    <col min="8196" max="8196" width="13.7109375" style="64" bestFit="1" customWidth="1"/>
    <col min="8197" max="8197" width="12.7109375" style="64" bestFit="1" customWidth="1"/>
    <col min="8198" max="8198" width="12.28515625" style="64" bestFit="1" customWidth="1"/>
    <col min="8199" max="8199" width="12.7109375" style="64" bestFit="1" customWidth="1"/>
    <col min="8200" max="8200" width="12.42578125" style="64" bestFit="1" customWidth="1"/>
    <col min="8201" max="8201" width="12.5703125" style="64" bestFit="1" customWidth="1"/>
    <col min="8202" max="8202" width="13.7109375" style="64" bestFit="1" customWidth="1"/>
    <col min="8203" max="8207" width="13.7109375" style="64" customWidth="1"/>
    <col min="8208" max="8208" width="16" style="64" customWidth="1"/>
    <col min="8209" max="8210" width="14" style="64" bestFit="1" customWidth="1"/>
    <col min="8211" max="8211" width="4.7109375" style="64" bestFit="1" customWidth="1"/>
    <col min="8212" max="8448" width="9.140625" style="64"/>
    <col min="8449" max="8449" width="12.140625" style="64" customWidth="1"/>
    <col min="8450" max="8450" width="14.7109375" style="64" bestFit="1" customWidth="1"/>
    <col min="8451" max="8451" width="12.7109375" style="64" bestFit="1" customWidth="1"/>
    <col min="8452" max="8452" width="13.7109375" style="64" bestFit="1" customWidth="1"/>
    <col min="8453" max="8453" width="12.7109375" style="64" bestFit="1" customWidth="1"/>
    <col min="8454" max="8454" width="12.28515625" style="64" bestFit="1" customWidth="1"/>
    <col min="8455" max="8455" width="12.7109375" style="64" bestFit="1" customWidth="1"/>
    <col min="8456" max="8456" width="12.42578125" style="64" bestFit="1" customWidth="1"/>
    <col min="8457" max="8457" width="12.5703125" style="64" bestFit="1" customWidth="1"/>
    <col min="8458" max="8458" width="13.7109375" style="64" bestFit="1" customWidth="1"/>
    <col min="8459" max="8463" width="13.7109375" style="64" customWidth="1"/>
    <col min="8464" max="8464" width="16" style="64" customWidth="1"/>
    <col min="8465" max="8466" width="14" style="64" bestFit="1" customWidth="1"/>
    <col min="8467" max="8467" width="4.7109375" style="64" bestFit="1" customWidth="1"/>
    <col min="8468" max="8704" width="9.140625" style="64"/>
    <col min="8705" max="8705" width="12.140625" style="64" customWidth="1"/>
    <col min="8706" max="8706" width="14.7109375" style="64" bestFit="1" customWidth="1"/>
    <col min="8707" max="8707" width="12.7109375" style="64" bestFit="1" customWidth="1"/>
    <col min="8708" max="8708" width="13.7109375" style="64" bestFit="1" customWidth="1"/>
    <col min="8709" max="8709" width="12.7109375" style="64" bestFit="1" customWidth="1"/>
    <col min="8710" max="8710" width="12.28515625" style="64" bestFit="1" customWidth="1"/>
    <col min="8711" max="8711" width="12.7109375" style="64" bestFit="1" customWidth="1"/>
    <col min="8712" max="8712" width="12.42578125" style="64" bestFit="1" customWidth="1"/>
    <col min="8713" max="8713" width="12.5703125" style="64" bestFit="1" customWidth="1"/>
    <col min="8714" max="8714" width="13.7109375" style="64" bestFit="1" customWidth="1"/>
    <col min="8715" max="8719" width="13.7109375" style="64" customWidth="1"/>
    <col min="8720" max="8720" width="16" style="64" customWidth="1"/>
    <col min="8721" max="8722" width="14" style="64" bestFit="1" customWidth="1"/>
    <col min="8723" max="8723" width="4.7109375" style="64" bestFit="1" customWidth="1"/>
    <col min="8724" max="8960" width="9.140625" style="64"/>
    <col min="8961" max="8961" width="12.140625" style="64" customWidth="1"/>
    <col min="8962" max="8962" width="14.7109375" style="64" bestFit="1" customWidth="1"/>
    <col min="8963" max="8963" width="12.7109375" style="64" bestFit="1" customWidth="1"/>
    <col min="8964" max="8964" width="13.7109375" style="64" bestFit="1" customWidth="1"/>
    <col min="8965" max="8965" width="12.7109375" style="64" bestFit="1" customWidth="1"/>
    <col min="8966" max="8966" width="12.28515625" style="64" bestFit="1" customWidth="1"/>
    <col min="8967" max="8967" width="12.7109375" style="64" bestFit="1" customWidth="1"/>
    <col min="8968" max="8968" width="12.42578125" style="64" bestFit="1" customWidth="1"/>
    <col min="8969" max="8969" width="12.5703125" style="64" bestFit="1" customWidth="1"/>
    <col min="8970" max="8970" width="13.7109375" style="64" bestFit="1" customWidth="1"/>
    <col min="8971" max="8975" width="13.7109375" style="64" customWidth="1"/>
    <col min="8976" max="8976" width="16" style="64" customWidth="1"/>
    <col min="8977" max="8978" width="14" style="64" bestFit="1" customWidth="1"/>
    <col min="8979" max="8979" width="4.7109375" style="64" bestFit="1" customWidth="1"/>
    <col min="8980" max="9216" width="9.140625" style="64"/>
    <col min="9217" max="9217" width="12.140625" style="64" customWidth="1"/>
    <col min="9218" max="9218" width="14.7109375" style="64" bestFit="1" customWidth="1"/>
    <col min="9219" max="9219" width="12.7109375" style="64" bestFit="1" customWidth="1"/>
    <col min="9220" max="9220" width="13.7109375" style="64" bestFit="1" customWidth="1"/>
    <col min="9221" max="9221" width="12.7109375" style="64" bestFit="1" customWidth="1"/>
    <col min="9222" max="9222" width="12.28515625" style="64" bestFit="1" customWidth="1"/>
    <col min="9223" max="9223" width="12.7109375" style="64" bestFit="1" customWidth="1"/>
    <col min="9224" max="9224" width="12.42578125" style="64" bestFit="1" customWidth="1"/>
    <col min="9225" max="9225" width="12.5703125" style="64" bestFit="1" customWidth="1"/>
    <col min="9226" max="9226" width="13.7109375" style="64" bestFit="1" customWidth="1"/>
    <col min="9227" max="9231" width="13.7109375" style="64" customWidth="1"/>
    <col min="9232" max="9232" width="16" style="64" customWidth="1"/>
    <col min="9233" max="9234" width="14" style="64" bestFit="1" customWidth="1"/>
    <col min="9235" max="9235" width="4.7109375" style="64" bestFit="1" customWidth="1"/>
    <col min="9236" max="9472" width="9.140625" style="64"/>
    <col min="9473" max="9473" width="12.140625" style="64" customWidth="1"/>
    <col min="9474" max="9474" width="14.7109375" style="64" bestFit="1" customWidth="1"/>
    <col min="9475" max="9475" width="12.7109375" style="64" bestFit="1" customWidth="1"/>
    <col min="9476" max="9476" width="13.7109375" style="64" bestFit="1" customWidth="1"/>
    <col min="9477" max="9477" width="12.7109375" style="64" bestFit="1" customWidth="1"/>
    <col min="9478" max="9478" width="12.28515625" style="64" bestFit="1" customWidth="1"/>
    <col min="9479" max="9479" width="12.7109375" style="64" bestFit="1" customWidth="1"/>
    <col min="9480" max="9480" width="12.42578125" style="64" bestFit="1" customWidth="1"/>
    <col min="9481" max="9481" width="12.5703125" style="64" bestFit="1" customWidth="1"/>
    <col min="9482" max="9482" width="13.7109375" style="64" bestFit="1" customWidth="1"/>
    <col min="9483" max="9487" width="13.7109375" style="64" customWidth="1"/>
    <col min="9488" max="9488" width="16" style="64" customWidth="1"/>
    <col min="9489" max="9490" width="14" style="64" bestFit="1" customWidth="1"/>
    <col min="9491" max="9491" width="4.7109375" style="64" bestFit="1" customWidth="1"/>
    <col min="9492" max="9728" width="9.140625" style="64"/>
    <col min="9729" max="9729" width="12.140625" style="64" customWidth="1"/>
    <col min="9730" max="9730" width="14.7109375" style="64" bestFit="1" customWidth="1"/>
    <col min="9731" max="9731" width="12.7109375" style="64" bestFit="1" customWidth="1"/>
    <col min="9732" max="9732" width="13.7109375" style="64" bestFit="1" customWidth="1"/>
    <col min="9733" max="9733" width="12.7109375" style="64" bestFit="1" customWidth="1"/>
    <col min="9734" max="9734" width="12.28515625" style="64" bestFit="1" customWidth="1"/>
    <col min="9735" max="9735" width="12.7109375" style="64" bestFit="1" customWidth="1"/>
    <col min="9736" max="9736" width="12.42578125" style="64" bestFit="1" customWidth="1"/>
    <col min="9737" max="9737" width="12.5703125" style="64" bestFit="1" customWidth="1"/>
    <col min="9738" max="9738" width="13.7109375" style="64" bestFit="1" customWidth="1"/>
    <col min="9739" max="9743" width="13.7109375" style="64" customWidth="1"/>
    <col min="9744" max="9744" width="16" style="64" customWidth="1"/>
    <col min="9745" max="9746" width="14" style="64" bestFit="1" customWidth="1"/>
    <col min="9747" max="9747" width="4.7109375" style="64" bestFit="1" customWidth="1"/>
    <col min="9748" max="9984" width="9.140625" style="64"/>
    <col min="9985" max="9985" width="12.140625" style="64" customWidth="1"/>
    <col min="9986" max="9986" width="14.7109375" style="64" bestFit="1" customWidth="1"/>
    <col min="9987" max="9987" width="12.7109375" style="64" bestFit="1" customWidth="1"/>
    <col min="9988" max="9988" width="13.7109375" style="64" bestFit="1" customWidth="1"/>
    <col min="9989" max="9989" width="12.7109375" style="64" bestFit="1" customWidth="1"/>
    <col min="9990" max="9990" width="12.28515625" style="64" bestFit="1" customWidth="1"/>
    <col min="9991" max="9991" width="12.7109375" style="64" bestFit="1" customWidth="1"/>
    <col min="9992" max="9992" width="12.42578125" style="64" bestFit="1" customWidth="1"/>
    <col min="9993" max="9993" width="12.5703125" style="64" bestFit="1" customWidth="1"/>
    <col min="9994" max="9994" width="13.7109375" style="64" bestFit="1" customWidth="1"/>
    <col min="9995" max="9999" width="13.7109375" style="64" customWidth="1"/>
    <col min="10000" max="10000" width="16" style="64" customWidth="1"/>
    <col min="10001" max="10002" width="14" style="64" bestFit="1" customWidth="1"/>
    <col min="10003" max="10003" width="4.7109375" style="64" bestFit="1" customWidth="1"/>
    <col min="10004" max="10240" width="9.140625" style="64"/>
    <col min="10241" max="10241" width="12.140625" style="64" customWidth="1"/>
    <col min="10242" max="10242" width="14.7109375" style="64" bestFit="1" customWidth="1"/>
    <col min="10243" max="10243" width="12.7109375" style="64" bestFit="1" customWidth="1"/>
    <col min="10244" max="10244" width="13.7109375" style="64" bestFit="1" customWidth="1"/>
    <col min="10245" max="10245" width="12.7109375" style="64" bestFit="1" customWidth="1"/>
    <col min="10246" max="10246" width="12.28515625" style="64" bestFit="1" customWidth="1"/>
    <col min="10247" max="10247" width="12.7109375" style="64" bestFit="1" customWidth="1"/>
    <col min="10248" max="10248" width="12.42578125" style="64" bestFit="1" customWidth="1"/>
    <col min="10249" max="10249" width="12.5703125" style="64" bestFit="1" customWidth="1"/>
    <col min="10250" max="10250" width="13.7109375" style="64" bestFit="1" customWidth="1"/>
    <col min="10251" max="10255" width="13.7109375" style="64" customWidth="1"/>
    <col min="10256" max="10256" width="16" style="64" customWidth="1"/>
    <col min="10257" max="10258" width="14" style="64" bestFit="1" customWidth="1"/>
    <col min="10259" max="10259" width="4.7109375" style="64" bestFit="1" customWidth="1"/>
    <col min="10260" max="10496" width="9.140625" style="64"/>
    <col min="10497" max="10497" width="12.140625" style="64" customWidth="1"/>
    <col min="10498" max="10498" width="14.7109375" style="64" bestFit="1" customWidth="1"/>
    <col min="10499" max="10499" width="12.7109375" style="64" bestFit="1" customWidth="1"/>
    <col min="10500" max="10500" width="13.7109375" style="64" bestFit="1" customWidth="1"/>
    <col min="10501" max="10501" width="12.7109375" style="64" bestFit="1" customWidth="1"/>
    <col min="10502" max="10502" width="12.28515625" style="64" bestFit="1" customWidth="1"/>
    <col min="10503" max="10503" width="12.7109375" style="64" bestFit="1" customWidth="1"/>
    <col min="10504" max="10504" width="12.42578125" style="64" bestFit="1" customWidth="1"/>
    <col min="10505" max="10505" width="12.5703125" style="64" bestFit="1" customWidth="1"/>
    <col min="10506" max="10506" width="13.7109375" style="64" bestFit="1" customWidth="1"/>
    <col min="10507" max="10511" width="13.7109375" style="64" customWidth="1"/>
    <col min="10512" max="10512" width="16" style="64" customWidth="1"/>
    <col min="10513" max="10514" width="14" style="64" bestFit="1" customWidth="1"/>
    <col min="10515" max="10515" width="4.7109375" style="64" bestFit="1" customWidth="1"/>
    <col min="10516" max="10752" width="9.140625" style="64"/>
    <col min="10753" max="10753" width="12.140625" style="64" customWidth="1"/>
    <col min="10754" max="10754" width="14.7109375" style="64" bestFit="1" customWidth="1"/>
    <col min="10755" max="10755" width="12.7109375" style="64" bestFit="1" customWidth="1"/>
    <col min="10756" max="10756" width="13.7109375" style="64" bestFit="1" customWidth="1"/>
    <col min="10757" max="10757" width="12.7109375" style="64" bestFit="1" customWidth="1"/>
    <col min="10758" max="10758" width="12.28515625" style="64" bestFit="1" customWidth="1"/>
    <col min="10759" max="10759" width="12.7109375" style="64" bestFit="1" customWidth="1"/>
    <col min="10760" max="10760" width="12.42578125" style="64" bestFit="1" customWidth="1"/>
    <col min="10761" max="10761" width="12.5703125" style="64" bestFit="1" customWidth="1"/>
    <col min="10762" max="10762" width="13.7109375" style="64" bestFit="1" customWidth="1"/>
    <col min="10763" max="10767" width="13.7109375" style="64" customWidth="1"/>
    <col min="10768" max="10768" width="16" style="64" customWidth="1"/>
    <col min="10769" max="10770" width="14" style="64" bestFit="1" customWidth="1"/>
    <col min="10771" max="10771" width="4.7109375" style="64" bestFit="1" customWidth="1"/>
    <col min="10772" max="11008" width="9.140625" style="64"/>
    <col min="11009" max="11009" width="12.140625" style="64" customWidth="1"/>
    <col min="11010" max="11010" width="14.7109375" style="64" bestFit="1" customWidth="1"/>
    <col min="11011" max="11011" width="12.7109375" style="64" bestFit="1" customWidth="1"/>
    <col min="11012" max="11012" width="13.7109375" style="64" bestFit="1" customWidth="1"/>
    <col min="11013" max="11013" width="12.7109375" style="64" bestFit="1" customWidth="1"/>
    <col min="11014" max="11014" width="12.28515625" style="64" bestFit="1" customWidth="1"/>
    <col min="11015" max="11015" width="12.7109375" style="64" bestFit="1" customWidth="1"/>
    <col min="11016" max="11016" width="12.42578125" style="64" bestFit="1" customWidth="1"/>
    <col min="11017" max="11017" width="12.5703125" style="64" bestFit="1" customWidth="1"/>
    <col min="11018" max="11018" width="13.7109375" style="64" bestFit="1" customWidth="1"/>
    <col min="11019" max="11023" width="13.7109375" style="64" customWidth="1"/>
    <col min="11024" max="11024" width="16" style="64" customWidth="1"/>
    <col min="11025" max="11026" width="14" style="64" bestFit="1" customWidth="1"/>
    <col min="11027" max="11027" width="4.7109375" style="64" bestFit="1" customWidth="1"/>
    <col min="11028" max="11264" width="9.140625" style="64"/>
    <col min="11265" max="11265" width="12.140625" style="64" customWidth="1"/>
    <col min="11266" max="11266" width="14.7109375" style="64" bestFit="1" customWidth="1"/>
    <col min="11267" max="11267" width="12.7109375" style="64" bestFit="1" customWidth="1"/>
    <col min="11268" max="11268" width="13.7109375" style="64" bestFit="1" customWidth="1"/>
    <col min="11269" max="11269" width="12.7109375" style="64" bestFit="1" customWidth="1"/>
    <col min="11270" max="11270" width="12.28515625" style="64" bestFit="1" customWidth="1"/>
    <col min="11271" max="11271" width="12.7109375" style="64" bestFit="1" customWidth="1"/>
    <col min="11272" max="11272" width="12.42578125" style="64" bestFit="1" customWidth="1"/>
    <col min="11273" max="11273" width="12.5703125" style="64" bestFit="1" customWidth="1"/>
    <col min="11274" max="11274" width="13.7109375" style="64" bestFit="1" customWidth="1"/>
    <col min="11275" max="11279" width="13.7109375" style="64" customWidth="1"/>
    <col min="11280" max="11280" width="16" style="64" customWidth="1"/>
    <col min="11281" max="11282" width="14" style="64" bestFit="1" customWidth="1"/>
    <col min="11283" max="11283" width="4.7109375" style="64" bestFit="1" customWidth="1"/>
    <col min="11284" max="11520" width="9.140625" style="64"/>
    <col min="11521" max="11521" width="12.140625" style="64" customWidth="1"/>
    <col min="11522" max="11522" width="14.7109375" style="64" bestFit="1" customWidth="1"/>
    <col min="11523" max="11523" width="12.7109375" style="64" bestFit="1" customWidth="1"/>
    <col min="11524" max="11524" width="13.7109375" style="64" bestFit="1" customWidth="1"/>
    <col min="11525" max="11525" width="12.7109375" style="64" bestFit="1" customWidth="1"/>
    <col min="11526" max="11526" width="12.28515625" style="64" bestFit="1" customWidth="1"/>
    <col min="11527" max="11527" width="12.7109375" style="64" bestFit="1" customWidth="1"/>
    <col min="11528" max="11528" width="12.42578125" style="64" bestFit="1" customWidth="1"/>
    <col min="11529" max="11529" width="12.5703125" style="64" bestFit="1" customWidth="1"/>
    <col min="11530" max="11530" width="13.7109375" style="64" bestFit="1" customWidth="1"/>
    <col min="11531" max="11535" width="13.7109375" style="64" customWidth="1"/>
    <col min="11536" max="11536" width="16" style="64" customWidth="1"/>
    <col min="11537" max="11538" width="14" style="64" bestFit="1" customWidth="1"/>
    <col min="11539" max="11539" width="4.7109375" style="64" bestFit="1" customWidth="1"/>
    <col min="11540" max="11776" width="9.140625" style="64"/>
    <col min="11777" max="11777" width="12.140625" style="64" customWidth="1"/>
    <col min="11778" max="11778" width="14.7109375" style="64" bestFit="1" customWidth="1"/>
    <col min="11779" max="11779" width="12.7109375" style="64" bestFit="1" customWidth="1"/>
    <col min="11780" max="11780" width="13.7109375" style="64" bestFit="1" customWidth="1"/>
    <col min="11781" max="11781" width="12.7109375" style="64" bestFit="1" customWidth="1"/>
    <col min="11782" max="11782" width="12.28515625" style="64" bestFit="1" customWidth="1"/>
    <col min="11783" max="11783" width="12.7109375" style="64" bestFit="1" customWidth="1"/>
    <col min="11784" max="11784" width="12.42578125" style="64" bestFit="1" customWidth="1"/>
    <col min="11785" max="11785" width="12.5703125" style="64" bestFit="1" customWidth="1"/>
    <col min="11786" max="11786" width="13.7109375" style="64" bestFit="1" customWidth="1"/>
    <col min="11787" max="11791" width="13.7109375" style="64" customWidth="1"/>
    <col min="11792" max="11792" width="16" style="64" customWidth="1"/>
    <col min="11793" max="11794" width="14" style="64" bestFit="1" customWidth="1"/>
    <col min="11795" max="11795" width="4.7109375" style="64" bestFit="1" customWidth="1"/>
    <col min="11796" max="12032" width="9.140625" style="64"/>
    <col min="12033" max="12033" width="12.140625" style="64" customWidth="1"/>
    <col min="12034" max="12034" width="14.7109375" style="64" bestFit="1" customWidth="1"/>
    <col min="12035" max="12035" width="12.7109375" style="64" bestFit="1" customWidth="1"/>
    <col min="12036" max="12036" width="13.7109375" style="64" bestFit="1" customWidth="1"/>
    <col min="12037" max="12037" width="12.7109375" style="64" bestFit="1" customWidth="1"/>
    <col min="12038" max="12038" width="12.28515625" style="64" bestFit="1" customWidth="1"/>
    <col min="12039" max="12039" width="12.7109375" style="64" bestFit="1" customWidth="1"/>
    <col min="12040" max="12040" width="12.42578125" style="64" bestFit="1" customWidth="1"/>
    <col min="12041" max="12041" width="12.5703125" style="64" bestFit="1" customWidth="1"/>
    <col min="12042" max="12042" width="13.7109375" style="64" bestFit="1" customWidth="1"/>
    <col min="12043" max="12047" width="13.7109375" style="64" customWidth="1"/>
    <col min="12048" max="12048" width="16" style="64" customWidth="1"/>
    <col min="12049" max="12050" width="14" style="64" bestFit="1" customWidth="1"/>
    <col min="12051" max="12051" width="4.7109375" style="64" bestFit="1" customWidth="1"/>
    <col min="12052" max="12288" width="9.140625" style="64"/>
    <col min="12289" max="12289" width="12.140625" style="64" customWidth="1"/>
    <col min="12290" max="12290" width="14.7109375" style="64" bestFit="1" customWidth="1"/>
    <col min="12291" max="12291" width="12.7109375" style="64" bestFit="1" customWidth="1"/>
    <col min="12292" max="12292" width="13.7109375" style="64" bestFit="1" customWidth="1"/>
    <col min="12293" max="12293" width="12.7109375" style="64" bestFit="1" customWidth="1"/>
    <col min="12294" max="12294" width="12.28515625" style="64" bestFit="1" customWidth="1"/>
    <col min="12295" max="12295" width="12.7109375" style="64" bestFit="1" customWidth="1"/>
    <col min="12296" max="12296" width="12.42578125" style="64" bestFit="1" customWidth="1"/>
    <col min="12297" max="12297" width="12.5703125" style="64" bestFit="1" customWidth="1"/>
    <col min="12298" max="12298" width="13.7109375" style="64" bestFit="1" customWidth="1"/>
    <col min="12299" max="12303" width="13.7109375" style="64" customWidth="1"/>
    <col min="12304" max="12304" width="16" style="64" customWidth="1"/>
    <col min="12305" max="12306" width="14" style="64" bestFit="1" customWidth="1"/>
    <col min="12307" max="12307" width="4.7109375" style="64" bestFit="1" customWidth="1"/>
    <col min="12308" max="12544" width="9.140625" style="64"/>
    <col min="12545" max="12545" width="12.140625" style="64" customWidth="1"/>
    <col min="12546" max="12546" width="14.7109375" style="64" bestFit="1" customWidth="1"/>
    <col min="12547" max="12547" width="12.7109375" style="64" bestFit="1" customWidth="1"/>
    <col min="12548" max="12548" width="13.7109375" style="64" bestFit="1" customWidth="1"/>
    <col min="12549" max="12549" width="12.7109375" style="64" bestFit="1" customWidth="1"/>
    <col min="12550" max="12550" width="12.28515625" style="64" bestFit="1" customWidth="1"/>
    <col min="12551" max="12551" width="12.7109375" style="64" bestFit="1" customWidth="1"/>
    <col min="12552" max="12552" width="12.42578125" style="64" bestFit="1" customWidth="1"/>
    <col min="12553" max="12553" width="12.5703125" style="64" bestFit="1" customWidth="1"/>
    <col min="12554" max="12554" width="13.7109375" style="64" bestFit="1" customWidth="1"/>
    <col min="12555" max="12559" width="13.7109375" style="64" customWidth="1"/>
    <col min="12560" max="12560" width="16" style="64" customWidth="1"/>
    <col min="12561" max="12562" width="14" style="64" bestFit="1" customWidth="1"/>
    <col min="12563" max="12563" width="4.7109375" style="64" bestFit="1" customWidth="1"/>
    <col min="12564" max="12800" width="9.140625" style="64"/>
    <col min="12801" max="12801" width="12.140625" style="64" customWidth="1"/>
    <col min="12802" max="12802" width="14.7109375" style="64" bestFit="1" customWidth="1"/>
    <col min="12803" max="12803" width="12.7109375" style="64" bestFit="1" customWidth="1"/>
    <col min="12804" max="12804" width="13.7109375" style="64" bestFit="1" customWidth="1"/>
    <col min="12805" max="12805" width="12.7109375" style="64" bestFit="1" customWidth="1"/>
    <col min="12806" max="12806" width="12.28515625" style="64" bestFit="1" customWidth="1"/>
    <col min="12807" max="12807" width="12.7109375" style="64" bestFit="1" customWidth="1"/>
    <col min="12808" max="12808" width="12.42578125" style="64" bestFit="1" customWidth="1"/>
    <col min="12809" max="12809" width="12.5703125" style="64" bestFit="1" customWidth="1"/>
    <col min="12810" max="12810" width="13.7109375" style="64" bestFit="1" customWidth="1"/>
    <col min="12811" max="12815" width="13.7109375" style="64" customWidth="1"/>
    <col min="12816" max="12816" width="16" style="64" customWidth="1"/>
    <col min="12817" max="12818" width="14" style="64" bestFit="1" customWidth="1"/>
    <col min="12819" max="12819" width="4.7109375" style="64" bestFit="1" customWidth="1"/>
    <col min="12820" max="13056" width="9.140625" style="64"/>
    <col min="13057" max="13057" width="12.140625" style="64" customWidth="1"/>
    <col min="13058" max="13058" width="14.7109375" style="64" bestFit="1" customWidth="1"/>
    <col min="13059" max="13059" width="12.7109375" style="64" bestFit="1" customWidth="1"/>
    <col min="13060" max="13060" width="13.7109375" style="64" bestFit="1" customWidth="1"/>
    <col min="13061" max="13061" width="12.7109375" style="64" bestFit="1" customWidth="1"/>
    <col min="13062" max="13062" width="12.28515625" style="64" bestFit="1" customWidth="1"/>
    <col min="13063" max="13063" width="12.7109375" style="64" bestFit="1" customWidth="1"/>
    <col min="13064" max="13064" width="12.42578125" style="64" bestFit="1" customWidth="1"/>
    <col min="13065" max="13065" width="12.5703125" style="64" bestFit="1" customWidth="1"/>
    <col min="13066" max="13066" width="13.7109375" style="64" bestFit="1" customWidth="1"/>
    <col min="13067" max="13071" width="13.7109375" style="64" customWidth="1"/>
    <col min="13072" max="13072" width="16" style="64" customWidth="1"/>
    <col min="13073" max="13074" width="14" style="64" bestFit="1" customWidth="1"/>
    <col min="13075" max="13075" width="4.7109375" style="64" bestFit="1" customWidth="1"/>
    <col min="13076" max="13312" width="9.140625" style="64"/>
    <col min="13313" max="13313" width="12.140625" style="64" customWidth="1"/>
    <col min="13314" max="13314" width="14.7109375" style="64" bestFit="1" customWidth="1"/>
    <col min="13315" max="13315" width="12.7109375" style="64" bestFit="1" customWidth="1"/>
    <col min="13316" max="13316" width="13.7109375" style="64" bestFit="1" customWidth="1"/>
    <col min="13317" max="13317" width="12.7109375" style="64" bestFit="1" customWidth="1"/>
    <col min="13318" max="13318" width="12.28515625" style="64" bestFit="1" customWidth="1"/>
    <col min="13319" max="13319" width="12.7109375" style="64" bestFit="1" customWidth="1"/>
    <col min="13320" max="13320" width="12.42578125" style="64" bestFit="1" customWidth="1"/>
    <col min="13321" max="13321" width="12.5703125" style="64" bestFit="1" customWidth="1"/>
    <col min="13322" max="13322" width="13.7109375" style="64" bestFit="1" customWidth="1"/>
    <col min="13323" max="13327" width="13.7109375" style="64" customWidth="1"/>
    <col min="13328" max="13328" width="16" style="64" customWidth="1"/>
    <col min="13329" max="13330" width="14" style="64" bestFit="1" customWidth="1"/>
    <col min="13331" max="13331" width="4.7109375" style="64" bestFit="1" customWidth="1"/>
    <col min="13332" max="13568" width="9.140625" style="64"/>
    <col min="13569" max="13569" width="12.140625" style="64" customWidth="1"/>
    <col min="13570" max="13570" width="14.7109375" style="64" bestFit="1" customWidth="1"/>
    <col min="13571" max="13571" width="12.7109375" style="64" bestFit="1" customWidth="1"/>
    <col min="13572" max="13572" width="13.7109375" style="64" bestFit="1" customWidth="1"/>
    <col min="13573" max="13573" width="12.7109375" style="64" bestFit="1" customWidth="1"/>
    <col min="13574" max="13574" width="12.28515625" style="64" bestFit="1" customWidth="1"/>
    <col min="13575" max="13575" width="12.7109375" style="64" bestFit="1" customWidth="1"/>
    <col min="13576" max="13576" width="12.42578125" style="64" bestFit="1" customWidth="1"/>
    <col min="13577" max="13577" width="12.5703125" style="64" bestFit="1" customWidth="1"/>
    <col min="13578" max="13578" width="13.7109375" style="64" bestFit="1" customWidth="1"/>
    <col min="13579" max="13583" width="13.7109375" style="64" customWidth="1"/>
    <col min="13584" max="13584" width="16" style="64" customWidth="1"/>
    <col min="13585" max="13586" width="14" style="64" bestFit="1" customWidth="1"/>
    <col min="13587" max="13587" width="4.7109375" style="64" bestFit="1" customWidth="1"/>
    <col min="13588" max="13824" width="9.140625" style="64"/>
    <col min="13825" max="13825" width="12.140625" style="64" customWidth="1"/>
    <col min="13826" max="13826" width="14.7109375" style="64" bestFit="1" customWidth="1"/>
    <col min="13827" max="13827" width="12.7109375" style="64" bestFit="1" customWidth="1"/>
    <col min="13828" max="13828" width="13.7109375" style="64" bestFit="1" customWidth="1"/>
    <col min="13829" max="13829" width="12.7109375" style="64" bestFit="1" customWidth="1"/>
    <col min="13830" max="13830" width="12.28515625" style="64" bestFit="1" customWidth="1"/>
    <col min="13831" max="13831" width="12.7109375" style="64" bestFit="1" customWidth="1"/>
    <col min="13832" max="13832" width="12.42578125" style="64" bestFit="1" customWidth="1"/>
    <col min="13833" max="13833" width="12.5703125" style="64" bestFit="1" customWidth="1"/>
    <col min="13834" max="13834" width="13.7109375" style="64" bestFit="1" customWidth="1"/>
    <col min="13835" max="13839" width="13.7109375" style="64" customWidth="1"/>
    <col min="13840" max="13840" width="16" style="64" customWidth="1"/>
    <col min="13841" max="13842" width="14" style="64" bestFit="1" customWidth="1"/>
    <col min="13843" max="13843" width="4.7109375" style="64" bestFit="1" customWidth="1"/>
    <col min="13844" max="14080" width="9.140625" style="64"/>
    <col min="14081" max="14081" width="12.140625" style="64" customWidth="1"/>
    <col min="14082" max="14082" width="14.7109375" style="64" bestFit="1" customWidth="1"/>
    <col min="14083" max="14083" width="12.7109375" style="64" bestFit="1" customWidth="1"/>
    <col min="14084" max="14084" width="13.7109375" style="64" bestFit="1" customWidth="1"/>
    <col min="14085" max="14085" width="12.7109375" style="64" bestFit="1" customWidth="1"/>
    <col min="14086" max="14086" width="12.28515625" style="64" bestFit="1" customWidth="1"/>
    <col min="14087" max="14087" width="12.7109375" style="64" bestFit="1" customWidth="1"/>
    <col min="14088" max="14088" width="12.42578125" style="64" bestFit="1" customWidth="1"/>
    <col min="14089" max="14089" width="12.5703125" style="64" bestFit="1" customWidth="1"/>
    <col min="14090" max="14090" width="13.7109375" style="64" bestFit="1" customWidth="1"/>
    <col min="14091" max="14095" width="13.7109375" style="64" customWidth="1"/>
    <col min="14096" max="14096" width="16" style="64" customWidth="1"/>
    <col min="14097" max="14098" width="14" style="64" bestFit="1" customWidth="1"/>
    <col min="14099" max="14099" width="4.7109375" style="64" bestFit="1" customWidth="1"/>
    <col min="14100" max="14336" width="9.140625" style="64"/>
    <col min="14337" max="14337" width="12.140625" style="64" customWidth="1"/>
    <col min="14338" max="14338" width="14.7109375" style="64" bestFit="1" customWidth="1"/>
    <col min="14339" max="14339" width="12.7109375" style="64" bestFit="1" customWidth="1"/>
    <col min="14340" max="14340" width="13.7109375" style="64" bestFit="1" customWidth="1"/>
    <col min="14341" max="14341" width="12.7109375" style="64" bestFit="1" customWidth="1"/>
    <col min="14342" max="14342" width="12.28515625" style="64" bestFit="1" customWidth="1"/>
    <col min="14343" max="14343" width="12.7109375" style="64" bestFit="1" customWidth="1"/>
    <col min="14344" max="14344" width="12.42578125" style="64" bestFit="1" customWidth="1"/>
    <col min="14345" max="14345" width="12.5703125" style="64" bestFit="1" customWidth="1"/>
    <col min="14346" max="14346" width="13.7109375" style="64" bestFit="1" customWidth="1"/>
    <col min="14347" max="14351" width="13.7109375" style="64" customWidth="1"/>
    <col min="14352" max="14352" width="16" style="64" customWidth="1"/>
    <col min="14353" max="14354" width="14" style="64" bestFit="1" customWidth="1"/>
    <col min="14355" max="14355" width="4.7109375" style="64" bestFit="1" customWidth="1"/>
    <col min="14356" max="14592" width="9.140625" style="64"/>
    <col min="14593" max="14593" width="12.140625" style="64" customWidth="1"/>
    <col min="14594" max="14594" width="14.7109375" style="64" bestFit="1" customWidth="1"/>
    <col min="14595" max="14595" width="12.7109375" style="64" bestFit="1" customWidth="1"/>
    <col min="14596" max="14596" width="13.7109375" style="64" bestFit="1" customWidth="1"/>
    <col min="14597" max="14597" width="12.7109375" style="64" bestFit="1" customWidth="1"/>
    <col min="14598" max="14598" width="12.28515625" style="64" bestFit="1" customWidth="1"/>
    <col min="14599" max="14599" width="12.7109375" style="64" bestFit="1" customWidth="1"/>
    <col min="14600" max="14600" width="12.42578125" style="64" bestFit="1" customWidth="1"/>
    <col min="14601" max="14601" width="12.5703125" style="64" bestFit="1" customWidth="1"/>
    <col min="14602" max="14602" width="13.7109375" style="64" bestFit="1" customWidth="1"/>
    <col min="14603" max="14607" width="13.7109375" style="64" customWidth="1"/>
    <col min="14608" max="14608" width="16" style="64" customWidth="1"/>
    <col min="14609" max="14610" width="14" style="64" bestFit="1" customWidth="1"/>
    <col min="14611" max="14611" width="4.7109375" style="64" bestFit="1" customWidth="1"/>
    <col min="14612" max="14848" width="9.140625" style="64"/>
    <col min="14849" max="14849" width="12.140625" style="64" customWidth="1"/>
    <col min="14850" max="14850" width="14.7109375" style="64" bestFit="1" customWidth="1"/>
    <col min="14851" max="14851" width="12.7109375" style="64" bestFit="1" customWidth="1"/>
    <col min="14852" max="14852" width="13.7109375" style="64" bestFit="1" customWidth="1"/>
    <col min="14853" max="14853" width="12.7109375" style="64" bestFit="1" customWidth="1"/>
    <col min="14854" max="14854" width="12.28515625" style="64" bestFit="1" customWidth="1"/>
    <col min="14855" max="14855" width="12.7109375" style="64" bestFit="1" customWidth="1"/>
    <col min="14856" max="14856" width="12.42578125" style="64" bestFit="1" customWidth="1"/>
    <col min="14857" max="14857" width="12.5703125" style="64" bestFit="1" customWidth="1"/>
    <col min="14858" max="14858" width="13.7109375" style="64" bestFit="1" customWidth="1"/>
    <col min="14859" max="14863" width="13.7109375" style="64" customWidth="1"/>
    <col min="14864" max="14864" width="16" style="64" customWidth="1"/>
    <col min="14865" max="14866" width="14" style="64" bestFit="1" customWidth="1"/>
    <col min="14867" max="14867" width="4.7109375" style="64" bestFit="1" customWidth="1"/>
    <col min="14868" max="15104" width="9.140625" style="64"/>
    <col min="15105" max="15105" width="12.140625" style="64" customWidth="1"/>
    <col min="15106" max="15106" width="14.7109375" style="64" bestFit="1" customWidth="1"/>
    <col min="15107" max="15107" width="12.7109375" style="64" bestFit="1" customWidth="1"/>
    <col min="15108" max="15108" width="13.7109375" style="64" bestFit="1" customWidth="1"/>
    <col min="15109" max="15109" width="12.7109375" style="64" bestFit="1" customWidth="1"/>
    <col min="15110" max="15110" width="12.28515625" style="64" bestFit="1" customWidth="1"/>
    <col min="15111" max="15111" width="12.7109375" style="64" bestFit="1" customWidth="1"/>
    <col min="15112" max="15112" width="12.42578125" style="64" bestFit="1" customWidth="1"/>
    <col min="15113" max="15113" width="12.5703125" style="64" bestFit="1" customWidth="1"/>
    <col min="15114" max="15114" width="13.7109375" style="64" bestFit="1" customWidth="1"/>
    <col min="15115" max="15119" width="13.7109375" style="64" customWidth="1"/>
    <col min="15120" max="15120" width="16" style="64" customWidth="1"/>
    <col min="15121" max="15122" width="14" style="64" bestFit="1" customWidth="1"/>
    <col min="15123" max="15123" width="4.7109375" style="64" bestFit="1" customWidth="1"/>
    <col min="15124" max="15360" width="9.140625" style="64"/>
    <col min="15361" max="15361" width="12.140625" style="64" customWidth="1"/>
    <col min="15362" max="15362" width="14.7109375" style="64" bestFit="1" customWidth="1"/>
    <col min="15363" max="15363" width="12.7109375" style="64" bestFit="1" customWidth="1"/>
    <col min="15364" max="15364" width="13.7109375" style="64" bestFit="1" customWidth="1"/>
    <col min="15365" max="15365" width="12.7109375" style="64" bestFit="1" customWidth="1"/>
    <col min="15366" max="15366" width="12.28515625" style="64" bestFit="1" customWidth="1"/>
    <col min="15367" max="15367" width="12.7109375" style="64" bestFit="1" customWidth="1"/>
    <col min="15368" max="15368" width="12.42578125" style="64" bestFit="1" customWidth="1"/>
    <col min="15369" max="15369" width="12.5703125" style="64" bestFit="1" customWidth="1"/>
    <col min="15370" max="15370" width="13.7109375" style="64" bestFit="1" customWidth="1"/>
    <col min="15371" max="15375" width="13.7109375" style="64" customWidth="1"/>
    <col min="15376" max="15376" width="16" style="64" customWidth="1"/>
    <col min="15377" max="15378" width="14" style="64" bestFit="1" customWidth="1"/>
    <col min="15379" max="15379" width="4.7109375" style="64" bestFit="1" customWidth="1"/>
    <col min="15380" max="15616" width="9.140625" style="64"/>
    <col min="15617" max="15617" width="12.140625" style="64" customWidth="1"/>
    <col min="15618" max="15618" width="14.7109375" style="64" bestFit="1" customWidth="1"/>
    <col min="15619" max="15619" width="12.7109375" style="64" bestFit="1" customWidth="1"/>
    <col min="15620" max="15620" width="13.7109375" style="64" bestFit="1" customWidth="1"/>
    <col min="15621" max="15621" width="12.7109375" style="64" bestFit="1" customWidth="1"/>
    <col min="15622" max="15622" width="12.28515625" style="64" bestFit="1" customWidth="1"/>
    <col min="15623" max="15623" width="12.7109375" style="64" bestFit="1" customWidth="1"/>
    <col min="15624" max="15624" width="12.42578125" style="64" bestFit="1" customWidth="1"/>
    <col min="15625" max="15625" width="12.5703125" style="64" bestFit="1" customWidth="1"/>
    <col min="15626" max="15626" width="13.7109375" style="64" bestFit="1" customWidth="1"/>
    <col min="15627" max="15631" width="13.7109375" style="64" customWidth="1"/>
    <col min="15632" max="15632" width="16" style="64" customWidth="1"/>
    <col min="15633" max="15634" width="14" style="64" bestFit="1" customWidth="1"/>
    <col min="15635" max="15635" width="4.7109375" style="64" bestFit="1" customWidth="1"/>
    <col min="15636" max="15872" width="9.140625" style="64"/>
    <col min="15873" max="15873" width="12.140625" style="64" customWidth="1"/>
    <col min="15874" max="15874" width="14.7109375" style="64" bestFit="1" customWidth="1"/>
    <col min="15875" max="15875" width="12.7109375" style="64" bestFit="1" customWidth="1"/>
    <col min="15876" max="15876" width="13.7109375" style="64" bestFit="1" customWidth="1"/>
    <col min="15877" max="15877" width="12.7109375" style="64" bestFit="1" customWidth="1"/>
    <col min="15878" max="15878" width="12.28515625" style="64" bestFit="1" customWidth="1"/>
    <col min="15879" max="15879" width="12.7109375" style="64" bestFit="1" customWidth="1"/>
    <col min="15880" max="15880" width="12.42578125" style="64" bestFit="1" customWidth="1"/>
    <col min="15881" max="15881" width="12.5703125" style="64" bestFit="1" customWidth="1"/>
    <col min="15882" max="15882" width="13.7109375" style="64" bestFit="1" customWidth="1"/>
    <col min="15883" max="15887" width="13.7109375" style="64" customWidth="1"/>
    <col min="15888" max="15888" width="16" style="64" customWidth="1"/>
    <col min="15889" max="15890" width="14" style="64" bestFit="1" customWidth="1"/>
    <col min="15891" max="15891" width="4.7109375" style="64" bestFit="1" customWidth="1"/>
    <col min="15892" max="16128" width="9.140625" style="64"/>
    <col min="16129" max="16129" width="12.140625" style="64" customWidth="1"/>
    <col min="16130" max="16130" width="14.7109375" style="64" bestFit="1" customWidth="1"/>
    <col min="16131" max="16131" width="12.7109375" style="64" bestFit="1" customWidth="1"/>
    <col min="16132" max="16132" width="13.7109375" style="64" bestFit="1" customWidth="1"/>
    <col min="16133" max="16133" width="12.7109375" style="64" bestFit="1" customWidth="1"/>
    <col min="16134" max="16134" width="12.28515625" style="64" bestFit="1" customWidth="1"/>
    <col min="16135" max="16135" width="12.7109375" style="64" bestFit="1" customWidth="1"/>
    <col min="16136" max="16136" width="12.42578125" style="64" bestFit="1" customWidth="1"/>
    <col min="16137" max="16137" width="12.5703125" style="64" bestFit="1" customWidth="1"/>
    <col min="16138" max="16138" width="13.7109375" style="64" bestFit="1" customWidth="1"/>
    <col min="16139" max="16143" width="13.7109375" style="64" customWidth="1"/>
    <col min="16144" max="16144" width="16" style="64" customWidth="1"/>
    <col min="16145" max="16146" width="14" style="64" bestFit="1" customWidth="1"/>
    <col min="16147" max="16147" width="4.7109375" style="64" bestFit="1" customWidth="1"/>
    <col min="16148" max="16384" width="9.140625" style="64"/>
  </cols>
  <sheetData>
    <row r="1" spans="1:18" ht="12.75" customHeight="1" x14ac:dyDescent="0.2">
      <c r="A1" s="504" t="s">
        <v>0</v>
      </c>
      <c r="B1" s="504"/>
      <c r="C1" s="504"/>
      <c r="D1" s="504"/>
      <c r="E1" s="504"/>
      <c r="F1" s="504"/>
      <c r="G1" s="504"/>
      <c r="H1" s="504"/>
      <c r="I1" s="504"/>
      <c r="J1" s="504"/>
      <c r="K1" s="504"/>
      <c r="L1" s="504"/>
      <c r="M1" s="504"/>
      <c r="N1" s="504"/>
      <c r="O1" s="504"/>
      <c r="P1" s="504"/>
      <c r="Q1" s="76"/>
    </row>
    <row r="2" spans="1:18" ht="12.75" customHeight="1" x14ac:dyDescent="0.2">
      <c r="A2" s="506" t="str">
        <f>'Delivery Rate Change Calc'!A2:H2</f>
        <v>2018 Electric Decoupling Filing</v>
      </c>
      <c r="B2" s="506"/>
      <c r="C2" s="506"/>
      <c r="D2" s="506"/>
      <c r="E2" s="506"/>
      <c r="F2" s="506"/>
      <c r="G2" s="506"/>
      <c r="H2" s="506"/>
      <c r="I2" s="506"/>
      <c r="J2" s="506"/>
      <c r="K2" s="506"/>
      <c r="L2" s="506"/>
      <c r="M2" s="506"/>
      <c r="N2" s="506"/>
      <c r="O2" s="506"/>
      <c r="P2" s="506"/>
      <c r="Q2" s="159"/>
    </row>
    <row r="3" spans="1:18" ht="12.75" customHeight="1" x14ac:dyDescent="0.25">
      <c r="A3" s="504" t="s">
        <v>279</v>
      </c>
      <c r="B3" s="504"/>
      <c r="C3" s="504"/>
      <c r="D3" s="504"/>
      <c r="E3" s="504"/>
      <c r="F3" s="504"/>
      <c r="G3" s="504"/>
      <c r="H3" s="504"/>
      <c r="I3" s="504"/>
      <c r="J3" s="504"/>
      <c r="K3" s="504"/>
      <c r="L3" s="504"/>
      <c r="M3" s="504"/>
      <c r="N3" s="504"/>
      <c r="O3" s="504"/>
      <c r="P3" s="504"/>
      <c r="Q3" s="160"/>
    </row>
    <row r="4" spans="1:18" ht="12.75" customHeight="1" x14ac:dyDescent="0.25">
      <c r="A4" s="506" t="str">
        <f>'Delivery Rate Change Calc'!A4:H4</f>
        <v>Proposed Effective May 1, 2018</v>
      </c>
      <c r="B4" s="506"/>
      <c r="C4" s="506"/>
      <c r="D4" s="506"/>
      <c r="E4" s="506"/>
      <c r="F4" s="506"/>
      <c r="G4" s="506"/>
      <c r="H4" s="506"/>
      <c r="I4" s="506"/>
      <c r="J4" s="506"/>
      <c r="K4" s="506"/>
      <c r="L4" s="506"/>
      <c r="M4" s="506"/>
      <c r="N4" s="506"/>
      <c r="O4" s="506"/>
      <c r="P4" s="506"/>
      <c r="Q4" s="160"/>
    </row>
    <row r="5" spans="1:18" ht="12.75" customHeight="1" x14ac:dyDescent="0.25">
      <c r="A5" s="159"/>
      <c r="B5" s="159"/>
      <c r="C5" s="159"/>
      <c r="D5" s="159"/>
      <c r="E5" s="159"/>
      <c r="F5" s="159"/>
      <c r="G5" s="159"/>
      <c r="H5" s="159"/>
      <c r="I5" s="159"/>
      <c r="J5" s="159"/>
      <c r="K5" s="159"/>
      <c r="L5" s="159"/>
      <c r="M5" s="159"/>
      <c r="N5" s="159"/>
      <c r="O5" s="159"/>
      <c r="P5" s="159"/>
      <c r="Q5" s="160"/>
    </row>
    <row r="6" spans="1:18" x14ac:dyDescent="0.2">
      <c r="A6" s="77" t="s">
        <v>280</v>
      </c>
      <c r="B6" s="77"/>
      <c r="C6" s="77"/>
      <c r="I6" s="77"/>
      <c r="J6" s="77"/>
      <c r="P6" s="81" t="s">
        <v>287</v>
      </c>
      <c r="Q6" s="81"/>
    </row>
    <row r="7" spans="1:18" x14ac:dyDescent="0.2">
      <c r="A7" s="83" t="s">
        <v>281</v>
      </c>
      <c r="B7" s="161">
        <v>43160</v>
      </c>
      <c r="C7" s="161">
        <f>EDATE(B7,1)</f>
        <v>43191</v>
      </c>
      <c r="D7" s="161">
        <f t="shared" ref="D7:O7" si="0">EDATE(C7,1)</f>
        <v>43221</v>
      </c>
      <c r="E7" s="161">
        <f t="shared" si="0"/>
        <v>43252</v>
      </c>
      <c r="F7" s="161">
        <f t="shared" si="0"/>
        <v>43282</v>
      </c>
      <c r="G7" s="161">
        <f t="shared" si="0"/>
        <v>43313</v>
      </c>
      <c r="H7" s="161">
        <f t="shared" si="0"/>
        <v>43344</v>
      </c>
      <c r="I7" s="161">
        <f t="shared" si="0"/>
        <v>43374</v>
      </c>
      <c r="J7" s="161">
        <f t="shared" si="0"/>
        <v>43405</v>
      </c>
      <c r="K7" s="161">
        <f t="shared" si="0"/>
        <v>43435</v>
      </c>
      <c r="L7" s="161">
        <f t="shared" si="0"/>
        <v>43466</v>
      </c>
      <c r="M7" s="161">
        <f t="shared" si="0"/>
        <v>43497</v>
      </c>
      <c r="N7" s="161">
        <f t="shared" si="0"/>
        <v>43525</v>
      </c>
      <c r="O7" s="161">
        <f t="shared" si="0"/>
        <v>43556</v>
      </c>
      <c r="P7" s="83" t="s">
        <v>84</v>
      </c>
    </row>
    <row r="8" spans="1:18" x14ac:dyDescent="0.2">
      <c r="A8" s="81">
        <v>7</v>
      </c>
      <c r="B8" s="162">
        <v>1022641304</v>
      </c>
      <c r="C8" s="162">
        <v>844891597</v>
      </c>
      <c r="D8" s="162">
        <v>721942798</v>
      </c>
      <c r="E8" s="162">
        <v>667128930</v>
      </c>
      <c r="F8" s="162">
        <v>680085145</v>
      </c>
      <c r="G8" s="162">
        <v>674002920</v>
      </c>
      <c r="H8" s="162">
        <v>667632785</v>
      </c>
      <c r="I8" s="162">
        <v>813086480</v>
      </c>
      <c r="J8" s="162">
        <v>1005285348</v>
      </c>
      <c r="K8" s="162">
        <v>1276275625</v>
      </c>
      <c r="L8" s="162">
        <v>1234636246</v>
      </c>
      <c r="M8" s="162">
        <v>1029270162</v>
      </c>
      <c r="N8" s="162">
        <v>1024362613</v>
      </c>
      <c r="O8" s="162">
        <v>843593154</v>
      </c>
      <c r="P8" s="163">
        <f>SUM(D8:O8)</f>
        <v>10637302206</v>
      </c>
      <c r="Q8" s="164"/>
      <c r="R8" s="165"/>
    </row>
    <row r="9" spans="1:18" x14ac:dyDescent="0.2">
      <c r="A9" s="81" t="s">
        <v>282</v>
      </c>
      <c r="B9" s="162">
        <v>165696</v>
      </c>
      <c r="C9" s="162">
        <v>145403</v>
      </c>
      <c r="D9" s="162">
        <v>137202</v>
      </c>
      <c r="E9" s="162">
        <v>175070</v>
      </c>
      <c r="F9" s="162">
        <v>185855</v>
      </c>
      <c r="G9" s="162">
        <v>185080</v>
      </c>
      <c r="H9" s="162">
        <v>155215</v>
      </c>
      <c r="I9" s="162">
        <v>160520</v>
      </c>
      <c r="J9" s="162">
        <v>173652</v>
      </c>
      <c r="K9" s="162">
        <v>229375</v>
      </c>
      <c r="L9" s="162">
        <v>206754</v>
      </c>
      <c r="M9" s="162">
        <v>147838</v>
      </c>
      <c r="N9" s="162">
        <v>165387</v>
      </c>
      <c r="O9" s="162">
        <v>144846</v>
      </c>
      <c r="P9" s="163">
        <f>SUM(D9:O9)</f>
        <v>2066794</v>
      </c>
      <c r="Q9" s="164"/>
      <c r="R9" s="165"/>
    </row>
    <row r="10" spans="1:18" x14ac:dyDescent="0.2">
      <c r="A10" s="81" t="s">
        <v>7</v>
      </c>
      <c r="B10" s="162">
        <v>255512572</v>
      </c>
      <c r="C10" s="162">
        <v>229538962</v>
      </c>
      <c r="D10" s="162">
        <v>221975841</v>
      </c>
      <c r="E10" s="162">
        <v>221751817</v>
      </c>
      <c r="F10" s="162">
        <v>237032923</v>
      </c>
      <c r="G10" s="162">
        <v>242507177</v>
      </c>
      <c r="H10" s="162">
        <v>227494416</v>
      </c>
      <c r="I10" s="162">
        <v>240561500</v>
      </c>
      <c r="J10" s="162">
        <v>259837515</v>
      </c>
      <c r="K10" s="162">
        <v>289659910</v>
      </c>
      <c r="L10" s="162">
        <v>301231174</v>
      </c>
      <c r="M10" s="162">
        <v>262720271</v>
      </c>
      <c r="N10" s="162">
        <v>266600985</v>
      </c>
      <c r="O10" s="162">
        <v>240903359</v>
      </c>
      <c r="P10" s="163">
        <f t="shared" ref="P10:P19" si="1">SUM(D10:O10)</f>
        <v>3012276888</v>
      </c>
      <c r="Q10" s="164"/>
      <c r="R10" s="165"/>
    </row>
    <row r="11" spans="1:18" x14ac:dyDescent="0.2">
      <c r="A11" s="81" t="s">
        <v>283</v>
      </c>
      <c r="B11" s="162">
        <v>256459298</v>
      </c>
      <c r="C11" s="162">
        <v>233382823</v>
      </c>
      <c r="D11" s="162">
        <v>230389466</v>
      </c>
      <c r="E11" s="162">
        <v>233383636</v>
      </c>
      <c r="F11" s="162">
        <v>246608325</v>
      </c>
      <c r="G11" s="162">
        <v>252656730</v>
      </c>
      <c r="H11" s="162">
        <v>238323329</v>
      </c>
      <c r="I11" s="162">
        <v>244299253</v>
      </c>
      <c r="J11" s="162">
        <v>252466920</v>
      </c>
      <c r="K11" s="162">
        <v>270383838</v>
      </c>
      <c r="L11" s="162">
        <v>274231600</v>
      </c>
      <c r="M11" s="162">
        <v>247677379</v>
      </c>
      <c r="N11" s="162">
        <v>266153282</v>
      </c>
      <c r="O11" s="162">
        <v>243889450</v>
      </c>
      <c r="P11" s="163">
        <f t="shared" si="1"/>
        <v>3000463208</v>
      </c>
      <c r="Q11" s="164"/>
      <c r="R11" s="165"/>
    </row>
    <row r="12" spans="1:18" x14ac:dyDescent="0.2">
      <c r="A12" s="81" t="s">
        <v>24</v>
      </c>
      <c r="B12" s="162">
        <v>163320877</v>
      </c>
      <c r="C12" s="162">
        <v>154359320</v>
      </c>
      <c r="D12" s="162">
        <v>155144509</v>
      </c>
      <c r="E12" s="162">
        <v>156720914</v>
      </c>
      <c r="F12" s="162">
        <v>166856079</v>
      </c>
      <c r="G12" s="162">
        <v>171080724</v>
      </c>
      <c r="H12" s="162">
        <v>159504192</v>
      </c>
      <c r="I12" s="162">
        <v>160356777</v>
      </c>
      <c r="J12" s="162">
        <v>157908181</v>
      </c>
      <c r="K12" s="162">
        <v>165559885</v>
      </c>
      <c r="L12" s="162">
        <v>166310320</v>
      </c>
      <c r="M12" s="162">
        <v>151617156</v>
      </c>
      <c r="N12" s="162">
        <v>167521291</v>
      </c>
      <c r="O12" s="162">
        <v>159223442</v>
      </c>
      <c r="P12" s="163">
        <f t="shared" si="1"/>
        <v>1937803470</v>
      </c>
      <c r="Q12" s="164"/>
      <c r="R12" s="165"/>
    </row>
    <row r="13" spans="1:18" x14ac:dyDescent="0.2">
      <c r="A13" s="81">
        <v>29</v>
      </c>
      <c r="B13" s="162">
        <v>349428</v>
      </c>
      <c r="C13" s="162">
        <v>651094</v>
      </c>
      <c r="D13" s="162">
        <v>1501589</v>
      </c>
      <c r="E13" s="162">
        <v>2202493</v>
      </c>
      <c r="F13" s="162">
        <v>3593453</v>
      </c>
      <c r="G13" s="162">
        <v>3823344</v>
      </c>
      <c r="H13" s="162">
        <v>1859753</v>
      </c>
      <c r="I13" s="162">
        <v>663689</v>
      </c>
      <c r="J13" s="162">
        <v>389295</v>
      </c>
      <c r="K13" s="162">
        <v>363057</v>
      </c>
      <c r="L13" s="162">
        <v>382546</v>
      </c>
      <c r="M13" s="162">
        <v>343053</v>
      </c>
      <c r="N13" s="162">
        <v>372268</v>
      </c>
      <c r="O13" s="162">
        <v>698772</v>
      </c>
      <c r="P13" s="163">
        <f t="shared" si="1"/>
        <v>16193312</v>
      </c>
      <c r="Q13" s="164"/>
      <c r="R13" s="165"/>
    </row>
    <row r="14" spans="1:18" x14ac:dyDescent="0.2">
      <c r="A14" s="81" t="s">
        <v>25</v>
      </c>
      <c r="B14" s="162">
        <v>114827900</v>
      </c>
      <c r="C14" s="162">
        <v>105723899</v>
      </c>
      <c r="D14" s="162">
        <v>107347456</v>
      </c>
      <c r="E14" s="162">
        <v>107612703</v>
      </c>
      <c r="F14" s="162">
        <v>110064606</v>
      </c>
      <c r="G14" s="162">
        <v>114129624</v>
      </c>
      <c r="H14" s="162">
        <v>108900280</v>
      </c>
      <c r="I14" s="162">
        <v>112065757</v>
      </c>
      <c r="J14" s="162">
        <v>110744384</v>
      </c>
      <c r="K14" s="162">
        <v>113415855</v>
      </c>
      <c r="L14" s="162">
        <v>120977999</v>
      </c>
      <c r="M14" s="162">
        <v>105239100</v>
      </c>
      <c r="N14" s="162">
        <v>117102313</v>
      </c>
      <c r="O14" s="162">
        <v>108264147</v>
      </c>
      <c r="P14" s="163">
        <f t="shared" si="1"/>
        <v>1335864224</v>
      </c>
      <c r="Q14" s="164"/>
      <c r="R14" s="165"/>
    </row>
    <row r="15" spans="1:18" x14ac:dyDescent="0.2">
      <c r="A15" s="81">
        <v>35</v>
      </c>
      <c r="B15" s="162">
        <v>4528</v>
      </c>
      <c r="C15" s="162">
        <v>380239</v>
      </c>
      <c r="D15" s="162">
        <v>947561</v>
      </c>
      <c r="E15" s="162">
        <v>791363</v>
      </c>
      <c r="F15" s="162">
        <v>978007</v>
      </c>
      <c r="G15" s="162">
        <v>970495</v>
      </c>
      <c r="H15" s="162">
        <v>765654</v>
      </c>
      <c r="I15" s="162">
        <v>236671</v>
      </c>
      <c r="J15" s="162">
        <v>57547</v>
      </c>
      <c r="K15" s="162">
        <v>3110</v>
      </c>
      <c r="L15" s="162">
        <v>3427</v>
      </c>
      <c r="M15" s="162">
        <v>2922</v>
      </c>
      <c r="N15" s="162">
        <v>4717</v>
      </c>
      <c r="O15" s="162">
        <v>399019</v>
      </c>
      <c r="P15" s="163">
        <f t="shared" si="1"/>
        <v>5160493</v>
      </c>
      <c r="Q15" s="164"/>
      <c r="R15" s="165"/>
    </row>
    <row r="16" spans="1:18" x14ac:dyDescent="0.2">
      <c r="A16" s="81">
        <v>40</v>
      </c>
      <c r="B16" s="162">
        <v>53406700</v>
      </c>
      <c r="C16" s="162">
        <v>50259102</v>
      </c>
      <c r="D16" s="162">
        <v>51497852</v>
      </c>
      <c r="E16" s="162">
        <v>53730787</v>
      </c>
      <c r="F16" s="162">
        <v>55513459</v>
      </c>
      <c r="G16" s="162">
        <v>56071410</v>
      </c>
      <c r="H16" s="162">
        <v>52211461</v>
      </c>
      <c r="I16" s="162">
        <v>51870101</v>
      </c>
      <c r="J16" s="162">
        <v>51243546</v>
      </c>
      <c r="K16" s="162">
        <v>53554409</v>
      </c>
      <c r="L16" s="162">
        <v>50834944</v>
      </c>
      <c r="M16" s="162">
        <v>50775684</v>
      </c>
      <c r="N16" s="162">
        <v>50946411</v>
      </c>
      <c r="O16" s="162">
        <v>48399427</v>
      </c>
      <c r="P16" s="163">
        <f t="shared" si="1"/>
        <v>626649491</v>
      </c>
      <c r="Q16" s="164"/>
      <c r="R16" s="165"/>
    </row>
    <row r="17" spans="1:18" x14ac:dyDescent="0.2">
      <c r="A17" s="81">
        <v>43</v>
      </c>
      <c r="B17" s="162">
        <v>12685575</v>
      </c>
      <c r="C17" s="162">
        <v>10056304</v>
      </c>
      <c r="D17" s="162">
        <v>8575945</v>
      </c>
      <c r="E17" s="162">
        <v>6693079</v>
      </c>
      <c r="F17" s="162">
        <v>4914260</v>
      </c>
      <c r="G17" s="162">
        <v>5515606</v>
      </c>
      <c r="H17" s="162">
        <v>7506448</v>
      </c>
      <c r="I17" s="162">
        <v>9581543</v>
      </c>
      <c r="J17" s="162">
        <v>12623546</v>
      </c>
      <c r="K17" s="162">
        <v>14972592</v>
      </c>
      <c r="L17" s="162">
        <v>15472667</v>
      </c>
      <c r="M17" s="162">
        <v>13566857</v>
      </c>
      <c r="N17" s="162">
        <v>13214535</v>
      </c>
      <c r="O17" s="162">
        <v>10552978</v>
      </c>
      <c r="P17" s="163">
        <f t="shared" si="1"/>
        <v>123190056</v>
      </c>
      <c r="Q17" s="164"/>
      <c r="R17" s="165"/>
    </row>
    <row r="18" spans="1:18" x14ac:dyDescent="0.2">
      <c r="A18" s="81">
        <v>46</v>
      </c>
      <c r="B18" s="162">
        <v>5691141</v>
      </c>
      <c r="C18" s="162">
        <v>5622373</v>
      </c>
      <c r="D18" s="162">
        <v>6177539</v>
      </c>
      <c r="E18" s="162">
        <v>6327651</v>
      </c>
      <c r="F18" s="162">
        <v>7033373</v>
      </c>
      <c r="G18" s="162">
        <v>6264837</v>
      </c>
      <c r="H18" s="162">
        <v>6134545</v>
      </c>
      <c r="I18" s="162">
        <v>6555899</v>
      </c>
      <c r="J18" s="162">
        <v>5908703</v>
      </c>
      <c r="K18" s="162">
        <v>5447666</v>
      </c>
      <c r="L18" s="162">
        <v>5985381</v>
      </c>
      <c r="M18" s="162">
        <v>5707723</v>
      </c>
      <c r="N18" s="162">
        <v>5653402</v>
      </c>
      <c r="O18" s="162">
        <v>5586884</v>
      </c>
      <c r="P18" s="163">
        <f t="shared" si="1"/>
        <v>72783603</v>
      </c>
      <c r="Q18" s="164"/>
      <c r="R18" s="165"/>
    </row>
    <row r="19" spans="1:18" x14ac:dyDescent="0.2">
      <c r="A19" s="81">
        <v>49</v>
      </c>
      <c r="B19" s="162">
        <v>48579382</v>
      </c>
      <c r="C19" s="162">
        <v>47236535</v>
      </c>
      <c r="D19" s="162">
        <v>47832278</v>
      </c>
      <c r="E19" s="162">
        <v>47894869</v>
      </c>
      <c r="F19" s="162">
        <v>51146764</v>
      </c>
      <c r="G19" s="162">
        <v>50882433</v>
      </c>
      <c r="H19" s="162">
        <v>47965630</v>
      </c>
      <c r="I19" s="162">
        <v>49106681</v>
      </c>
      <c r="J19" s="162">
        <v>47014400</v>
      </c>
      <c r="K19" s="162">
        <v>46939558</v>
      </c>
      <c r="L19" s="162">
        <v>50744417</v>
      </c>
      <c r="M19" s="162">
        <v>45462408</v>
      </c>
      <c r="N19" s="162">
        <v>50082465</v>
      </c>
      <c r="O19" s="162">
        <v>48952385</v>
      </c>
      <c r="P19" s="163">
        <f t="shared" si="1"/>
        <v>584024288</v>
      </c>
      <c r="Q19" s="164"/>
      <c r="R19" s="165"/>
    </row>
    <row r="20" spans="1:18" x14ac:dyDescent="0.2">
      <c r="A20" s="64" t="s">
        <v>84</v>
      </c>
      <c r="B20" s="166">
        <f t="shared" ref="B20:O20" si="2">SUM(B8:B19)</f>
        <v>1933644401</v>
      </c>
      <c r="C20" s="166">
        <f t="shared" si="2"/>
        <v>1682247651</v>
      </c>
      <c r="D20" s="166">
        <f t="shared" si="2"/>
        <v>1553470036</v>
      </c>
      <c r="E20" s="166">
        <f t="shared" si="2"/>
        <v>1504413312</v>
      </c>
      <c r="F20" s="166">
        <f t="shared" si="2"/>
        <v>1564012249</v>
      </c>
      <c r="G20" s="166">
        <f t="shared" si="2"/>
        <v>1578090380</v>
      </c>
      <c r="H20" s="166">
        <f t="shared" si="2"/>
        <v>1518453708</v>
      </c>
      <c r="I20" s="166">
        <f t="shared" si="2"/>
        <v>1688544871</v>
      </c>
      <c r="J20" s="166">
        <f t="shared" si="2"/>
        <v>1903653037</v>
      </c>
      <c r="K20" s="166">
        <f t="shared" si="2"/>
        <v>2236804880</v>
      </c>
      <c r="L20" s="166">
        <f t="shared" si="2"/>
        <v>2221017475</v>
      </c>
      <c r="M20" s="166">
        <f t="shared" si="2"/>
        <v>1912530553</v>
      </c>
      <c r="N20" s="166">
        <f t="shared" si="2"/>
        <v>1962179669</v>
      </c>
      <c r="O20" s="166">
        <f t="shared" si="2"/>
        <v>1710607863</v>
      </c>
      <c r="P20" s="166">
        <f>SUM(P8:P19)</f>
        <v>21353778033</v>
      </c>
      <c r="Q20" s="164"/>
      <c r="R20" s="165"/>
    </row>
    <row r="21" spans="1:18" x14ac:dyDescent="0.2">
      <c r="A21" s="81"/>
      <c r="B21" s="162"/>
      <c r="C21" s="162"/>
      <c r="D21" s="162"/>
      <c r="E21" s="162"/>
      <c r="F21" s="162"/>
      <c r="G21" s="162"/>
      <c r="H21" s="162"/>
      <c r="I21" s="162"/>
      <c r="J21" s="162"/>
      <c r="K21" s="162"/>
      <c r="L21" s="162"/>
      <c r="M21" s="162"/>
      <c r="N21" s="162"/>
      <c r="O21" s="162"/>
      <c r="P21" s="163"/>
      <c r="Q21" s="164"/>
      <c r="R21" s="165"/>
    </row>
    <row r="22" spans="1:18" x14ac:dyDescent="0.2">
      <c r="A22" s="167" t="s">
        <v>289</v>
      </c>
      <c r="B22" s="163">
        <f>SUM(B9,B11,B13,B15,B17)</f>
        <v>269664525</v>
      </c>
      <c r="C22" s="163">
        <f t="shared" ref="C22:O22" si="3">SUM(C9,C11,C13,C15,C17)</f>
        <v>244615863</v>
      </c>
      <c r="D22" s="163">
        <f t="shared" si="3"/>
        <v>241551763</v>
      </c>
      <c r="E22" s="163">
        <f t="shared" si="3"/>
        <v>243245641</v>
      </c>
      <c r="F22" s="163">
        <f t="shared" si="3"/>
        <v>256279900</v>
      </c>
      <c r="G22" s="163">
        <f t="shared" si="3"/>
        <v>263151255</v>
      </c>
      <c r="H22" s="163">
        <f t="shared" si="3"/>
        <v>248610399</v>
      </c>
      <c r="I22" s="163">
        <f t="shared" si="3"/>
        <v>254941676</v>
      </c>
      <c r="J22" s="163">
        <f t="shared" si="3"/>
        <v>265710960</v>
      </c>
      <c r="K22" s="163">
        <f t="shared" si="3"/>
        <v>285951972</v>
      </c>
      <c r="L22" s="163">
        <f t="shared" si="3"/>
        <v>290296994</v>
      </c>
      <c r="M22" s="163">
        <f t="shared" si="3"/>
        <v>261738049</v>
      </c>
      <c r="N22" s="163">
        <f t="shared" si="3"/>
        <v>279910189</v>
      </c>
      <c r="O22" s="163">
        <f t="shared" si="3"/>
        <v>255685065</v>
      </c>
      <c r="P22" s="163">
        <f>SUM(D22:O22)</f>
        <v>3147073863</v>
      </c>
      <c r="Q22" s="164"/>
      <c r="R22" s="165"/>
    </row>
    <row r="23" spans="1:18" x14ac:dyDescent="0.2">
      <c r="A23" s="167" t="s">
        <v>288</v>
      </c>
      <c r="B23" s="163">
        <f>SUM(B18:B19)</f>
        <v>54270523</v>
      </c>
      <c r="C23" s="163">
        <f t="shared" ref="C23:O23" si="4">SUM(C18:C19)</f>
        <v>52858908</v>
      </c>
      <c r="D23" s="163">
        <f t="shared" si="4"/>
        <v>54009817</v>
      </c>
      <c r="E23" s="163">
        <f t="shared" si="4"/>
        <v>54222520</v>
      </c>
      <c r="F23" s="163">
        <f t="shared" si="4"/>
        <v>58180137</v>
      </c>
      <c r="G23" s="163">
        <f t="shared" si="4"/>
        <v>57147270</v>
      </c>
      <c r="H23" s="163">
        <f t="shared" si="4"/>
        <v>54100175</v>
      </c>
      <c r="I23" s="163">
        <f t="shared" si="4"/>
        <v>55662580</v>
      </c>
      <c r="J23" s="163">
        <f t="shared" si="4"/>
        <v>52923103</v>
      </c>
      <c r="K23" s="163">
        <f t="shared" si="4"/>
        <v>52387224</v>
      </c>
      <c r="L23" s="163">
        <f t="shared" si="4"/>
        <v>56729798</v>
      </c>
      <c r="M23" s="163">
        <f t="shared" si="4"/>
        <v>51170131</v>
      </c>
      <c r="N23" s="163">
        <f t="shared" si="4"/>
        <v>55735867</v>
      </c>
      <c r="O23" s="163">
        <f t="shared" si="4"/>
        <v>54539269</v>
      </c>
      <c r="P23" s="163">
        <f>SUM(D23:O23)</f>
        <v>656807891</v>
      </c>
      <c r="Q23" s="168"/>
      <c r="R23" s="165"/>
    </row>
    <row r="24" spans="1:18" x14ac:dyDescent="0.2">
      <c r="A24" s="167"/>
      <c r="B24" s="167"/>
      <c r="C24" s="167"/>
      <c r="D24" s="163"/>
      <c r="E24" s="163"/>
      <c r="F24" s="163"/>
      <c r="G24" s="163"/>
      <c r="H24" s="163"/>
      <c r="I24" s="163"/>
      <c r="J24" s="163"/>
      <c r="K24" s="163"/>
      <c r="L24" s="163"/>
      <c r="M24" s="163"/>
      <c r="N24" s="163"/>
      <c r="O24" s="163"/>
      <c r="P24" s="163"/>
      <c r="Q24" s="168"/>
      <c r="R24" s="165"/>
    </row>
    <row r="25" spans="1:18" x14ac:dyDescent="0.2">
      <c r="A25" s="167"/>
      <c r="B25" s="167"/>
      <c r="C25" s="167"/>
      <c r="D25" s="163"/>
      <c r="E25" s="163"/>
      <c r="F25" s="163"/>
      <c r="G25" s="163"/>
      <c r="H25" s="163"/>
      <c r="I25" s="163"/>
      <c r="J25" s="163"/>
      <c r="K25" s="163"/>
      <c r="L25" s="163"/>
      <c r="M25" s="163"/>
      <c r="N25" s="163"/>
      <c r="O25" s="163"/>
      <c r="P25" s="163"/>
      <c r="Q25" s="168"/>
      <c r="R25" s="165"/>
    </row>
    <row r="26" spans="1:18" x14ac:dyDescent="0.2">
      <c r="A26" s="77" t="s">
        <v>284</v>
      </c>
      <c r="B26" s="77"/>
      <c r="C26" s="77"/>
      <c r="I26" s="77"/>
      <c r="J26" s="77"/>
      <c r="P26" s="81" t="str">
        <f>P6</f>
        <v>12ME Apr-19</v>
      </c>
      <c r="Q26" s="168"/>
      <c r="R26" s="165"/>
    </row>
    <row r="27" spans="1:18" x14ac:dyDescent="0.2">
      <c r="A27" s="83" t="s">
        <v>281</v>
      </c>
      <c r="B27" s="161">
        <f t="shared" ref="B27:C27" si="5">B7</f>
        <v>43160</v>
      </c>
      <c r="C27" s="161">
        <f t="shared" si="5"/>
        <v>43191</v>
      </c>
      <c r="D27" s="161">
        <f>D7</f>
        <v>43221</v>
      </c>
      <c r="E27" s="161">
        <f t="shared" ref="E27:O27" si="6">E7</f>
        <v>43252</v>
      </c>
      <c r="F27" s="161">
        <f t="shared" si="6"/>
        <v>43282</v>
      </c>
      <c r="G27" s="161">
        <f t="shared" si="6"/>
        <v>43313</v>
      </c>
      <c r="H27" s="161">
        <f t="shared" si="6"/>
        <v>43344</v>
      </c>
      <c r="I27" s="161">
        <f t="shared" si="6"/>
        <v>43374</v>
      </c>
      <c r="J27" s="161">
        <f t="shared" si="6"/>
        <v>43405</v>
      </c>
      <c r="K27" s="161">
        <f t="shared" si="6"/>
        <v>43435</v>
      </c>
      <c r="L27" s="161">
        <f t="shared" si="6"/>
        <v>43466</v>
      </c>
      <c r="M27" s="161">
        <f t="shared" si="6"/>
        <v>43497</v>
      </c>
      <c r="N27" s="161">
        <f t="shared" si="6"/>
        <v>43525</v>
      </c>
      <c r="O27" s="161">
        <f t="shared" si="6"/>
        <v>43556</v>
      </c>
      <c r="P27" s="83" t="s">
        <v>84</v>
      </c>
      <c r="Q27" s="168"/>
      <c r="R27" s="165"/>
    </row>
    <row r="28" spans="1:18" x14ac:dyDescent="0.2">
      <c r="A28" s="81" t="s">
        <v>24</v>
      </c>
      <c r="B28" s="169">
        <v>369747</v>
      </c>
      <c r="C28" s="169">
        <v>374335</v>
      </c>
      <c r="D28" s="169">
        <v>372909</v>
      </c>
      <c r="E28" s="169">
        <v>368396</v>
      </c>
      <c r="F28" s="169">
        <v>384338</v>
      </c>
      <c r="G28" s="169">
        <v>386275</v>
      </c>
      <c r="H28" s="169">
        <v>380582</v>
      </c>
      <c r="I28" s="169">
        <v>368442</v>
      </c>
      <c r="J28" s="169">
        <v>361204</v>
      </c>
      <c r="K28" s="169">
        <v>377764</v>
      </c>
      <c r="L28" s="169">
        <v>365316</v>
      </c>
      <c r="M28" s="169">
        <v>371919</v>
      </c>
      <c r="N28" s="169">
        <v>366053</v>
      </c>
      <c r="O28" s="169">
        <v>370425</v>
      </c>
      <c r="P28" s="163">
        <f>SUM(D28:O28)</f>
        <v>4473623</v>
      </c>
      <c r="Q28" s="168"/>
      <c r="R28" s="165"/>
    </row>
    <row r="29" spans="1:18" x14ac:dyDescent="0.2">
      <c r="A29" s="81" t="s">
        <v>25</v>
      </c>
      <c r="B29" s="169">
        <v>275322</v>
      </c>
      <c r="C29" s="169">
        <v>274249</v>
      </c>
      <c r="D29" s="169">
        <v>272195</v>
      </c>
      <c r="E29" s="169">
        <v>269667</v>
      </c>
      <c r="F29" s="169">
        <v>276168</v>
      </c>
      <c r="G29" s="169">
        <v>278475</v>
      </c>
      <c r="H29" s="169">
        <v>276501</v>
      </c>
      <c r="I29" s="169">
        <v>273529</v>
      </c>
      <c r="J29" s="169">
        <v>271122</v>
      </c>
      <c r="K29" s="169">
        <v>272243</v>
      </c>
      <c r="L29" s="169">
        <v>276144</v>
      </c>
      <c r="M29" s="169">
        <v>275856</v>
      </c>
      <c r="N29" s="169">
        <v>274745</v>
      </c>
      <c r="O29" s="169">
        <v>273642</v>
      </c>
      <c r="P29" s="163">
        <f>SUM(D29:O29)</f>
        <v>3290287</v>
      </c>
      <c r="Q29" s="168"/>
      <c r="R29" s="165"/>
    </row>
    <row r="30" spans="1:18" x14ac:dyDescent="0.2">
      <c r="A30" s="167"/>
      <c r="B30" s="167"/>
      <c r="C30" s="167"/>
      <c r="D30" s="163"/>
      <c r="E30" s="163"/>
      <c r="F30" s="163"/>
      <c r="G30" s="163"/>
      <c r="H30" s="163"/>
      <c r="I30" s="163"/>
      <c r="J30" s="163"/>
      <c r="K30" s="163"/>
      <c r="L30" s="163"/>
      <c r="M30" s="163"/>
      <c r="N30" s="163"/>
      <c r="O30" s="163"/>
      <c r="P30" s="163"/>
      <c r="Q30" s="168"/>
      <c r="R30" s="165"/>
    </row>
    <row r="31" spans="1:18" x14ac:dyDescent="0.2">
      <c r="A31" s="167"/>
      <c r="B31" s="167"/>
      <c r="C31" s="167"/>
      <c r="D31" s="163"/>
      <c r="E31" s="163"/>
      <c r="F31" s="163"/>
      <c r="G31" s="163"/>
      <c r="H31" s="163"/>
      <c r="I31" s="163"/>
      <c r="J31" s="163"/>
      <c r="K31" s="163"/>
      <c r="L31" s="163"/>
      <c r="M31" s="163"/>
      <c r="N31" s="163"/>
      <c r="O31" s="163"/>
      <c r="P31" s="163"/>
      <c r="Q31" s="168"/>
      <c r="R31" s="165"/>
    </row>
    <row r="32" spans="1:18" x14ac:dyDescent="0.2">
      <c r="A32" s="77" t="s">
        <v>285</v>
      </c>
      <c r="B32" s="77"/>
      <c r="C32" s="77"/>
      <c r="D32" s="163"/>
      <c r="E32" s="163"/>
      <c r="F32" s="163"/>
      <c r="G32" s="163"/>
      <c r="H32" s="163"/>
      <c r="I32" s="163"/>
      <c r="J32" s="163"/>
      <c r="K32" s="163"/>
      <c r="L32" s="163"/>
      <c r="M32" s="163"/>
      <c r="N32" s="163"/>
      <c r="O32" s="163"/>
      <c r="P32" s="81" t="str">
        <f>P6</f>
        <v>12ME Apr-19</v>
      </c>
    </row>
    <row r="33" spans="1:18" x14ac:dyDescent="0.2">
      <c r="A33" s="83" t="s">
        <v>281</v>
      </c>
      <c r="B33" s="161">
        <f t="shared" ref="B33:O33" si="7">B7</f>
        <v>43160</v>
      </c>
      <c r="C33" s="161">
        <f t="shared" si="7"/>
        <v>43191</v>
      </c>
      <c r="D33" s="161">
        <f t="shared" si="7"/>
        <v>43221</v>
      </c>
      <c r="E33" s="161">
        <f t="shared" si="7"/>
        <v>43252</v>
      </c>
      <c r="F33" s="161">
        <f t="shared" si="7"/>
        <v>43282</v>
      </c>
      <c r="G33" s="161">
        <f t="shared" si="7"/>
        <v>43313</v>
      </c>
      <c r="H33" s="161">
        <f t="shared" si="7"/>
        <v>43344</v>
      </c>
      <c r="I33" s="161">
        <f t="shared" si="7"/>
        <v>43374</v>
      </c>
      <c r="J33" s="161">
        <f t="shared" si="7"/>
        <v>43405</v>
      </c>
      <c r="K33" s="161">
        <f t="shared" si="7"/>
        <v>43435</v>
      </c>
      <c r="L33" s="161">
        <f t="shared" si="7"/>
        <v>43466</v>
      </c>
      <c r="M33" s="161">
        <f t="shared" si="7"/>
        <v>43497</v>
      </c>
      <c r="N33" s="161">
        <f t="shared" si="7"/>
        <v>43525</v>
      </c>
      <c r="O33" s="161">
        <f t="shared" si="7"/>
        <v>43556</v>
      </c>
      <c r="P33" s="170" t="s">
        <v>286</v>
      </c>
      <c r="Q33" s="171"/>
      <c r="R33" s="171"/>
    </row>
    <row r="34" spans="1:18" x14ac:dyDescent="0.2">
      <c r="A34" s="81">
        <v>7</v>
      </c>
      <c r="B34" s="162">
        <v>1006872</v>
      </c>
      <c r="C34" s="162">
        <v>1007616</v>
      </c>
      <c r="D34" s="162">
        <v>1008262</v>
      </c>
      <c r="E34" s="162">
        <v>1008937</v>
      </c>
      <c r="F34" s="162">
        <v>1009435</v>
      </c>
      <c r="G34" s="162">
        <v>1010255</v>
      </c>
      <c r="H34" s="162">
        <v>1011357</v>
      </c>
      <c r="I34" s="162">
        <v>1012830</v>
      </c>
      <c r="J34" s="162">
        <v>1014202</v>
      </c>
      <c r="K34" s="162">
        <v>1015298</v>
      </c>
      <c r="L34" s="162">
        <v>1016493</v>
      </c>
      <c r="M34" s="162">
        <v>1017513</v>
      </c>
      <c r="N34" s="162">
        <v>1018385</v>
      </c>
      <c r="O34" s="162">
        <v>1019189</v>
      </c>
      <c r="P34" s="172">
        <f>AVERAGE(D34:O34)</f>
        <v>1013513</v>
      </c>
    </row>
    <row r="35" spans="1:18" x14ac:dyDescent="0.2">
      <c r="A35" s="81" t="s">
        <v>282</v>
      </c>
      <c r="B35" s="162">
        <v>3</v>
      </c>
      <c r="C35" s="162">
        <v>3</v>
      </c>
      <c r="D35" s="162">
        <v>3</v>
      </c>
      <c r="E35" s="162">
        <v>3</v>
      </c>
      <c r="F35" s="162">
        <v>3</v>
      </c>
      <c r="G35" s="162">
        <v>3</v>
      </c>
      <c r="H35" s="162">
        <v>3</v>
      </c>
      <c r="I35" s="162">
        <v>3</v>
      </c>
      <c r="J35" s="162">
        <v>3</v>
      </c>
      <c r="K35" s="162">
        <v>3</v>
      </c>
      <c r="L35" s="162">
        <v>3</v>
      </c>
      <c r="M35" s="162">
        <v>3</v>
      </c>
      <c r="N35" s="162">
        <v>3</v>
      </c>
      <c r="O35" s="162">
        <v>3</v>
      </c>
      <c r="P35" s="172">
        <f>AVERAGE(D35:O35)</f>
        <v>3</v>
      </c>
    </row>
    <row r="36" spans="1:18" x14ac:dyDescent="0.2">
      <c r="A36" s="81" t="s">
        <v>7</v>
      </c>
      <c r="B36" s="162">
        <v>121661</v>
      </c>
      <c r="C36" s="162">
        <v>121895</v>
      </c>
      <c r="D36" s="162">
        <v>122091</v>
      </c>
      <c r="E36" s="162">
        <v>122339</v>
      </c>
      <c r="F36" s="162">
        <v>122593</v>
      </c>
      <c r="G36" s="162">
        <v>122795</v>
      </c>
      <c r="H36" s="162">
        <v>122927</v>
      </c>
      <c r="I36" s="162">
        <v>123118</v>
      </c>
      <c r="J36" s="162">
        <v>123307</v>
      </c>
      <c r="K36" s="162">
        <v>123456</v>
      </c>
      <c r="L36" s="162">
        <v>123603</v>
      </c>
      <c r="M36" s="162">
        <v>123746</v>
      </c>
      <c r="N36" s="162">
        <v>123960</v>
      </c>
      <c r="O36" s="162">
        <v>124195</v>
      </c>
      <c r="P36" s="172">
        <f t="shared" ref="P36:P45" si="8">AVERAGE(D36:O36)</f>
        <v>123177.5</v>
      </c>
      <c r="Q36" s="173"/>
      <c r="R36" s="173"/>
    </row>
    <row r="37" spans="1:18" x14ac:dyDescent="0.2">
      <c r="A37" s="174" t="s">
        <v>283</v>
      </c>
      <c r="B37" s="162">
        <v>7078</v>
      </c>
      <c r="C37" s="162">
        <v>7075</v>
      </c>
      <c r="D37" s="162">
        <v>7069</v>
      </c>
      <c r="E37" s="162">
        <v>7070</v>
      </c>
      <c r="F37" s="162">
        <v>7077</v>
      </c>
      <c r="G37" s="162">
        <v>7087</v>
      </c>
      <c r="H37" s="162">
        <v>7090</v>
      </c>
      <c r="I37" s="162">
        <v>7097</v>
      </c>
      <c r="J37" s="162">
        <v>7101</v>
      </c>
      <c r="K37" s="162">
        <v>7106</v>
      </c>
      <c r="L37" s="162">
        <v>7128</v>
      </c>
      <c r="M37" s="162">
        <v>7127</v>
      </c>
      <c r="N37" s="162">
        <v>7109</v>
      </c>
      <c r="O37" s="162">
        <v>7106</v>
      </c>
      <c r="P37" s="172">
        <f t="shared" si="8"/>
        <v>7097.25</v>
      </c>
      <c r="Q37" s="85"/>
      <c r="R37" s="85"/>
    </row>
    <row r="38" spans="1:18" x14ac:dyDescent="0.2">
      <c r="A38" s="81" t="s">
        <v>24</v>
      </c>
      <c r="B38" s="162">
        <v>794</v>
      </c>
      <c r="C38" s="162">
        <v>794</v>
      </c>
      <c r="D38" s="162">
        <v>795</v>
      </c>
      <c r="E38" s="162">
        <v>795</v>
      </c>
      <c r="F38" s="162">
        <v>796</v>
      </c>
      <c r="G38" s="162">
        <v>796</v>
      </c>
      <c r="H38" s="162">
        <v>797</v>
      </c>
      <c r="I38" s="162">
        <v>797</v>
      </c>
      <c r="J38" s="162">
        <v>798</v>
      </c>
      <c r="K38" s="162">
        <v>799</v>
      </c>
      <c r="L38" s="162">
        <v>800</v>
      </c>
      <c r="M38" s="162">
        <v>800</v>
      </c>
      <c r="N38" s="162">
        <v>800</v>
      </c>
      <c r="O38" s="162">
        <v>800</v>
      </c>
      <c r="P38" s="172">
        <f t="shared" si="8"/>
        <v>797.75</v>
      </c>
      <c r="Q38" s="85"/>
      <c r="R38" s="85"/>
    </row>
    <row r="39" spans="1:18" x14ac:dyDescent="0.2">
      <c r="A39" s="81">
        <v>29</v>
      </c>
      <c r="B39" s="162">
        <v>525</v>
      </c>
      <c r="C39" s="162">
        <v>566</v>
      </c>
      <c r="D39" s="162">
        <v>642</v>
      </c>
      <c r="E39" s="162">
        <v>676</v>
      </c>
      <c r="F39" s="162">
        <v>693</v>
      </c>
      <c r="G39" s="162">
        <v>699</v>
      </c>
      <c r="H39" s="162">
        <v>692</v>
      </c>
      <c r="I39" s="162">
        <v>624</v>
      </c>
      <c r="J39" s="162">
        <v>580</v>
      </c>
      <c r="K39" s="162">
        <v>562</v>
      </c>
      <c r="L39" s="162">
        <v>537</v>
      </c>
      <c r="M39" s="162">
        <v>534</v>
      </c>
      <c r="N39" s="162">
        <v>542</v>
      </c>
      <c r="O39" s="162">
        <v>583</v>
      </c>
      <c r="P39" s="172">
        <f t="shared" si="8"/>
        <v>613.66666666666663</v>
      </c>
      <c r="Q39" s="85"/>
      <c r="R39" s="85"/>
    </row>
    <row r="40" spans="1:18" x14ac:dyDescent="0.2">
      <c r="A40" s="81" t="s">
        <v>25</v>
      </c>
      <c r="B40" s="162">
        <v>484</v>
      </c>
      <c r="C40" s="162">
        <v>484</v>
      </c>
      <c r="D40" s="162">
        <v>484</v>
      </c>
      <c r="E40" s="162">
        <v>485</v>
      </c>
      <c r="F40" s="162">
        <v>486</v>
      </c>
      <c r="G40" s="162">
        <v>484</v>
      </c>
      <c r="H40" s="162">
        <v>485</v>
      </c>
      <c r="I40" s="162">
        <v>485</v>
      </c>
      <c r="J40" s="162">
        <v>486</v>
      </c>
      <c r="K40" s="162">
        <v>486</v>
      </c>
      <c r="L40" s="162">
        <v>487</v>
      </c>
      <c r="M40" s="162">
        <v>488</v>
      </c>
      <c r="N40" s="162">
        <v>488</v>
      </c>
      <c r="O40" s="162">
        <v>488</v>
      </c>
      <c r="P40" s="172">
        <f t="shared" si="8"/>
        <v>486</v>
      </c>
      <c r="Q40" s="85"/>
      <c r="R40" s="85"/>
    </row>
    <row r="41" spans="1:18" x14ac:dyDescent="0.2">
      <c r="A41" s="81">
        <v>35</v>
      </c>
      <c r="B41" s="162">
        <v>1</v>
      </c>
      <c r="C41" s="162">
        <v>1</v>
      </c>
      <c r="D41" s="162">
        <v>1</v>
      </c>
      <c r="E41" s="162">
        <v>1</v>
      </c>
      <c r="F41" s="162">
        <v>1</v>
      </c>
      <c r="G41" s="162">
        <v>1</v>
      </c>
      <c r="H41" s="162">
        <v>1</v>
      </c>
      <c r="I41" s="162">
        <v>1</v>
      </c>
      <c r="J41" s="162">
        <v>1</v>
      </c>
      <c r="K41" s="162">
        <v>1</v>
      </c>
      <c r="L41" s="162">
        <v>1</v>
      </c>
      <c r="M41" s="162">
        <v>1</v>
      </c>
      <c r="N41" s="162">
        <v>1</v>
      </c>
      <c r="O41" s="162">
        <v>1</v>
      </c>
      <c r="P41" s="172">
        <f t="shared" si="8"/>
        <v>1</v>
      </c>
      <c r="Q41" s="85"/>
      <c r="R41" s="85"/>
    </row>
    <row r="42" spans="1:18" x14ac:dyDescent="0.2">
      <c r="A42" s="81">
        <v>40</v>
      </c>
      <c r="B42" s="162">
        <v>133</v>
      </c>
      <c r="C42" s="162">
        <v>133</v>
      </c>
      <c r="D42" s="162">
        <v>133</v>
      </c>
      <c r="E42" s="162">
        <v>133</v>
      </c>
      <c r="F42" s="162">
        <v>133</v>
      </c>
      <c r="G42" s="162">
        <v>133</v>
      </c>
      <c r="H42" s="162">
        <v>133</v>
      </c>
      <c r="I42" s="162">
        <v>133</v>
      </c>
      <c r="J42" s="162">
        <v>133</v>
      </c>
      <c r="K42" s="162">
        <v>133</v>
      </c>
      <c r="L42" s="162">
        <v>132</v>
      </c>
      <c r="M42" s="162">
        <v>132</v>
      </c>
      <c r="N42" s="162">
        <v>132</v>
      </c>
      <c r="O42" s="162">
        <v>132</v>
      </c>
      <c r="P42" s="172">
        <f t="shared" si="8"/>
        <v>132.66666666666666</v>
      </c>
      <c r="Q42" s="85"/>
      <c r="R42" s="85"/>
    </row>
    <row r="43" spans="1:18" x14ac:dyDescent="0.2">
      <c r="A43" s="81">
        <v>43</v>
      </c>
      <c r="B43" s="162">
        <v>159</v>
      </c>
      <c r="C43" s="162">
        <v>159</v>
      </c>
      <c r="D43" s="162">
        <v>159</v>
      </c>
      <c r="E43" s="162">
        <v>159</v>
      </c>
      <c r="F43" s="162">
        <v>159</v>
      </c>
      <c r="G43" s="162">
        <v>159</v>
      </c>
      <c r="H43" s="162">
        <v>159</v>
      </c>
      <c r="I43" s="162">
        <v>160</v>
      </c>
      <c r="J43" s="162">
        <v>160</v>
      </c>
      <c r="K43" s="162">
        <v>160</v>
      </c>
      <c r="L43" s="162">
        <v>160</v>
      </c>
      <c r="M43" s="162">
        <v>160</v>
      </c>
      <c r="N43" s="162">
        <v>160</v>
      </c>
      <c r="O43" s="162">
        <v>160</v>
      </c>
      <c r="P43" s="172">
        <f t="shared" si="8"/>
        <v>159.58333333333334</v>
      </c>
      <c r="Q43" s="85"/>
      <c r="R43" s="85"/>
    </row>
    <row r="44" spans="1:18" x14ac:dyDescent="0.2">
      <c r="A44" s="81">
        <v>46</v>
      </c>
      <c r="B44" s="162">
        <v>5</v>
      </c>
      <c r="C44" s="162">
        <v>5</v>
      </c>
      <c r="D44" s="162">
        <v>5</v>
      </c>
      <c r="E44" s="162">
        <v>5</v>
      </c>
      <c r="F44" s="162">
        <v>5</v>
      </c>
      <c r="G44" s="162">
        <v>5</v>
      </c>
      <c r="H44" s="162">
        <v>5</v>
      </c>
      <c r="I44" s="162">
        <v>5</v>
      </c>
      <c r="J44" s="162">
        <v>5</v>
      </c>
      <c r="K44" s="162">
        <v>5</v>
      </c>
      <c r="L44" s="162">
        <v>5</v>
      </c>
      <c r="M44" s="162">
        <v>5</v>
      </c>
      <c r="N44" s="162">
        <v>5</v>
      </c>
      <c r="O44" s="162">
        <v>5</v>
      </c>
      <c r="P44" s="172">
        <f t="shared" si="8"/>
        <v>5</v>
      </c>
      <c r="Q44" s="85"/>
      <c r="R44" s="85"/>
    </row>
    <row r="45" spans="1:18" x14ac:dyDescent="0.2">
      <c r="A45" s="81">
        <v>49</v>
      </c>
      <c r="B45" s="175">
        <v>19</v>
      </c>
      <c r="C45" s="175">
        <v>19</v>
      </c>
      <c r="D45" s="175">
        <v>19</v>
      </c>
      <c r="E45" s="175">
        <v>19</v>
      </c>
      <c r="F45" s="175">
        <v>19</v>
      </c>
      <c r="G45" s="175">
        <v>19</v>
      </c>
      <c r="H45" s="175">
        <v>19</v>
      </c>
      <c r="I45" s="175">
        <v>19</v>
      </c>
      <c r="J45" s="175">
        <v>19</v>
      </c>
      <c r="K45" s="175">
        <v>19</v>
      </c>
      <c r="L45" s="175">
        <v>19</v>
      </c>
      <c r="M45" s="175">
        <v>19</v>
      </c>
      <c r="N45" s="175">
        <v>19</v>
      </c>
      <c r="O45" s="175">
        <v>19</v>
      </c>
      <c r="P45" s="176">
        <f t="shared" si="8"/>
        <v>19</v>
      </c>
      <c r="Q45" s="85"/>
      <c r="R45" s="85"/>
    </row>
    <row r="46" spans="1:18" x14ac:dyDescent="0.2">
      <c r="A46" s="167" t="s">
        <v>84</v>
      </c>
      <c r="B46" s="177">
        <f>SUM(B34:B45)</f>
        <v>1137734</v>
      </c>
      <c r="C46" s="177">
        <f t="shared" ref="C46:P46" si="9">SUM(C34:C45)</f>
        <v>1138750</v>
      </c>
      <c r="D46" s="177">
        <f t="shared" si="9"/>
        <v>1139663</v>
      </c>
      <c r="E46" s="177">
        <f t="shared" si="9"/>
        <v>1140622</v>
      </c>
      <c r="F46" s="177">
        <f t="shared" si="9"/>
        <v>1141400</v>
      </c>
      <c r="G46" s="177">
        <f t="shared" si="9"/>
        <v>1142436</v>
      </c>
      <c r="H46" s="177">
        <f t="shared" si="9"/>
        <v>1143668</v>
      </c>
      <c r="I46" s="177">
        <f t="shared" si="9"/>
        <v>1145272</v>
      </c>
      <c r="J46" s="177">
        <f t="shared" si="9"/>
        <v>1146795</v>
      </c>
      <c r="K46" s="177">
        <f t="shared" si="9"/>
        <v>1148028</v>
      </c>
      <c r="L46" s="177">
        <f t="shared" si="9"/>
        <v>1149368</v>
      </c>
      <c r="M46" s="177">
        <f t="shared" si="9"/>
        <v>1150528</v>
      </c>
      <c r="N46" s="177">
        <f t="shared" si="9"/>
        <v>1151604</v>
      </c>
      <c r="O46" s="177">
        <f t="shared" si="9"/>
        <v>1152681</v>
      </c>
      <c r="P46" s="177">
        <f t="shared" si="9"/>
        <v>1146005.4166666667</v>
      </c>
      <c r="Q46" s="173"/>
      <c r="R46" s="173"/>
    </row>
    <row r="47" spans="1:18" x14ac:dyDescent="0.2">
      <c r="A47" s="167"/>
      <c r="B47" s="167"/>
      <c r="C47" s="167"/>
      <c r="D47" s="163"/>
      <c r="E47" s="163"/>
      <c r="F47" s="163"/>
      <c r="G47" s="163"/>
      <c r="H47" s="163"/>
      <c r="I47" s="163"/>
      <c r="J47" s="163"/>
      <c r="K47" s="163"/>
      <c r="L47" s="163"/>
      <c r="M47" s="163"/>
      <c r="N47" s="163"/>
      <c r="O47" s="163"/>
      <c r="P47" s="172"/>
      <c r="Q47" s="85"/>
      <c r="R47" s="85"/>
    </row>
    <row r="48" spans="1:18" x14ac:dyDescent="0.2">
      <c r="A48" s="167" t="s">
        <v>289</v>
      </c>
      <c r="B48" s="163">
        <f>SUM(B35,B37,B39,B41,B43)</f>
        <v>7766</v>
      </c>
      <c r="C48" s="163">
        <f t="shared" ref="C48:O48" si="10">SUM(C35,C37,C39,C41,C43)</f>
        <v>7804</v>
      </c>
      <c r="D48" s="163">
        <f t="shared" si="10"/>
        <v>7874</v>
      </c>
      <c r="E48" s="163">
        <f t="shared" si="10"/>
        <v>7909</v>
      </c>
      <c r="F48" s="163">
        <f t="shared" si="10"/>
        <v>7933</v>
      </c>
      <c r="G48" s="163">
        <f t="shared" si="10"/>
        <v>7949</v>
      </c>
      <c r="H48" s="163">
        <f t="shared" si="10"/>
        <v>7945</v>
      </c>
      <c r="I48" s="163">
        <f t="shared" si="10"/>
        <v>7885</v>
      </c>
      <c r="J48" s="163">
        <f t="shared" si="10"/>
        <v>7845</v>
      </c>
      <c r="K48" s="163">
        <f t="shared" si="10"/>
        <v>7832</v>
      </c>
      <c r="L48" s="163">
        <f t="shared" si="10"/>
        <v>7829</v>
      </c>
      <c r="M48" s="163">
        <f t="shared" si="10"/>
        <v>7825</v>
      </c>
      <c r="N48" s="163">
        <f t="shared" si="10"/>
        <v>7815</v>
      </c>
      <c r="O48" s="163">
        <f t="shared" si="10"/>
        <v>7853</v>
      </c>
      <c r="P48" s="172">
        <f>AVERAGE(D48:O48)</f>
        <v>7874.5</v>
      </c>
      <c r="Q48" s="164"/>
      <c r="R48" s="168"/>
    </row>
    <row r="49" spans="1:17" x14ac:dyDescent="0.2">
      <c r="A49" s="167" t="s">
        <v>288</v>
      </c>
      <c r="B49" s="163">
        <f>SUM(B44:B45)</f>
        <v>24</v>
      </c>
      <c r="C49" s="163">
        <f t="shared" ref="C49:O49" si="11">SUM(C44:C45)</f>
        <v>24</v>
      </c>
      <c r="D49" s="163">
        <f t="shared" si="11"/>
        <v>24</v>
      </c>
      <c r="E49" s="163">
        <f t="shared" si="11"/>
        <v>24</v>
      </c>
      <c r="F49" s="163">
        <f t="shared" si="11"/>
        <v>24</v>
      </c>
      <c r="G49" s="163">
        <f t="shared" si="11"/>
        <v>24</v>
      </c>
      <c r="H49" s="163">
        <f t="shared" si="11"/>
        <v>24</v>
      </c>
      <c r="I49" s="163">
        <f t="shared" si="11"/>
        <v>24</v>
      </c>
      <c r="J49" s="163">
        <f t="shared" si="11"/>
        <v>24</v>
      </c>
      <c r="K49" s="163">
        <f t="shared" si="11"/>
        <v>24</v>
      </c>
      <c r="L49" s="163">
        <f t="shared" si="11"/>
        <v>24</v>
      </c>
      <c r="M49" s="163">
        <f t="shared" si="11"/>
        <v>24</v>
      </c>
      <c r="N49" s="163">
        <f t="shared" si="11"/>
        <v>24</v>
      </c>
      <c r="O49" s="163">
        <f t="shared" si="11"/>
        <v>24</v>
      </c>
      <c r="P49" s="172">
        <f>AVERAGE(D49:O49)</f>
        <v>24</v>
      </c>
      <c r="Q49" s="163"/>
    </row>
    <row r="50" spans="1:17" x14ac:dyDescent="0.2">
      <c r="D50" s="163"/>
      <c r="E50" s="163"/>
      <c r="F50" s="163"/>
      <c r="G50" s="163"/>
      <c r="H50" s="163"/>
      <c r="I50" s="163"/>
      <c r="J50" s="163"/>
      <c r="K50" s="163"/>
      <c r="L50" s="163"/>
      <c r="M50" s="163"/>
      <c r="N50" s="163"/>
      <c r="O50" s="163"/>
      <c r="P50" s="163"/>
    </row>
    <row r="51" spans="1:17" x14ac:dyDescent="0.2">
      <c r="A51" s="64" t="s">
        <v>298</v>
      </c>
      <c r="D51" s="163"/>
      <c r="E51" s="163"/>
      <c r="F51" s="163"/>
      <c r="G51" s="163"/>
      <c r="H51" s="163"/>
      <c r="I51" s="163"/>
      <c r="J51" s="163"/>
      <c r="K51" s="163"/>
      <c r="L51" s="163"/>
      <c r="M51" s="163"/>
      <c r="N51" s="163"/>
      <c r="O51" s="163"/>
      <c r="P51" s="163"/>
      <c r="Q51" s="178"/>
    </row>
    <row r="52" spans="1:17" x14ac:dyDescent="0.2">
      <c r="D52" s="163"/>
      <c r="E52" s="163"/>
      <c r="F52" s="163"/>
      <c r="G52" s="163"/>
      <c r="H52" s="163"/>
      <c r="I52" s="163"/>
      <c r="J52" s="163"/>
      <c r="K52" s="163"/>
      <c r="L52" s="163"/>
      <c r="M52" s="163"/>
      <c r="N52" s="163"/>
      <c r="O52" s="163"/>
      <c r="P52" s="163"/>
      <c r="Q52" s="178"/>
    </row>
    <row r="53" spans="1:17" x14ac:dyDescent="0.2">
      <c r="D53" s="178"/>
      <c r="E53" s="178"/>
      <c r="F53" s="178"/>
      <c r="G53" s="178"/>
      <c r="H53" s="178"/>
      <c r="I53" s="178"/>
      <c r="J53" s="178"/>
      <c r="K53" s="178"/>
      <c r="L53" s="178"/>
      <c r="M53" s="178"/>
      <c r="N53" s="178"/>
      <c r="O53" s="178"/>
      <c r="P53" s="178"/>
      <c r="Q53" s="178"/>
    </row>
    <row r="56" spans="1:17" x14ac:dyDescent="0.2">
      <c r="D56" s="179"/>
      <c r="E56" s="179"/>
      <c r="F56" s="179"/>
      <c r="G56" s="178"/>
      <c r="H56" s="178"/>
      <c r="I56" s="178"/>
      <c r="J56" s="178"/>
      <c r="K56" s="178"/>
      <c r="L56" s="178"/>
      <c r="M56" s="178"/>
      <c r="N56" s="178"/>
      <c r="O56" s="178"/>
      <c r="P56" s="178"/>
      <c r="Q56" s="178"/>
    </row>
    <row r="59" spans="1:17" x14ac:dyDescent="0.2">
      <c r="D59" s="180"/>
      <c r="E59" s="180"/>
      <c r="F59" s="180"/>
    </row>
    <row r="60" spans="1:17" x14ac:dyDescent="0.2">
      <c r="A60" s="81"/>
      <c r="B60" s="81"/>
      <c r="C60" s="81"/>
      <c r="D60" s="178"/>
      <c r="E60" s="178"/>
      <c r="F60" s="178"/>
      <c r="G60" s="178"/>
      <c r="H60" s="178"/>
      <c r="I60" s="178"/>
      <c r="J60" s="178"/>
      <c r="K60" s="178"/>
      <c r="L60" s="178"/>
      <c r="M60" s="178"/>
      <c r="N60" s="178"/>
      <c r="O60" s="178"/>
      <c r="P60" s="178"/>
      <c r="Q60" s="178"/>
    </row>
    <row r="61" spans="1:17" x14ac:dyDescent="0.2">
      <c r="A61" s="81"/>
      <c r="B61" s="81"/>
      <c r="C61" s="81"/>
      <c r="D61" s="181"/>
      <c r="E61" s="181"/>
      <c r="F61" s="181"/>
      <c r="G61" s="178"/>
      <c r="H61" s="178"/>
      <c r="I61" s="178"/>
      <c r="J61" s="178"/>
      <c r="K61" s="178"/>
      <c r="L61" s="178"/>
      <c r="M61" s="178"/>
      <c r="N61" s="178"/>
      <c r="O61" s="178"/>
      <c r="P61" s="178"/>
      <c r="Q61" s="178"/>
    </row>
    <row r="62" spans="1:17" x14ac:dyDescent="0.2">
      <c r="D62" s="178"/>
      <c r="E62" s="178"/>
      <c r="F62" s="178"/>
      <c r="G62" s="178"/>
      <c r="H62" s="178"/>
      <c r="I62" s="178"/>
      <c r="J62" s="178"/>
      <c r="K62" s="178"/>
      <c r="L62" s="178"/>
      <c r="M62" s="178"/>
      <c r="N62" s="178"/>
      <c r="O62" s="178"/>
      <c r="P62" s="178"/>
      <c r="Q62" s="178"/>
    </row>
    <row r="63" spans="1:17" x14ac:dyDescent="0.2">
      <c r="A63" s="81"/>
      <c r="B63" s="81"/>
      <c r="C63" s="81"/>
      <c r="D63" s="182"/>
      <c r="E63" s="182"/>
      <c r="F63" s="182"/>
      <c r="G63" s="178"/>
      <c r="H63" s="178"/>
      <c r="I63" s="178"/>
      <c r="J63" s="178"/>
      <c r="K63" s="178"/>
      <c r="L63" s="178"/>
      <c r="M63" s="178"/>
      <c r="N63" s="178"/>
      <c r="O63" s="178"/>
      <c r="P63" s="178"/>
      <c r="Q63" s="178"/>
    </row>
    <row r="64" spans="1:17" x14ac:dyDescent="0.2">
      <c r="A64" s="81"/>
      <c r="B64" s="81"/>
      <c r="C64" s="81"/>
      <c r="D64" s="178"/>
      <c r="E64" s="178"/>
      <c r="F64" s="178"/>
      <c r="G64" s="178"/>
      <c r="H64" s="178"/>
      <c r="I64" s="178"/>
      <c r="J64" s="178"/>
      <c r="K64" s="178"/>
      <c r="L64" s="178"/>
      <c r="M64" s="178"/>
      <c r="N64" s="178"/>
      <c r="O64" s="178"/>
      <c r="P64" s="178"/>
      <c r="Q64" s="178"/>
    </row>
    <row r="65" spans="1:17" x14ac:dyDescent="0.2">
      <c r="A65" s="81"/>
      <c r="B65" s="81"/>
      <c r="C65" s="81"/>
      <c r="D65" s="178"/>
      <c r="E65" s="178"/>
      <c r="F65" s="178"/>
      <c r="G65" s="178"/>
      <c r="H65" s="178"/>
      <c r="I65" s="178"/>
      <c r="J65" s="178"/>
      <c r="K65" s="178"/>
      <c r="L65" s="178"/>
      <c r="M65" s="178"/>
      <c r="N65" s="178"/>
      <c r="O65" s="178"/>
      <c r="P65" s="178"/>
      <c r="Q65" s="178"/>
    </row>
    <row r="66" spans="1:17" x14ac:dyDescent="0.2">
      <c r="A66" s="81"/>
      <c r="B66" s="81"/>
      <c r="C66" s="81"/>
      <c r="D66" s="178"/>
      <c r="E66" s="178"/>
      <c r="F66" s="178"/>
      <c r="G66" s="178"/>
      <c r="H66" s="178"/>
      <c r="I66" s="178"/>
      <c r="J66" s="178"/>
      <c r="K66" s="178"/>
      <c r="L66" s="178"/>
      <c r="M66" s="178"/>
      <c r="N66" s="178"/>
      <c r="O66" s="178"/>
      <c r="P66" s="178"/>
      <c r="Q66" s="178"/>
    </row>
    <row r="67" spans="1:17" x14ac:dyDescent="0.2">
      <c r="A67" s="81"/>
      <c r="B67" s="81"/>
      <c r="C67" s="81"/>
      <c r="D67" s="178"/>
      <c r="E67" s="178"/>
      <c r="F67" s="178"/>
      <c r="G67" s="178"/>
      <c r="H67" s="178"/>
      <c r="I67" s="178"/>
      <c r="J67" s="178"/>
      <c r="K67" s="178"/>
      <c r="L67" s="178"/>
      <c r="M67" s="178"/>
      <c r="N67" s="178"/>
      <c r="O67" s="178"/>
      <c r="P67" s="178"/>
      <c r="Q67" s="178"/>
    </row>
    <row r="68" spans="1:17" x14ac:dyDescent="0.2">
      <c r="A68" s="81"/>
      <c r="B68" s="81"/>
      <c r="C68" s="81"/>
      <c r="D68" s="178"/>
      <c r="E68" s="178"/>
      <c r="F68" s="178"/>
      <c r="G68" s="178"/>
      <c r="H68" s="178"/>
      <c r="I68" s="178"/>
      <c r="J68" s="178"/>
      <c r="K68" s="178"/>
      <c r="L68" s="178"/>
      <c r="M68" s="178"/>
      <c r="N68" s="178"/>
      <c r="O68" s="178"/>
      <c r="P68" s="178"/>
      <c r="Q68" s="178"/>
    </row>
    <row r="69" spans="1:17" x14ac:dyDescent="0.2">
      <c r="A69" s="81"/>
      <c r="B69" s="81"/>
      <c r="C69" s="81"/>
      <c r="D69" s="178"/>
      <c r="E69" s="178"/>
      <c r="F69" s="178"/>
      <c r="G69" s="178"/>
      <c r="H69" s="178"/>
      <c r="I69" s="178"/>
      <c r="J69" s="178"/>
      <c r="K69" s="178"/>
      <c r="L69" s="178"/>
      <c r="M69" s="178"/>
      <c r="N69" s="178"/>
      <c r="O69" s="178"/>
      <c r="P69" s="178"/>
      <c r="Q69" s="178"/>
    </row>
    <row r="70" spans="1:17" x14ac:dyDescent="0.2">
      <c r="D70" s="178"/>
      <c r="E70" s="178"/>
      <c r="F70" s="178"/>
      <c r="G70" s="178"/>
      <c r="H70" s="178"/>
      <c r="I70" s="178"/>
      <c r="J70" s="178"/>
      <c r="K70" s="178"/>
      <c r="L70" s="178"/>
      <c r="M70" s="178"/>
      <c r="N70" s="178"/>
      <c r="O70" s="178"/>
      <c r="P70" s="178"/>
      <c r="Q70" s="178"/>
    </row>
    <row r="72" spans="1:17" x14ac:dyDescent="0.2">
      <c r="D72" s="178"/>
      <c r="E72" s="178"/>
      <c r="F72" s="178"/>
      <c r="G72" s="178"/>
      <c r="H72" s="178"/>
      <c r="I72" s="178"/>
      <c r="J72" s="178"/>
      <c r="K72" s="178"/>
      <c r="L72" s="178"/>
      <c r="M72" s="178"/>
      <c r="N72" s="178"/>
      <c r="O72" s="178"/>
      <c r="P72" s="178"/>
      <c r="Q72" s="178"/>
    </row>
    <row r="73" spans="1:17" x14ac:dyDescent="0.2">
      <c r="D73" s="178"/>
      <c r="E73" s="178"/>
      <c r="F73" s="178"/>
      <c r="G73" s="178"/>
      <c r="H73" s="178"/>
      <c r="I73" s="178"/>
      <c r="J73" s="178"/>
      <c r="K73" s="178"/>
      <c r="L73" s="178"/>
      <c r="M73" s="178"/>
      <c r="N73" s="178"/>
      <c r="O73" s="178"/>
      <c r="P73" s="178"/>
      <c r="Q73" s="178"/>
    </row>
  </sheetData>
  <mergeCells count="4">
    <mergeCell ref="A1:P1"/>
    <mergeCell ref="A2:P2"/>
    <mergeCell ref="A3:P3"/>
    <mergeCell ref="A4:P4"/>
  </mergeCells>
  <printOptions horizontalCentered="1"/>
  <pageMargins left="0.45" right="0.45" top="0.75" bottom="0.75" header="0.3" footer="0.3"/>
  <pageSetup scale="53" orientation="landscape" blackAndWhite="1" r:id="rId1"/>
  <headerFooter>
    <oddHeader>&amp;RAdvice No. 2018-xx
Exhibit No. 14</oddHeader>
    <oddFooter>&amp;L&amp;F
&amp;A&amp;R&amp;D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C48" sqref="C48"/>
    </sheetView>
  </sheetViews>
  <sheetFormatPr defaultRowHeight="15" x14ac:dyDescent="0.2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38"/>
  <sheetViews>
    <sheetView zoomScaleNormal="100" workbookViewId="0">
      <pane xSplit="3" ySplit="7" topLeftCell="D8" activePane="bottomRight" state="frozen"/>
      <selection activeCell="C48" sqref="C48"/>
      <selection pane="topRight" activeCell="C48" sqref="C48"/>
      <selection pane="bottomLeft" activeCell="C48" sqref="C48"/>
      <selection pane="bottomRight" activeCell="R40" sqref="R40"/>
    </sheetView>
  </sheetViews>
  <sheetFormatPr defaultColWidth="3.7109375" defaultRowHeight="12.75" x14ac:dyDescent="0.2"/>
  <cols>
    <col min="1" max="1" width="5.5703125" style="277" customWidth="1"/>
    <col min="2" max="2" width="18" style="277" customWidth="1"/>
    <col min="3" max="4" width="15.140625" style="277" bestFit="1" customWidth="1"/>
    <col min="5" max="6" width="13.28515625" style="277" bestFit="1" customWidth="1"/>
    <col min="7" max="7" width="13.5703125" style="277" bestFit="1" customWidth="1"/>
    <col min="8" max="8" width="12.42578125" style="277" bestFit="1" customWidth="1"/>
    <col min="9" max="9" width="12.140625" style="277" bestFit="1" customWidth="1"/>
    <col min="10" max="10" width="11.42578125" style="277" customWidth="1"/>
    <col min="11" max="11" width="12.42578125" style="277" bestFit="1" customWidth="1"/>
    <col min="12" max="12" width="13.5703125" style="277" bestFit="1" customWidth="1"/>
    <col min="13" max="13" width="13.28515625" style="277" bestFit="1" customWidth="1"/>
    <col min="14" max="14" width="15.140625" style="277" bestFit="1" customWidth="1"/>
    <col min="15" max="15" width="3" style="277" customWidth="1"/>
    <col min="16" max="16" width="13.28515625" style="277" bestFit="1" customWidth="1"/>
    <col min="17" max="17" width="13.5703125" style="277" bestFit="1" customWidth="1"/>
    <col min="18" max="18" width="12.85546875" style="277" bestFit="1" customWidth="1"/>
    <col min="19" max="19" width="3" style="277" customWidth="1"/>
    <col min="20" max="20" width="15.140625" style="277" bestFit="1" customWidth="1"/>
    <col min="21" max="21" width="7.85546875" style="277" bestFit="1" customWidth="1"/>
    <col min="22" max="16384" width="3.7109375" style="277"/>
  </cols>
  <sheetData>
    <row r="1" spans="1:21" x14ac:dyDescent="0.2">
      <c r="A1" s="508" t="s">
        <v>0</v>
      </c>
      <c r="B1" s="508"/>
      <c r="C1" s="508"/>
      <c r="D1" s="508"/>
      <c r="E1" s="508"/>
      <c r="F1" s="508"/>
      <c r="G1" s="508"/>
      <c r="H1" s="508"/>
      <c r="I1" s="508"/>
      <c r="J1" s="508"/>
      <c r="K1" s="508"/>
      <c r="L1" s="508"/>
      <c r="M1" s="508"/>
      <c r="N1" s="508"/>
      <c r="O1" s="508"/>
      <c r="P1" s="508"/>
      <c r="Q1" s="508"/>
      <c r="R1" s="508"/>
      <c r="S1" s="508"/>
      <c r="T1" s="508"/>
      <c r="U1" s="508"/>
    </row>
    <row r="2" spans="1:21" x14ac:dyDescent="0.2">
      <c r="A2" s="508" t="str">
        <f>'Delivery Rate Change Calc'!A2:H2</f>
        <v>2018 Electric Decoupling Filing</v>
      </c>
      <c r="B2" s="508"/>
      <c r="C2" s="508"/>
      <c r="D2" s="508"/>
      <c r="E2" s="508"/>
      <c r="F2" s="508"/>
      <c r="G2" s="508"/>
      <c r="H2" s="508"/>
      <c r="I2" s="508"/>
      <c r="J2" s="508"/>
      <c r="K2" s="508"/>
      <c r="L2" s="508"/>
      <c r="M2" s="508"/>
      <c r="N2" s="508"/>
      <c r="O2" s="508"/>
      <c r="P2" s="508"/>
      <c r="Q2" s="508"/>
      <c r="R2" s="508"/>
      <c r="S2" s="508"/>
      <c r="T2" s="508"/>
      <c r="U2" s="508"/>
    </row>
    <row r="3" spans="1:21" x14ac:dyDescent="0.2">
      <c r="A3" s="508" t="s">
        <v>556</v>
      </c>
      <c r="B3" s="508"/>
      <c r="C3" s="508"/>
      <c r="D3" s="508"/>
      <c r="E3" s="508"/>
      <c r="F3" s="508"/>
      <c r="G3" s="508"/>
      <c r="H3" s="508"/>
      <c r="I3" s="508"/>
      <c r="J3" s="508"/>
      <c r="K3" s="508"/>
      <c r="L3" s="508"/>
      <c r="M3" s="508"/>
      <c r="N3" s="508"/>
      <c r="O3" s="508"/>
      <c r="P3" s="508"/>
      <c r="Q3" s="508"/>
      <c r="R3" s="508"/>
      <c r="S3" s="508"/>
      <c r="T3" s="508"/>
      <c r="U3" s="508"/>
    </row>
    <row r="4" spans="1:21" x14ac:dyDescent="0.2">
      <c r="A4" s="509" t="str">
        <f>'Delivery Rate Change Calc'!A4:H4</f>
        <v>Proposed Effective May 1, 2018</v>
      </c>
      <c r="B4" s="509"/>
      <c r="C4" s="509"/>
      <c r="D4" s="509"/>
      <c r="E4" s="509"/>
      <c r="F4" s="509"/>
      <c r="G4" s="509"/>
      <c r="H4" s="509"/>
      <c r="I4" s="509"/>
      <c r="J4" s="509"/>
      <c r="K4" s="509"/>
      <c r="L4" s="509"/>
      <c r="M4" s="509"/>
      <c r="N4" s="509"/>
      <c r="O4" s="509"/>
      <c r="P4" s="509"/>
      <c r="Q4" s="509"/>
      <c r="R4" s="509"/>
      <c r="S4" s="509"/>
      <c r="T4" s="509"/>
      <c r="U4" s="509"/>
    </row>
    <row r="5" spans="1:21" x14ac:dyDescent="0.2">
      <c r="A5" s="278"/>
      <c r="B5" s="279"/>
      <c r="C5" s="279"/>
      <c r="D5" s="279"/>
      <c r="E5" s="279"/>
      <c r="F5" s="279"/>
      <c r="G5" s="279"/>
      <c r="H5" s="279"/>
      <c r="I5" s="279"/>
      <c r="J5" s="279"/>
      <c r="K5" s="279"/>
      <c r="L5" s="279"/>
      <c r="M5" s="279"/>
      <c r="N5" s="280"/>
    </row>
    <row r="6" spans="1:21" x14ac:dyDescent="0.2">
      <c r="A6" s="278"/>
      <c r="B6" s="279"/>
      <c r="C6" s="279"/>
      <c r="D6" s="279"/>
      <c r="E6" s="279"/>
      <c r="F6" s="279"/>
      <c r="G6" s="279"/>
      <c r="H6" s="279"/>
      <c r="I6" s="279"/>
      <c r="J6" s="279"/>
      <c r="K6" s="279"/>
      <c r="L6" s="279"/>
      <c r="M6" s="279"/>
      <c r="N6" s="281"/>
      <c r="P6" s="279" t="s">
        <v>511</v>
      </c>
      <c r="Q6" s="279" t="s">
        <v>512</v>
      </c>
      <c r="R6" s="280"/>
      <c r="S6" s="299"/>
      <c r="T6" s="280"/>
      <c r="U6" s="280"/>
    </row>
    <row r="7" spans="1:21" ht="63.75" x14ac:dyDescent="0.2">
      <c r="A7" s="282" t="s">
        <v>56</v>
      </c>
      <c r="B7" s="282" t="s">
        <v>31</v>
      </c>
      <c r="C7" s="283" t="s">
        <v>506</v>
      </c>
      <c r="D7" s="284" t="s">
        <v>57</v>
      </c>
      <c r="E7" s="284" t="s">
        <v>58</v>
      </c>
      <c r="F7" s="284" t="s">
        <v>59</v>
      </c>
      <c r="G7" s="284" t="s">
        <v>60</v>
      </c>
      <c r="H7" s="284" t="s">
        <v>61</v>
      </c>
      <c r="I7" s="284" t="s">
        <v>62</v>
      </c>
      <c r="J7" s="284" t="s">
        <v>63</v>
      </c>
      <c r="K7" s="284" t="s">
        <v>64</v>
      </c>
      <c r="L7" s="284" t="s">
        <v>65</v>
      </c>
      <c r="M7" s="284" t="s">
        <v>66</v>
      </c>
      <c r="N7" s="283" t="s">
        <v>513</v>
      </c>
      <c r="P7" s="284" t="str">
        <f>+L7</f>
        <v>Schedule 142
Decoupling</v>
      </c>
      <c r="Q7" s="284" t="str">
        <f>+P7</f>
        <v>Schedule 142
Decoupling</v>
      </c>
      <c r="R7" s="283" t="s">
        <v>514</v>
      </c>
      <c r="S7" s="300"/>
      <c r="T7" s="283" t="s">
        <v>515</v>
      </c>
      <c r="U7" s="283" t="s">
        <v>516</v>
      </c>
    </row>
    <row r="8" spans="1:21" x14ac:dyDescent="0.2">
      <c r="A8" s="285">
        <v>1</v>
      </c>
      <c r="B8" s="286">
        <v>7</v>
      </c>
      <c r="C8" s="342">
        <v>10637302000</v>
      </c>
      <c r="D8" s="343">
        <v>1159444000</v>
      </c>
      <c r="E8" s="343">
        <v>0</v>
      </c>
      <c r="F8" s="343">
        <v>-26498000</v>
      </c>
      <c r="G8" s="343">
        <v>64622000</v>
      </c>
      <c r="H8" s="343">
        <v>9967000</v>
      </c>
      <c r="I8" s="343">
        <v>-3681000</v>
      </c>
      <c r="J8" s="343">
        <v>-372000</v>
      </c>
      <c r="K8" s="343">
        <v>38337000</v>
      </c>
      <c r="L8" s="343">
        <v>12775000</v>
      </c>
      <c r="M8" s="343">
        <v>-78780000</v>
      </c>
      <c r="N8" s="302">
        <f>SUM(D8:M8)</f>
        <v>1175814000</v>
      </c>
      <c r="P8" s="302">
        <f>-L8</f>
        <v>-12775000</v>
      </c>
      <c r="Q8" s="340">
        <f>+'Sch 142 Impacts'!L9</f>
        <v>-13158000</v>
      </c>
      <c r="R8" s="302">
        <f>SUM(P8:Q8)</f>
        <v>-25933000</v>
      </c>
      <c r="S8" s="303"/>
      <c r="T8" s="302">
        <f>SUM(R8,N8)</f>
        <v>1149881000</v>
      </c>
      <c r="U8" s="304">
        <f>+R8/N8</f>
        <v>-2.2055359095911428E-2</v>
      </c>
    </row>
    <row r="9" spans="1:21" x14ac:dyDescent="0.2">
      <c r="A9" s="285">
        <f t="shared" ref="A9:A37" si="0">+A8+1</f>
        <v>2</v>
      </c>
      <c r="B9" s="290" t="s">
        <v>282</v>
      </c>
      <c r="C9" s="342">
        <v>2067000</v>
      </c>
      <c r="D9" s="343">
        <v>176000</v>
      </c>
      <c r="E9" s="343">
        <v>0</v>
      </c>
      <c r="F9" s="343">
        <v>-4000</v>
      </c>
      <c r="G9" s="343">
        <v>9000</v>
      </c>
      <c r="H9" s="343">
        <v>2000</v>
      </c>
      <c r="I9" s="343">
        <v>-1000</v>
      </c>
      <c r="J9" s="343">
        <v>0</v>
      </c>
      <c r="K9" s="343">
        <v>5000</v>
      </c>
      <c r="L9" s="343">
        <v>3000</v>
      </c>
      <c r="M9" s="343">
        <v>-15000</v>
      </c>
      <c r="N9" s="302">
        <f>SUM(D9:M9)</f>
        <v>175000</v>
      </c>
      <c r="P9" s="302">
        <f>-L9</f>
        <v>-3000</v>
      </c>
      <c r="Q9" s="340">
        <f>+'Sch 142 Impacts'!L10</f>
        <v>3000</v>
      </c>
      <c r="R9" s="302">
        <f>SUM(P9:Q9)</f>
        <v>0</v>
      </c>
      <c r="S9" s="303"/>
      <c r="T9" s="302">
        <f>SUM(R9,N9)</f>
        <v>175000</v>
      </c>
      <c r="U9" s="304">
        <f>+R9/N9</f>
        <v>0</v>
      </c>
    </row>
    <row r="10" spans="1:21" x14ac:dyDescent="0.2">
      <c r="A10" s="285">
        <f t="shared" si="0"/>
        <v>3</v>
      </c>
      <c r="B10" s="291" t="s">
        <v>77</v>
      </c>
      <c r="C10" s="305">
        <f t="shared" ref="C10:N10" si="1">SUM(C8:C9)</f>
        <v>10639369000</v>
      </c>
      <c r="D10" s="306">
        <f t="shared" si="1"/>
        <v>1159620000</v>
      </c>
      <c r="E10" s="306">
        <f t="shared" si="1"/>
        <v>0</v>
      </c>
      <c r="F10" s="306">
        <f t="shared" si="1"/>
        <v>-26502000</v>
      </c>
      <c r="G10" s="306">
        <f t="shared" si="1"/>
        <v>64631000</v>
      </c>
      <c r="H10" s="306">
        <f t="shared" si="1"/>
        <v>9969000</v>
      </c>
      <c r="I10" s="306">
        <f t="shared" si="1"/>
        <v>-3682000</v>
      </c>
      <c r="J10" s="306">
        <f t="shared" si="1"/>
        <v>-372000</v>
      </c>
      <c r="K10" s="306">
        <f t="shared" si="1"/>
        <v>38342000</v>
      </c>
      <c r="L10" s="306">
        <f t="shared" si="1"/>
        <v>12778000</v>
      </c>
      <c r="M10" s="306">
        <f t="shared" si="1"/>
        <v>-78795000</v>
      </c>
      <c r="N10" s="306">
        <f t="shared" si="1"/>
        <v>1175989000</v>
      </c>
      <c r="P10" s="306">
        <f t="shared" ref="P10:Q10" si="2">SUM(P8:P9)</f>
        <v>-12778000</v>
      </c>
      <c r="Q10" s="306">
        <f t="shared" si="2"/>
        <v>-13155000</v>
      </c>
      <c r="R10" s="306">
        <f>SUM(R8:R9)</f>
        <v>-25933000</v>
      </c>
      <c r="S10" s="303"/>
      <c r="T10" s="306">
        <f>SUM(T8:T9)</f>
        <v>1150056000</v>
      </c>
      <c r="U10" s="307">
        <f>+R10/N10</f>
        <v>-2.2052077017727205E-2</v>
      </c>
    </row>
    <row r="11" spans="1:21" x14ac:dyDescent="0.2">
      <c r="A11" s="285">
        <f t="shared" si="0"/>
        <v>4</v>
      </c>
      <c r="B11" s="285"/>
      <c r="C11" s="301"/>
      <c r="D11" s="302"/>
      <c r="E11" s="302"/>
      <c r="F11" s="302"/>
      <c r="G11" s="302"/>
      <c r="H11" s="302"/>
      <c r="I11" s="302"/>
      <c r="J11" s="302"/>
      <c r="K11" s="302"/>
      <c r="L11" s="302"/>
      <c r="M11" s="302"/>
      <c r="N11" s="302"/>
      <c r="P11" s="302"/>
      <c r="Q11" s="302"/>
      <c r="R11" s="302"/>
      <c r="S11" s="303"/>
      <c r="T11" s="302"/>
      <c r="U11" s="304"/>
    </row>
    <row r="12" spans="1:21" x14ac:dyDescent="0.2">
      <c r="A12" s="285">
        <f t="shared" si="0"/>
        <v>5</v>
      </c>
      <c r="B12" s="286">
        <v>8</v>
      </c>
      <c r="C12" s="342">
        <v>253017000</v>
      </c>
      <c r="D12" s="343">
        <v>25376000</v>
      </c>
      <c r="E12" s="343">
        <v>0</v>
      </c>
      <c r="F12" s="343">
        <v>-509000</v>
      </c>
      <c r="G12" s="343">
        <v>1174000</v>
      </c>
      <c r="H12" s="343">
        <v>216000</v>
      </c>
      <c r="I12" s="343">
        <v>-67000</v>
      </c>
      <c r="J12" s="343">
        <v>-7000</v>
      </c>
      <c r="K12" s="343">
        <v>644000</v>
      </c>
      <c r="L12" s="343">
        <v>338000</v>
      </c>
      <c r="M12" s="343">
        <v>-1874000</v>
      </c>
      <c r="N12" s="302">
        <f t="shared" ref="N12:N18" si="3">SUM(D12:M12)</f>
        <v>25291000</v>
      </c>
      <c r="P12" s="302">
        <f t="shared" ref="P12:P18" si="4">-L12</f>
        <v>-338000</v>
      </c>
      <c r="Q12" s="340">
        <f>+'Sch 142 Impacts'!L13</f>
        <v>317000</v>
      </c>
      <c r="R12" s="302">
        <f t="shared" ref="R12:R18" si="5">SUM(P12:Q12)</f>
        <v>-21000</v>
      </c>
      <c r="S12" s="303"/>
      <c r="T12" s="302">
        <f>SUM(R12,N12)</f>
        <v>25270000</v>
      </c>
      <c r="U12" s="304">
        <f t="shared" ref="U12:U19" si="6">+R12/N12</f>
        <v>-8.3033490174370332E-4</v>
      </c>
    </row>
    <row r="13" spans="1:21" x14ac:dyDescent="0.2">
      <c r="A13" s="285">
        <f t="shared" si="0"/>
        <v>6</v>
      </c>
      <c r="B13" s="286">
        <v>24</v>
      </c>
      <c r="C13" s="342">
        <v>2759020000</v>
      </c>
      <c r="D13" s="343">
        <v>276708000</v>
      </c>
      <c r="E13" s="343">
        <v>0</v>
      </c>
      <c r="F13" s="343">
        <v>-5551000</v>
      </c>
      <c r="G13" s="343">
        <v>12805000</v>
      </c>
      <c r="H13" s="343">
        <v>2359000</v>
      </c>
      <c r="I13" s="343">
        <v>-726000</v>
      </c>
      <c r="J13" s="343">
        <v>-77000</v>
      </c>
      <c r="K13" s="343">
        <v>7027000</v>
      </c>
      <c r="L13" s="343">
        <v>3683000</v>
      </c>
      <c r="M13" s="343">
        <v>0</v>
      </c>
      <c r="N13" s="302">
        <f t="shared" si="3"/>
        <v>296228000</v>
      </c>
      <c r="P13" s="302">
        <f t="shared" si="4"/>
        <v>-3683000</v>
      </c>
      <c r="Q13" s="340">
        <f>+'Sch 142 Impacts'!L14</f>
        <v>3452000</v>
      </c>
      <c r="R13" s="302">
        <f t="shared" si="5"/>
        <v>-231000</v>
      </c>
      <c r="S13" s="303"/>
      <c r="T13" s="302">
        <f t="shared" ref="T13:T18" si="7">SUM(R13,N13)</f>
        <v>295997000</v>
      </c>
      <c r="U13" s="304">
        <f t="shared" si="6"/>
        <v>-7.7980474499372105E-4</v>
      </c>
    </row>
    <row r="14" spans="1:21" x14ac:dyDescent="0.2">
      <c r="A14" s="285">
        <f t="shared" si="0"/>
        <v>7</v>
      </c>
      <c r="B14" s="290">
        <v>11</v>
      </c>
      <c r="C14" s="342">
        <v>151312000</v>
      </c>
      <c r="D14" s="343">
        <v>14014000</v>
      </c>
      <c r="E14" s="343">
        <v>0</v>
      </c>
      <c r="F14" s="343">
        <v>-312000</v>
      </c>
      <c r="G14" s="343">
        <v>681000</v>
      </c>
      <c r="H14" s="343">
        <v>120000</v>
      </c>
      <c r="I14" s="343">
        <v>-37000</v>
      </c>
      <c r="J14" s="343">
        <v>-4000</v>
      </c>
      <c r="K14" s="343">
        <v>351000</v>
      </c>
      <c r="L14" s="343">
        <v>202000</v>
      </c>
      <c r="M14" s="343">
        <v>-1121000</v>
      </c>
      <c r="N14" s="302">
        <f t="shared" si="3"/>
        <v>13894000</v>
      </c>
      <c r="P14" s="302">
        <f t="shared" si="4"/>
        <v>-202000</v>
      </c>
      <c r="Q14" s="340">
        <f>+'Sch 142 Impacts'!L15</f>
        <v>213000</v>
      </c>
      <c r="R14" s="302">
        <f t="shared" si="5"/>
        <v>11000</v>
      </c>
      <c r="S14" s="303"/>
      <c r="T14" s="302">
        <f t="shared" si="7"/>
        <v>13905000</v>
      </c>
      <c r="U14" s="304">
        <f t="shared" si="6"/>
        <v>7.9170865121635234E-4</v>
      </c>
    </row>
    <row r="15" spans="1:21" x14ac:dyDescent="0.2">
      <c r="A15" s="285">
        <f t="shared" si="0"/>
        <v>8</v>
      </c>
      <c r="B15" s="290">
        <v>25</v>
      </c>
      <c r="C15" s="342">
        <v>2840201000</v>
      </c>
      <c r="D15" s="343">
        <v>263057000</v>
      </c>
      <c r="E15" s="343">
        <v>0</v>
      </c>
      <c r="F15" s="343">
        <v>-5848000</v>
      </c>
      <c r="G15" s="343">
        <v>12778000</v>
      </c>
      <c r="H15" s="343">
        <v>2255000</v>
      </c>
      <c r="I15" s="343">
        <v>-696000</v>
      </c>
      <c r="J15" s="343">
        <v>-82000</v>
      </c>
      <c r="K15" s="343">
        <v>6584000</v>
      </c>
      <c r="L15" s="343">
        <v>3792000</v>
      </c>
      <c r="M15" s="343">
        <v>0</v>
      </c>
      <c r="N15" s="302">
        <f t="shared" si="3"/>
        <v>281840000</v>
      </c>
      <c r="P15" s="302">
        <f t="shared" si="4"/>
        <v>-3792000</v>
      </c>
      <c r="Q15" s="340">
        <f>+'Sch 142 Impacts'!L16</f>
        <v>3999000</v>
      </c>
      <c r="R15" s="302">
        <f t="shared" si="5"/>
        <v>207000</v>
      </c>
      <c r="S15" s="303"/>
      <c r="T15" s="302">
        <f t="shared" si="7"/>
        <v>282047000</v>
      </c>
      <c r="U15" s="304">
        <f t="shared" si="6"/>
        <v>7.3445926766959972E-4</v>
      </c>
    </row>
    <row r="16" spans="1:21" x14ac:dyDescent="0.2">
      <c r="A16" s="285">
        <f t="shared" si="0"/>
        <v>9</v>
      </c>
      <c r="B16" s="286">
        <v>12</v>
      </c>
      <c r="C16" s="342">
        <v>20054000</v>
      </c>
      <c r="D16" s="343">
        <v>1701000</v>
      </c>
      <c r="E16" s="343">
        <v>0</v>
      </c>
      <c r="F16" s="343">
        <v>-41000</v>
      </c>
      <c r="G16" s="343">
        <v>96000</v>
      </c>
      <c r="H16" s="343">
        <v>14000</v>
      </c>
      <c r="I16" s="343">
        <v>-4000</v>
      </c>
      <c r="J16" s="343">
        <v>-1000</v>
      </c>
      <c r="K16" s="343">
        <v>44000</v>
      </c>
      <c r="L16" s="343">
        <v>-8000</v>
      </c>
      <c r="M16" s="343">
        <v>-149000</v>
      </c>
      <c r="N16" s="302">
        <f t="shared" si="3"/>
        <v>1652000</v>
      </c>
      <c r="P16" s="302">
        <f t="shared" si="4"/>
        <v>8000</v>
      </c>
      <c r="Q16" s="340">
        <f>+'Sch 142 Impacts'!L17+'Sch 142 Impacts'!L19</f>
        <v>-1000</v>
      </c>
      <c r="R16" s="302">
        <f t="shared" si="5"/>
        <v>7000</v>
      </c>
      <c r="S16" s="303"/>
      <c r="T16" s="302">
        <f t="shared" si="7"/>
        <v>1659000</v>
      </c>
      <c r="U16" s="304">
        <f t="shared" si="6"/>
        <v>4.2372881355932203E-3</v>
      </c>
    </row>
    <row r="17" spans="1:21" x14ac:dyDescent="0.2">
      <c r="A17" s="285">
        <f t="shared" si="0"/>
        <v>10</v>
      </c>
      <c r="B17" s="286" t="s">
        <v>78</v>
      </c>
      <c r="C17" s="342">
        <v>1893734000</v>
      </c>
      <c r="D17" s="343">
        <v>160642000</v>
      </c>
      <c r="E17" s="343">
        <v>0</v>
      </c>
      <c r="F17" s="343">
        <v>-3899000</v>
      </c>
      <c r="G17" s="343">
        <v>9090000</v>
      </c>
      <c r="H17" s="343">
        <v>1339000</v>
      </c>
      <c r="I17" s="343">
        <v>-383000</v>
      </c>
      <c r="J17" s="343">
        <v>-57000</v>
      </c>
      <c r="K17" s="343">
        <v>4178000</v>
      </c>
      <c r="L17" s="343">
        <v>-741000</v>
      </c>
      <c r="M17" s="343">
        <v>0</v>
      </c>
      <c r="N17" s="302">
        <f t="shared" si="3"/>
        <v>170169000</v>
      </c>
      <c r="P17" s="302">
        <f t="shared" si="4"/>
        <v>741000</v>
      </c>
      <c r="Q17" s="340">
        <f>+'Sch 142 Impacts'!L18+'Sch 142 Impacts'!L20</f>
        <v>-101000</v>
      </c>
      <c r="R17" s="302">
        <f t="shared" si="5"/>
        <v>640000</v>
      </c>
      <c r="S17" s="303"/>
      <c r="T17" s="302">
        <f t="shared" si="7"/>
        <v>170809000</v>
      </c>
      <c r="U17" s="304">
        <f t="shared" si="6"/>
        <v>3.760967038649813E-3</v>
      </c>
    </row>
    <row r="18" spans="1:21" x14ac:dyDescent="0.2">
      <c r="A18" s="285">
        <f t="shared" si="0"/>
        <v>11</v>
      </c>
      <c r="B18" s="286">
        <v>29</v>
      </c>
      <c r="C18" s="342">
        <v>16193000</v>
      </c>
      <c r="D18" s="343">
        <v>1323000</v>
      </c>
      <c r="E18" s="343">
        <v>0</v>
      </c>
      <c r="F18" s="343">
        <v>-35000</v>
      </c>
      <c r="G18" s="343">
        <v>74000</v>
      </c>
      <c r="H18" s="343">
        <v>12000</v>
      </c>
      <c r="I18" s="343">
        <v>-4000</v>
      </c>
      <c r="J18" s="343">
        <v>0</v>
      </c>
      <c r="K18" s="343">
        <v>38000</v>
      </c>
      <c r="L18" s="343">
        <v>22000</v>
      </c>
      <c r="M18" s="343">
        <v>-120000</v>
      </c>
      <c r="N18" s="302">
        <f t="shared" si="3"/>
        <v>1310000</v>
      </c>
      <c r="P18" s="302">
        <f t="shared" si="4"/>
        <v>-22000</v>
      </c>
      <c r="Q18" s="340">
        <f>+'Sch 142 Impacts'!L21</f>
        <v>23000</v>
      </c>
      <c r="R18" s="302">
        <f t="shared" si="5"/>
        <v>1000</v>
      </c>
      <c r="S18" s="303"/>
      <c r="T18" s="302">
        <f t="shared" si="7"/>
        <v>1311000</v>
      </c>
      <c r="U18" s="304">
        <f t="shared" si="6"/>
        <v>7.6335877862595419E-4</v>
      </c>
    </row>
    <row r="19" spans="1:21" x14ac:dyDescent="0.2">
      <c r="A19" s="285">
        <f t="shared" si="0"/>
        <v>12</v>
      </c>
      <c r="B19" s="294" t="s">
        <v>79</v>
      </c>
      <c r="C19" s="305">
        <f t="shared" ref="C19:N19" si="8">SUM(C12:C18)</f>
        <v>7933531000</v>
      </c>
      <c r="D19" s="306">
        <f t="shared" si="8"/>
        <v>742821000</v>
      </c>
      <c r="E19" s="306">
        <f t="shared" si="8"/>
        <v>0</v>
      </c>
      <c r="F19" s="306">
        <f t="shared" si="8"/>
        <v>-16195000</v>
      </c>
      <c r="G19" s="306">
        <f t="shared" si="8"/>
        <v>36698000</v>
      </c>
      <c r="H19" s="306">
        <f t="shared" si="8"/>
        <v>6315000</v>
      </c>
      <c r="I19" s="306">
        <f t="shared" si="8"/>
        <v>-1917000</v>
      </c>
      <c r="J19" s="306">
        <f t="shared" si="8"/>
        <v>-228000</v>
      </c>
      <c r="K19" s="306">
        <f t="shared" si="8"/>
        <v>18866000</v>
      </c>
      <c r="L19" s="306">
        <f t="shared" si="8"/>
        <v>7288000</v>
      </c>
      <c r="M19" s="306">
        <f t="shared" si="8"/>
        <v>-3264000</v>
      </c>
      <c r="N19" s="306">
        <f t="shared" si="8"/>
        <v>790384000</v>
      </c>
      <c r="P19" s="306">
        <f t="shared" ref="P19:R19" si="9">SUM(P12:P18)</f>
        <v>-7288000</v>
      </c>
      <c r="Q19" s="306">
        <f t="shared" si="9"/>
        <v>7902000</v>
      </c>
      <c r="R19" s="306">
        <f t="shared" si="9"/>
        <v>614000</v>
      </c>
      <c r="S19" s="303"/>
      <c r="T19" s="306">
        <f>SUM(T12:T18)</f>
        <v>790998000</v>
      </c>
      <c r="U19" s="307">
        <f t="shared" si="6"/>
        <v>7.7683758780542115E-4</v>
      </c>
    </row>
    <row r="20" spans="1:21" x14ac:dyDescent="0.2">
      <c r="A20" s="285">
        <f t="shared" si="0"/>
        <v>13</v>
      </c>
      <c r="B20" s="285"/>
      <c r="C20" s="301"/>
      <c r="D20" s="302"/>
      <c r="E20" s="302"/>
      <c r="F20" s="302"/>
      <c r="G20" s="302"/>
      <c r="H20" s="302"/>
      <c r="I20" s="302"/>
      <c r="J20" s="302"/>
      <c r="K20" s="302"/>
      <c r="L20" s="302"/>
      <c r="M20" s="302"/>
      <c r="N20" s="302"/>
      <c r="P20" s="302"/>
      <c r="Q20" s="302"/>
      <c r="R20" s="302"/>
      <c r="S20" s="303"/>
      <c r="T20" s="302"/>
      <c r="U20" s="304"/>
    </row>
    <row r="21" spans="1:21" x14ac:dyDescent="0.2">
      <c r="A21" s="285">
        <f t="shared" si="0"/>
        <v>14</v>
      </c>
      <c r="B21" s="286">
        <v>10</v>
      </c>
      <c r="C21" s="342">
        <v>30336000</v>
      </c>
      <c r="D21" s="343">
        <v>2531000</v>
      </c>
      <c r="E21" s="343">
        <v>0</v>
      </c>
      <c r="F21" s="343">
        <v>-61000</v>
      </c>
      <c r="G21" s="343">
        <v>138000</v>
      </c>
      <c r="H21" s="343">
        <v>21000</v>
      </c>
      <c r="I21" s="343">
        <v>-7000</v>
      </c>
      <c r="J21" s="343">
        <v>-1000</v>
      </c>
      <c r="K21" s="343">
        <v>67000</v>
      </c>
      <c r="L21" s="343">
        <v>-3000</v>
      </c>
      <c r="M21" s="343">
        <v>-225000</v>
      </c>
      <c r="N21" s="302">
        <f>SUM(D21:M21)</f>
        <v>2460000</v>
      </c>
      <c r="P21" s="302">
        <f>-L21</f>
        <v>3000</v>
      </c>
      <c r="Q21" s="340">
        <f>+'Sch 142 Impacts'!L24+'Sch 142 Impacts'!L26</f>
        <v>-7000</v>
      </c>
      <c r="R21" s="302">
        <f>SUM(P21:Q21)</f>
        <v>-4000</v>
      </c>
      <c r="S21" s="303"/>
      <c r="T21" s="302">
        <f>SUM(R21,N21)</f>
        <v>2456000</v>
      </c>
      <c r="U21" s="304">
        <f t="shared" ref="U21:U25" si="10">+R21/N21</f>
        <v>-1.6260162601626016E-3</v>
      </c>
    </row>
    <row r="22" spans="1:21" x14ac:dyDescent="0.2">
      <c r="A22" s="285">
        <f t="shared" si="0"/>
        <v>15</v>
      </c>
      <c r="B22" s="286">
        <v>31</v>
      </c>
      <c r="C22" s="342">
        <v>1286336000</v>
      </c>
      <c r="D22" s="343">
        <v>107316000</v>
      </c>
      <c r="E22" s="343">
        <v>0</v>
      </c>
      <c r="F22" s="343">
        <v>-2579000</v>
      </c>
      <c r="G22" s="343">
        <v>5855000</v>
      </c>
      <c r="H22" s="343">
        <v>895000</v>
      </c>
      <c r="I22" s="343">
        <v>-306000</v>
      </c>
      <c r="J22" s="343">
        <v>-36000</v>
      </c>
      <c r="K22" s="343">
        <v>2827000</v>
      </c>
      <c r="L22" s="343">
        <v>-127000</v>
      </c>
      <c r="M22" s="343">
        <v>0</v>
      </c>
      <c r="N22" s="302">
        <f>SUM(D22:M22)</f>
        <v>113845000</v>
      </c>
      <c r="P22" s="302">
        <f>-L22</f>
        <v>127000</v>
      </c>
      <c r="Q22" s="340">
        <f>+'Sch 142 Impacts'!L25+'Sch 142 Impacts'!L27</f>
        <v>-326000</v>
      </c>
      <c r="R22" s="302">
        <f>SUM(P22:Q22)</f>
        <v>-199000</v>
      </c>
      <c r="S22" s="303"/>
      <c r="T22" s="302">
        <f t="shared" ref="T22:T24" si="11">SUM(R22,N22)</f>
        <v>113646000</v>
      </c>
      <c r="U22" s="304">
        <f t="shared" si="10"/>
        <v>-1.7479906890948218E-3</v>
      </c>
    </row>
    <row r="23" spans="1:21" x14ac:dyDescent="0.2">
      <c r="A23" s="285">
        <f t="shared" si="0"/>
        <v>16</v>
      </c>
      <c r="B23" s="286">
        <v>35</v>
      </c>
      <c r="C23" s="342">
        <v>5161000</v>
      </c>
      <c r="D23" s="343">
        <v>306000</v>
      </c>
      <c r="E23" s="343">
        <v>0</v>
      </c>
      <c r="F23" s="343">
        <v>-7000</v>
      </c>
      <c r="G23" s="343">
        <v>16000</v>
      </c>
      <c r="H23" s="343">
        <v>2000</v>
      </c>
      <c r="I23" s="343">
        <v>-1000</v>
      </c>
      <c r="J23" s="343">
        <v>0</v>
      </c>
      <c r="K23" s="343">
        <v>11000</v>
      </c>
      <c r="L23" s="343">
        <v>7000</v>
      </c>
      <c r="M23" s="343">
        <v>-38000</v>
      </c>
      <c r="N23" s="302">
        <f>SUM(D23:M23)</f>
        <v>296000</v>
      </c>
      <c r="P23" s="302">
        <f>-L23</f>
        <v>-7000</v>
      </c>
      <c r="Q23" s="340">
        <f>+'Sch 142 Impacts'!L28</f>
        <v>7000</v>
      </c>
      <c r="R23" s="302">
        <f>SUM(P23:Q23)</f>
        <v>0</v>
      </c>
      <c r="S23" s="303"/>
      <c r="T23" s="302">
        <f t="shared" si="11"/>
        <v>296000</v>
      </c>
      <c r="U23" s="304">
        <f t="shared" si="10"/>
        <v>0</v>
      </c>
    </row>
    <row r="24" spans="1:21" x14ac:dyDescent="0.2">
      <c r="A24" s="285">
        <f t="shared" si="0"/>
        <v>17</v>
      </c>
      <c r="B24" s="286">
        <v>43</v>
      </c>
      <c r="C24" s="342">
        <v>123190000</v>
      </c>
      <c r="D24" s="343">
        <v>11211000</v>
      </c>
      <c r="E24" s="343">
        <v>0</v>
      </c>
      <c r="F24" s="343">
        <v>-223000</v>
      </c>
      <c r="G24" s="343">
        <v>524000</v>
      </c>
      <c r="H24" s="343">
        <v>95000</v>
      </c>
      <c r="I24" s="343">
        <v>-29000</v>
      </c>
      <c r="J24" s="343">
        <v>-3000</v>
      </c>
      <c r="K24" s="343">
        <v>464000</v>
      </c>
      <c r="L24" s="343">
        <v>164000</v>
      </c>
      <c r="M24" s="343">
        <v>0</v>
      </c>
      <c r="N24" s="302">
        <f>SUM(D24:M24)</f>
        <v>12203000</v>
      </c>
      <c r="P24" s="302">
        <f>-L24</f>
        <v>-164000</v>
      </c>
      <c r="Q24" s="340">
        <f>+'Sch 142 Impacts'!L29</f>
        <v>173000</v>
      </c>
      <c r="R24" s="302">
        <f>SUM(P24:Q24)</f>
        <v>9000</v>
      </c>
      <c r="S24" s="303"/>
      <c r="T24" s="302">
        <f t="shared" si="11"/>
        <v>12212000</v>
      </c>
      <c r="U24" s="304">
        <f t="shared" si="10"/>
        <v>7.375235597803819E-4</v>
      </c>
    </row>
    <row r="25" spans="1:21" x14ac:dyDescent="0.2">
      <c r="A25" s="285">
        <f t="shared" si="0"/>
        <v>18</v>
      </c>
      <c r="B25" s="291" t="s">
        <v>80</v>
      </c>
      <c r="C25" s="305">
        <f t="shared" ref="C25:N25" si="12">SUM(C21:C24)</f>
        <v>1445023000</v>
      </c>
      <c r="D25" s="306">
        <f t="shared" si="12"/>
        <v>121364000</v>
      </c>
      <c r="E25" s="306">
        <f t="shared" si="12"/>
        <v>0</v>
      </c>
      <c r="F25" s="306">
        <f t="shared" si="12"/>
        <v>-2870000</v>
      </c>
      <c r="G25" s="306">
        <f t="shared" si="12"/>
        <v>6533000</v>
      </c>
      <c r="H25" s="306">
        <f t="shared" si="12"/>
        <v>1013000</v>
      </c>
      <c r="I25" s="306">
        <f t="shared" si="12"/>
        <v>-343000</v>
      </c>
      <c r="J25" s="306">
        <f t="shared" si="12"/>
        <v>-40000</v>
      </c>
      <c r="K25" s="306">
        <f t="shared" si="12"/>
        <v>3369000</v>
      </c>
      <c r="L25" s="306">
        <f t="shared" si="12"/>
        <v>41000</v>
      </c>
      <c r="M25" s="306">
        <f t="shared" si="12"/>
        <v>-263000</v>
      </c>
      <c r="N25" s="306">
        <f t="shared" si="12"/>
        <v>128804000</v>
      </c>
      <c r="P25" s="306">
        <f t="shared" ref="P25:T25" si="13">SUM(P21:P24)</f>
        <v>-41000</v>
      </c>
      <c r="Q25" s="306">
        <f t="shared" si="13"/>
        <v>-153000</v>
      </c>
      <c r="R25" s="306">
        <f t="shared" si="13"/>
        <v>-194000</v>
      </c>
      <c r="S25" s="303"/>
      <c r="T25" s="306">
        <f t="shared" si="13"/>
        <v>128610000</v>
      </c>
      <c r="U25" s="307">
        <f t="shared" si="10"/>
        <v>-1.506164404832148E-3</v>
      </c>
    </row>
    <row r="26" spans="1:21" x14ac:dyDescent="0.2">
      <c r="A26" s="285">
        <f t="shared" si="0"/>
        <v>19</v>
      </c>
      <c r="B26" s="285"/>
      <c r="C26" s="301"/>
      <c r="D26" s="302"/>
      <c r="E26" s="302"/>
      <c r="F26" s="302"/>
      <c r="G26" s="302"/>
      <c r="H26" s="302"/>
      <c r="I26" s="302"/>
      <c r="J26" s="302"/>
      <c r="K26" s="302"/>
      <c r="L26" s="302"/>
      <c r="M26" s="302"/>
      <c r="N26" s="302"/>
      <c r="P26" s="302"/>
      <c r="Q26" s="302"/>
      <c r="R26" s="302"/>
      <c r="S26" s="303"/>
      <c r="T26" s="302"/>
      <c r="U26" s="304"/>
    </row>
    <row r="27" spans="1:21" x14ac:dyDescent="0.2">
      <c r="A27" s="285">
        <f t="shared" si="0"/>
        <v>20</v>
      </c>
      <c r="B27" s="286">
        <v>40</v>
      </c>
      <c r="C27" s="344">
        <v>679072000</v>
      </c>
      <c r="D27" s="345">
        <v>51132000</v>
      </c>
      <c r="E27" s="345">
        <v>0</v>
      </c>
      <c r="F27" s="345">
        <v>-1446000</v>
      </c>
      <c r="G27" s="345">
        <v>3492000</v>
      </c>
      <c r="H27" s="345">
        <v>455000</v>
      </c>
      <c r="I27" s="345">
        <v>-89000</v>
      </c>
      <c r="J27" s="345">
        <v>-20000</v>
      </c>
      <c r="K27" s="345">
        <v>1596000</v>
      </c>
      <c r="L27" s="345">
        <v>907000</v>
      </c>
      <c r="M27" s="345">
        <v>0</v>
      </c>
      <c r="N27" s="306">
        <f>SUM(D27:M27)</f>
        <v>56027000</v>
      </c>
      <c r="P27" s="306">
        <f>-L27</f>
        <v>-907000</v>
      </c>
      <c r="Q27" s="341">
        <f>+'Sch 142 Impacts'!L32</f>
        <v>1221000</v>
      </c>
      <c r="R27" s="306">
        <f>SUM(P27:Q27)</f>
        <v>314000</v>
      </c>
      <c r="S27" s="303"/>
      <c r="T27" s="306">
        <f>SUM(R27,N27)</f>
        <v>56341000</v>
      </c>
      <c r="U27" s="307">
        <f>+R27/N27</f>
        <v>5.6044407160833172E-3</v>
      </c>
    </row>
    <row r="28" spans="1:21" x14ac:dyDescent="0.2">
      <c r="A28" s="285">
        <f t="shared" si="0"/>
        <v>21</v>
      </c>
      <c r="B28" s="286"/>
      <c r="C28" s="301"/>
      <c r="D28" s="302"/>
      <c r="E28" s="302"/>
      <c r="F28" s="302"/>
      <c r="G28" s="302"/>
      <c r="H28" s="302"/>
      <c r="I28" s="302"/>
      <c r="J28" s="302"/>
      <c r="K28" s="302"/>
      <c r="L28" s="302"/>
      <c r="M28" s="302"/>
      <c r="N28" s="302"/>
      <c r="P28" s="302"/>
      <c r="Q28" s="302"/>
      <c r="R28" s="302"/>
      <c r="S28" s="303"/>
      <c r="T28" s="302"/>
      <c r="U28" s="304"/>
    </row>
    <row r="29" spans="1:21" x14ac:dyDescent="0.2">
      <c r="A29" s="285">
        <f t="shared" si="0"/>
        <v>22</v>
      </c>
      <c r="B29" s="286">
        <v>46</v>
      </c>
      <c r="C29" s="342">
        <v>72776000</v>
      </c>
      <c r="D29" s="343">
        <v>4993000</v>
      </c>
      <c r="E29" s="343">
        <v>0</v>
      </c>
      <c r="F29" s="343">
        <v>-75000</v>
      </c>
      <c r="G29" s="343">
        <v>212000</v>
      </c>
      <c r="H29" s="343">
        <v>44000</v>
      </c>
      <c r="I29" s="343">
        <v>-8000</v>
      </c>
      <c r="J29" s="343">
        <v>-1000</v>
      </c>
      <c r="K29" s="343">
        <v>107000</v>
      </c>
      <c r="L29" s="343">
        <v>97000</v>
      </c>
      <c r="M29" s="343">
        <v>0</v>
      </c>
      <c r="N29" s="302">
        <f>SUM(D29:M29)</f>
        <v>5369000</v>
      </c>
      <c r="P29" s="302">
        <f>-L29</f>
        <v>-97000</v>
      </c>
      <c r="Q29" s="340">
        <f>+'Sch 142 Impacts'!L34</f>
        <v>96000</v>
      </c>
      <c r="R29" s="302">
        <f>SUM(P29:Q29)</f>
        <v>-1000</v>
      </c>
      <c r="S29" s="303"/>
      <c r="T29" s="302">
        <f>SUM(R29,N29)</f>
        <v>5368000</v>
      </c>
      <c r="U29" s="304">
        <f t="shared" ref="U29:U31" si="14">+R29/N29</f>
        <v>-1.8625442354255913E-4</v>
      </c>
    </row>
    <row r="30" spans="1:21" x14ac:dyDescent="0.2">
      <c r="A30" s="285">
        <f t="shared" si="0"/>
        <v>23</v>
      </c>
      <c r="B30" s="286">
        <v>49</v>
      </c>
      <c r="C30" s="342">
        <v>584007000</v>
      </c>
      <c r="D30" s="343">
        <v>39323000</v>
      </c>
      <c r="E30" s="343">
        <v>0</v>
      </c>
      <c r="F30" s="343">
        <v>-1190000</v>
      </c>
      <c r="G30" s="343">
        <v>2585000</v>
      </c>
      <c r="H30" s="343">
        <v>336000</v>
      </c>
      <c r="I30" s="343">
        <v>-64000</v>
      </c>
      <c r="J30" s="343">
        <v>-16000</v>
      </c>
      <c r="K30" s="343">
        <v>856000</v>
      </c>
      <c r="L30" s="343">
        <v>780000</v>
      </c>
      <c r="M30" s="343">
        <v>0</v>
      </c>
      <c r="N30" s="302">
        <f>SUM(D30:M30)</f>
        <v>42610000</v>
      </c>
      <c r="P30" s="302">
        <f>-L30</f>
        <v>-780000</v>
      </c>
      <c r="Q30" s="340">
        <f>+'Sch 142 Impacts'!L35</f>
        <v>773000</v>
      </c>
      <c r="R30" s="302">
        <f>SUM(P30:Q30)</f>
        <v>-7000</v>
      </c>
      <c r="S30" s="303"/>
      <c r="T30" s="302">
        <f>SUM(R30,N30)</f>
        <v>42603000</v>
      </c>
      <c r="U30" s="304">
        <f t="shared" si="14"/>
        <v>-1.6428068528514432E-4</v>
      </c>
    </row>
    <row r="31" spans="1:21" x14ac:dyDescent="0.2">
      <c r="A31" s="285">
        <f t="shared" si="0"/>
        <v>24</v>
      </c>
      <c r="B31" s="291" t="s">
        <v>81</v>
      </c>
      <c r="C31" s="305">
        <f t="shared" ref="C31:N31" si="15">SUM(C29:C30)</f>
        <v>656783000</v>
      </c>
      <c r="D31" s="306">
        <f t="shared" si="15"/>
        <v>44316000</v>
      </c>
      <c r="E31" s="306">
        <f t="shared" si="15"/>
        <v>0</v>
      </c>
      <c r="F31" s="306">
        <f t="shared" si="15"/>
        <v>-1265000</v>
      </c>
      <c r="G31" s="306">
        <f t="shared" si="15"/>
        <v>2797000</v>
      </c>
      <c r="H31" s="306">
        <f t="shared" si="15"/>
        <v>380000</v>
      </c>
      <c r="I31" s="306">
        <f t="shared" si="15"/>
        <v>-72000</v>
      </c>
      <c r="J31" s="306">
        <f t="shared" si="15"/>
        <v>-17000</v>
      </c>
      <c r="K31" s="306">
        <f t="shared" si="15"/>
        <v>963000</v>
      </c>
      <c r="L31" s="306">
        <f t="shared" si="15"/>
        <v>877000</v>
      </c>
      <c r="M31" s="306">
        <f t="shared" si="15"/>
        <v>0</v>
      </c>
      <c r="N31" s="306">
        <f t="shared" si="15"/>
        <v>47979000</v>
      </c>
      <c r="P31" s="306">
        <f t="shared" ref="P31:T31" si="16">SUM(P29:P30)</f>
        <v>-877000</v>
      </c>
      <c r="Q31" s="306">
        <f t="shared" si="16"/>
        <v>869000</v>
      </c>
      <c r="R31" s="306">
        <f t="shared" si="16"/>
        <v>-8000</v>
      </c>
      <c r="S31" s="303"/>
      <c r="T31" s="306">
        <f t="shared" si="16"/>
        <v>47971000</v>
      </c>
      <c r="U31" s="307">
        <f t="shared" si="14"/>
        <v>-1.6673961524833782E-4</v>
      </c>
    </row>
    <row r="32" spans="1:21" x14ac:dyDescent="0.2">
      <c r="A32" s="285">
        <f t="shared" si="0"/>
        <v>25</v>
      </c>
      <c r="B32" s="286"/>
      <c r="C32" s="301"/>
      <c r="D32" s="302"/>
      <c r="E32" s="302"/>
      <c r="F32" s="302"/>
      <c r="G32" s="302"/>
      <c r="H32" s="302"/>
      <c r="I32" s="302"/>
      <c r="J32" s="302"/>
      <c r="K32" s="302"/>
      <c r="L32" s="302"/>
      <c r="M32" s="302"/>
      <c r="N32" s="302"/>
      <c r="P32" s="302"/>
      <c r="Q32" s="302"/>
      <c r="R32" s="302"/>
      <c r="S32" s="303"/>
      <c r="T32" s="302"/>
      <c r="U32" s="304"/>
    </row>
    <row r="33" spans="1:21" x14ac:dyDescent="0.2">
      <c r="A33" s="285">
        <f t="shared" si="0"/>
        <v>26</v>
      </c>
      <c r="B33" s="286" t="s">
        <v>82</v>
      </c>
      <c r="C33" s="344">
        <v>76506000</v>
      </c>
      <c r="D33" s="345">
        <v>18910000</v>
      </c>
      <c r="E33" s="345">
        <v>0</v>
      </c>
      <c r="F33" s="345">
        <v>-194000</v>
      </c>
      <c r="G33" s="345">
        <v>480000</v>
      </c>
      <c r="H33" s="345">
        <v>166000</v>
      </c>
      <c r="I33" s="345">
        <v>-107000</v>
      </c>
      <c r="J33" s="345">
        <v>-3000</v>
      </c>
      <c r="K33" s="345">
        <v>783000</v>
      </c>
      <c r="L33" s="345">
        <v>0</v>
      </c>
      <c r="M33" s="345">
        <v>-15000</v>
      </c>
      <c r="N33" s="306">
        <f>SUM(D33:M33)</f>
        <v>20020000</v>
      </c>
      <c r="P33" s="306">
        <f>-L33</f>
        <v>0</v>
      </c>
      <c r="Q33" s="341">
        <f>+'Sch 142 Impacts'!L38</f>
        <v>0</v>
      </c>
      <c r="R33" s="306">
        <f>SUM(P33:Q33)</f>
        <v>0</v>
      </c>
      <c r="S33" s="303"/>
      <c r="T33" s="306">
        <f>SUM(R33,N33)</f>
        <v>20020000</v>
      </c>
      <c r="U33" s="307">
        <f>+R33/N33</f>
        <v>0</v>
      </c>
    </row>
    <row r="34" spans="1:21" x14ac:dyDescent="0.2">
      <c r="A34" s="285">
        <f t="shared" si="0"/>
        <v>27</v>
      </c>
      <c r="B34" s="286"/>
      <c r="C34" s="301"/>
      <c r="D34" s="302"/>
      <c r="E34" s="302"/>
      <c r="F34" s="302"/>
      <c r="G34" s="302"/>
      <c r="H34" s="302"/>
      <c r="I34" s="302"/>
      <c r="J34" s="302"/>
      <c r="K34" s="302"/>
      <c r="L34" s="302"/>
      <c r="M34" s="302"/>
      <c r="N34" s="302"/>
      <c r="P34" s="302"/>
      <c r="Q34" s="302"/>
      <c r="R34" s="302"/>
      <c r="S34" s="303"/>
      <c r="T34" s="302"/>
      <c r="U34" s="304"/>
    </row>
    <row r="35" spans="1:21" x14ac:dyDescent="0.2">
      <c r="A35" s="285">
        <f t="shared" si="0"/>
        <v>28</v>
      </c>
      <c r="B35" s="286" t="s">
        <v>83</v>
      </c>
      <c r="C35" s="344">
        <v>2088697000</v>
      </c>
      <c r="D35" s="345">
        <v>8505000</v>
      </c>
      <c r="E35" s="345">
        <v>0</v>
      </c>
      <c r="F35" s="345">
        <v>0</v>
      </c>
      <c r="G35" s="345">
        <v>2260000</v>
      </c>
      <c r="H35" s="345">
        <v>69000</v>
      </c>
      <c r="I35" s="345">
        <v>-58000</v>
      </c>
      <c r="J35" s="345">
        <v>0</v>
      </c>
      <c r="K35" s="345">
        <v>625000</v>
      </c>
      <c r="L35" s="345">
        <v>0</v>
      </c>
      <c r="M35" s="345">
        <v>0</v>
      </c>
      <c r="N35" s="306">
        <f>SUM(D35:M35)</f>
        <v>11401000</v>
      </c>
      <c r="P35" s="306">
        <f>-L35</f>
        <v>0</v>
      </c>
      <c r="Q35" s="341">
        <f>+'Sch 142 Impacts'!L40</f>
        <v>0</v>
      </c>
      <c r="R35" s="306">
        <f>SUM(P35:Q35)</f>
        <v>0</v>
      </c>
      <c r="S35" s="303"/>
      <c r="T35" s="306">
        <f>SUM(R35,N35)</f>
        <v>11401000</v>
      </c>
      <c r="U35" s="307">
        <f>+R35/N35</f>
        <v>0</v>
      </c>
    </row>
    <row r="36" spans="1:21" x14ac:dyDescent="0.2">
      <c r="A36" s="285">
        <f t="shared" si="0"/>
        <v>29</v>
      </c>
      <c r="B36" s="286"/>
      <c r="C36" s="301"/>
      <c r="D36" s="302"/>
      <c r="E36" s="302"/>
      <c r="F36" s="302"/>
      <c r="G36" s="302"/>
      <c r="H36" s="302"/>
      <c r="I36" s="302"/>
      <c r="J36" s="302"/>
      <c r="K36" s="302"/>
      <c r="L36" s="302"/>
      <c r="M36" s="302"/>
      <c r="N36" s="302"/>
      <c r="P36" s="302"/>
      <c r="Q36" s="302"/>
      <c r="R36" s="302"/>
      <c r="S36" s="303"/>
      <c r="T36" s="302"/>
      <c r="U36" s="304"/>
    </row>
    <row r="37" spans="1:21" ht="13.5" thickBot="1" x14ac:dyDescent="0.25">
      <c r="A37" s="285">
        <f t="shared" si="0"/>
        <v>30</v>
      </c>
      <c r="B37" s="291" t="s">
        <v>84</v>
      </c>
      <c r="C37" s="308">
        <f t="shared" ref="C37:N37" si="17">SUM(C10,C19,C25,C27,C31,C33,C35)</f>
        <v>23518981000</v>
      </c>
      <c r="D37" s="309">
        <f t="shared" si="17"/>
        <v>2146668000</v>
      </c>
      <c r="E37" s="309">
        <f t="shared" si="17"/>
        <v>0</v>
      </c>
      <c r="F37" s="309">
        <f t="shared" si="17"/>
        <v>-48472000</v>
      </c>
      <c r="G37" s="309">
        <f t="shared" si="17"/>
        <v>116891000</v>
      </c>
      <c r="H37" s="309">
        <f t="shared" si="17"/>
        <v>18367000</v>
      </c>
      <c r="I37" s="309">
        <f t="shared" si="17"/>
        <v>-6268000</v>
      </c>
      <c r="J37" s="309">
        <f t="shared" si="17"/>
        <v>-680000</v>
      </c>
      <c r="K37" s="309">
        <f t="shared" si="17"/>
        <v>64544000</v>
      </c>
      <c r="L37" s="309">
        <f t="shared" si="17"/>
        <v>21891000</v>
      </c>
      <c r="M37" s="309">
        <f t="shared" si="17"/>
        <v>-82337000</v>
      </c>
      <c r="N37" s="309">
        <f t="shared" si="17"/>
        <v>2230604000</v>
      </c>
      <c r="P37" s="309">
        <f t="shared" ref="P37:T37" si="18">SUM(P10,P19,P25,P27,P31,P33,P35)</f>
        <v>-21891000</v>
      </c>
      <c r="Q37" s="309">
        <f>SUM(Q10,Q19,Q25,Q27,Q31,Q33,Q35)</f>
        <v>-3316000</v>
      </c>
      <c r="R37" s="309">
        <f t="shared" si="18"/>
        <v>-25207000</v>
      </c>
      <c r="S37" s="303"/>
      <c r="T37" s="309">
        <f t="shared" si="18"/>
        <v>2205397000</v>
      </c>
      <c r="U37" s="310">
        <f>+R37/N37</f>
        <v>-1.1300526673492919E-2</v>
      </c>
    </row>
    <row r="38" spans="1:21" ht="13.5" thickTop="1" x14ac:dyDescent="0.2">
      <c r="D38" s="288"/>
      <c r="N38" s="298"/>
    </row>
  </sheetData>
  <mergeCells count="4">
    <mergeCell ref="A1:U1"/>
    <mergeCell ref="A2:U2"/>
    <mergeCell ref="A3:U3"/>
    <mergeCell ref="A4:U4"/>
  </mergeCells>
  <printOptions horizontalCentered="1"/>
  <pageMargins left="0.25" right="0.25" top="0.75" bottom="0.75" header="0.3" footer="0.3"/>
  <pageSetup scale="52" orientation="landscape" blackAndWhite="1" r:id="rId1"/>
  <headerFooter>
    <oddHeader>&amp;RAdvice No. 2018-xx
Exhibit No. 15</oddHeader>
    <oddFooter>&amp;L&amp;F
&amp;A&amp;R&amp;D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86"/>
  <sheetViews>
    <sheetView zoomScaleNormal="100" workbookViewId="0">
      <selection activeCell="A48" sqref="A48:D48"/>
    </sheetView>
  </sheetViews>
  <sheetFormatPr defaultRowHeight="12.75" x14ac:dyDescent="0.2"/>
  <cols>
    <col min="1" max="1" width="24.85546875" style="277" bestFit="1" customWidth="1"/>
    <col min="2" max="2" width="15.140625" style="277" bestFit="1" customWidth="1"/>
    <col min="3" max="3" width="11.42578125" style="277" bestFit="1" customWidth="1"/>
    <col min="4" max="4" width="8.7109375" style="277" bestFit="1" customWidth="1"/>
    <col min="5" max="5" width="8.5703125" style="277" bestFit="1" customWidth="1"/>
    <col min="6" max="7" width="11.5703125" style="277" bestFit="1" customWidth="1"/>
    <col min="8" max="8" width="9.140625" style="277" bestFit="1" customWidth="1"/>
    <col min="9" max="9" width="7.7109375" style="277" bestFit="1" customWidth="1"/>
    <col min="10" max="12" width="7.85546875" style="277" bestFit="1" customWidth="1"/>
    <col min="13" max="13" width="8.5703125" style="277" bestFit="1" customWidth="1"/>
    <col min="14" max="14" width="10.42578125" style="277" bestFit="1" customWidth="1"/>
    <col min="15" max="16" width="8.5703125" style="277" bestFit="1" customWidth="1"/>
    <col min="17" max="17" width="9.42578125" style="277" customWidth="1"/>
    <col min="18" max="18" width="10.42578125" style="277" bestFit="1" customWidth="1"/>
    <col min="19" max="19" width="10.42578125" style="277" customWidth="1"/>
    <col min="20" max="16384" width="9.140625" style="277"/>
  </cols>
  <sheetData>
    <row r="1" spans="1:19" x14ac:dyDescent="0.2">
      <c r="A1" s="513" t="s">
        <v>0</v>
      </c>
      <c r="B1" s="513"/>
      <c r="C1" s="513"/>
      <c r="D1" s="513"/>
      <c r="E1" s="513"/>
      <c r="F1" s="513"/>
      <c r="G1" s="513"/>
      <c r="H1" s="513"/>
      <c r="I1" s="513"/>
      <c r="J1" s="513"/>
      <c r="K1" s="513"/>
      <c r="L1" s="513"/>
      <c r="M1" s="513"/>
      <c r="N1" s="513"/>
      <c r="O1" s="513"/>
      <c r="P1" s="513"/>
      <c r="Q1" s="513"/>
      <c r="R1" s="513"/>
      <c r="S1" s="513"/>
    </row>
    <row r="2" spans="1:19" x14ac:dyDescent="0.2">
      <c r="A2" s="513" t="str">
        <f>'Delivery Rate Change Calc'!A2:H2</f>
        <v>2018 Electric Decoupling Filing</v>
      </c>
      <c r="B2" s="513"/>
      <c r="C2" s="513"/>
      <c r="D2" s="513"/>
      <c r="E2" s="513"/>
      <c r="F2" s="513"/>
      <c r="G2" s="513"/>
      <c r="H2" s="513"/>
      <c r="I2" s="513"/>
      <c r="J2" s="513"/>
      <c r="K2" s="513"/>
      <c r="L2" s="513"/>
      <c r="M2" s="513"/>
      <c r="N2" s="513"/>
      <c r="O2" s="513"/>
      <c r="P2" s="513"/>
      <c r="Q2" s="513"/>
      <c r="R2" s="513"/>
      <c r="S2" s="513"/>
    </row>
    <row r="3" spans="1:19" x14ac:dyDescent="0.2">
      <c r="A3" s="508" t="s">
        <v>510</v>
      </c>
      <c r="B3" s="513"/>
      <c r="C3" s="513"/>
      <c r="D3" s="513"/>
      <c r="E3" s="513"/>
      <c r="F3" s="513"/>
      <c r="G3" s="513"/>
      <c r="H3" s="513"/>
      <c r="I3" s="513"/>
      <c r="J3" s="513"/>
      <c r="K3" s="513"/>
      <c r="L3" s="513"/>
      <c r="M3" s="513"/>
      <c r="N3" s="513"/>
      <c r="O3" s="513"/>
      <c r="P3" s="513"/>
      <c r="Q3" s="513"/>
      <c r="R3" s="513"/>
      <c r="S3" s="513"/>
    </row>
    <row r="4" spans="1:19" x14ac:dyDescent="0.2">
      <c r="A4" s="513" t="str">
        <f>'Delivery Rate Change Calc'!A4:H4</f>
        <v>Proposed Effective May 1, 2018</v>
      </c>
      <c r="B4" s="513"/>
      <c r="C4" s="513"/>
      <c r="D4" s="513"/>
      <c r="E4" s="513"/>
      <c r="F4" s="513"/>
      <c r="G4" s="513"/>
      <c r="H4" s="513"/>
      <c r="I4" s="513"/>
      <c r="J4" s="513"/>
      <c r="K4" s="513"/>
      <c r="L4" s="513"/>
      <c r="M4" s="513"/>
      <c r="N4" s="513"/>
      <c r="O4" s="513"/>
      <c r="P4" s="513"/>
      <c r="Q4" s="513"/>
      <c r="R4" s="513"/>
      <c r="S4" s="513"/>
    </row>
    <row r="6" spans="1:19" x14ac:dyDescent="0.2">
      <c r="C6" s="515" t="s">
        <v>124</v>
      </c>
      <c r="D6" s="515"/>
      <c r="E6" s="515"/>
      <c r="F6" s="515"/>
      <c r="G6" s="515"/>
      <c r="H6" s="515"/>
      <c r="I6" s="515"/>
      <c r="J6" s="515"/>
      <c r="K6" s="515"/>
      <c r="L6" s="515"/>
      <c r="M6" s="515"/>
      <c r="N6" s="515"/>
    </row>
    <row r="7" spans="1:19" ht="38.25" x14ac:dyDescent="0.2">
      <c r="A7" s="311" t="s">
        <v>125</v>
      </c>
      <c r="B7" s="311" t="s">
        <v>120</v>
      </c>
      <c r="C7" s="312" t="s">
        <v>517</v>
      </c>
      <c r="D7" s="312" t="s">
        <v>518</v>
      </c>
      <c r="E7" s="312" t="s">
        <v>519</v>
      </c>
      <c r="F7" s="312" t="s">
        <v>520</v>
      </c>
      <c r="G7" s="312" t="s">
        <v>521</v>
      </c>
      <c r="H7" s="312" t="s">
        <v>522</v>
      </c>
      <c r="I7" s="312" t="s">
        <v>523</v>
      </c>
      <c r="J7" s="312" t="s">
        <v>524</v>
      </c>
      <c r="K7" s="312" t="s">
        <v>525</v>
      </c>
      <c r="L7" s="312" t="s">
        <v>119</v>
      </c>
      <c r="M7" s="312" t="s">
        <v>526</v>
      </c>
      <c r="N7" s="313" t="s">
        <v>527</v>
      </c>
      <c r="O7" s="313" t="s">
        <v>528</v>
      </c>
      <c r="P7" s="313" t="s">
        <v>529</v>
      </c>
      <c r="Q7" s="312" t="s">
        <v>126</v>
      </c>
      <c r="R7" s="312" t="s">
        <v>530</v>
      </c>
      <c r="S7" s="311" t="s">
        <v>127</v>
      </c>
    </row>
    <row r="8" spans="1:19" x14ac:dyDescent="0.2">
      <c r="A8" s="277" t="s">
        <v>128</v>
      </c>
      <c r="B8" s="314">
        <f>ROUND(+D70,0)</f>
        <v>1215</v>
      </c>
      <c r="C8" s="315">
        <f t="shared" ref="C8:C19" si="0">ROUND($F$34+IF($B8&gt;600,(600*$F$38+(($B8-600)*$F$45)),$B8*$F$38),2)</f>
        <v>130.69</v>
      </c>
      <c r="D8" s="315">
        <f t="shared" ref="D8:D19" si="1">ROUND($B8*$F$56,2)</f>
        <v>0</v>
      </c>
      <c r="E8" s="315">
        <f t="shared" ref="E8:E19" si="2">ROUND($B8*$F$57,2)</f>
        <v>-3.03</v>
      </c>
      <c r="F8" s="315">
        <f t="shared" ref="F8:F19" si="3">ROUND($B8*$F$58,2)</f>
        <v>7.38</v>
      </c>
      <c r="G8" s="315">
        <f t="shared" ref="G8:G19" si="4">ROUND($B8*$F$39,2)</f>
        <v>1.1399999999999999</v>
      </c>
      <c r="H8" s="315">
        <f t="shared" ref="H8:H19" si="5">ROUND($B8*$F$59,2)</f>
        <v>-0.42</v>
      </c>
      <c r="I8" s="315">
        <f t="shared" ref="I8:I19" si="6">ROUND($B8*$F$60,2)</f>
        <v>-0.04</v>
      </c>
      <c r="J8" s="315">
        <f t="shared" ref="J8:J19" si="7">ROUND($B8*$F$40,2)</f>
        <v>4.38</v>
      </c>
      <c r="K8" s="315">
        <f t="shared" ref="K8:K19" si="8">ROUND($F$35+IF($B8&gt;600,(600*$F$41+(($B8-600)*$F$48)),$B8*$F$41),2)</f>
        <v>0</v>
      </c>
      <c r="L8" s="315">
        <f t="shared" ref="L8:L19" si="9">ROUND($B8*$F$42,2)</f>
        <v>1.46</v>
      </c>
      <c r="M8" s="315">
        <f t="shared" ref="M8:M19" si="10">ROUND($B8*$F$52,2)</f>
        <v>-9</v>
      </c>
      <c r="N8" s="315">
        <f>SUM(C8:M8)</f>
        <v>132.56</v>
      </c>
      <c r="O8" s="315">
        <f t="shared" ref="O8:O19" si="11">-L8</f>
        <v>-1.46</v>
      </c>
      <c r="P8" s="315">
        <f>ROUND($B8*$G$42,2)</f>
        <v>-1.5</v>
      </c>
      <c r="Q8" s="316">
        <f t="shared" ref="Q8:Q19" si="12">SUM(O8:P8)</f>
        <v>-2.96</v>
      </c>
      <c r="R8" s="316">
        <f t="shared" ref="R8:R19" si="13">+N8+Q8</f>
        <v>129.6</v>
      </c>
      <c r="S8" s="317">
        <f t="shared" ref="S8:S19" si="14">+Q8/N8</f>
        <v>-2.2329511164755581E-2</v>
      </c>
    </row>
    <row r="9" spans="1:19" x14ac:dyDescent="0.2">
      <c r="A9" s="277" t="s">
        <v>129</v>
      </c>
      <c r="B9" s="314">
        <f t="shared" ref="B9:B19" si="15">ROUND(+D71,0)</f>
        <v>1012</v>
      </c>
      <c r="C9" s="315">
        <f t="shared" si="0"/>
        <v>108.12</v>
      </c>
      <c r="D9" s="315">
        <f t="shared" si="1"/>
        <v>0</v>
      </c>
      <c r="E9" s="315">
        <f t="shared" si="2"/>
        <v>-2.52</v>
      </c>
      <c r="F9" s="315">
        <f t="shared" si="3"/>
        <v>6.15</v>
      </c>
      <c r="G9" s="315">
        <f t="shared" si="4"/>
        <v>0.95</v>
      </c>
      <c r="H9" s="315">
        <f t="shared" si="5"/>
        <v>-0.35</v>
      </c>
      <c r="I9" s="315">
        <f t="shared" si="6"/>
        <v>-0.04</v>
      </c>
      <c r="J9" s="315">
        <f t="shared" si="7"/>
        <v>3.65</v>
      </c>
      <c r="K9" s="315">
        <f t="shared" si="8"/>
        <v>0</v>
      </c>
      <c r="L9" s="315">
        <f t="shared" si="9"/>
        <v>1.22</v>
      </c>
      <c r="M9" s="315">
        <f t="shared" si="10"/>
        <v>-7.49</v>
      </c>
      <c r="N9" s="315">
        <f t="shared" ref="N9:N19" si="16">SUM(C9:M9)</f>
        <v>109.69000000000003</v>
      </c>
      <c r="O9" s="315">
        <f t="shared" si="11"/>
        <v>-1.22</v>
      </c>
      <c r="P9" s="315">
        <f t="shared" ref="P9:P19" si="17">ROUND($B9*$G$42,2)</f>
        <v>-1.25</v>
      </c>
      <c r="Q9" s="316">
        <f t="shared" si="12"/>
        <v>-2.4699999999999998</v>
      </c>
      <c r="R9" s="316">
        <f t="shared" si="13"/>
        <v>107.22000000000003</v>
      </c>
      <c r="S9" s="317">
        <f t="shared" si="14"/>
        <v>-2.2518005287628765E-2</v>
      </c>
    </row>
    <row r="10" spans="1:19" x14ac:dyDescent="0.2">
      <c r="A10" s="277" t="s">
        <v>130</v>
      </c>
      <c r="B10" s="314">
        <f t="shared" si="15"/>
        <v>1006</v>
      </c>
      <c r="C10" s="315">
        <f t="shared" si="0"/>
        <v>107.45</v>
      </c>
      <c r="D10" s="315">
        <f t="shared" si="1"/>
        <v>0</v>
      </c>
      <c r="E10" s="315">
        <f t="shared" si="2"/>
        <v>-2.5099999999999998</v>
      </c>
      <c r="F10" s="315">
        <f t="shared" si="3"/>
        <v>6.11</v>
      </c>
      <c r="G10" s="315">
        <f t="shared" si="4"/>
        <v>0.94</v>
      </c>
      <c r="H10" s="315">
        <f t="shared" si="5"/>
        <v>-0.35</v>
      </c>
      <c r="I10" s="315">
        <f t="shared" si="6"/>
        <v>-0.04</v>
      </c>
      <c r="J10" s="315">
        <f t="shared" si="7"/>
        <v>3.63</v>
      </c>
      <c r="K10" s="315">
        <f t="shared" si="8"/>
        <v>0</v>
      </c>
      <c r="L10" s="315">
        <f t="shared" si="9"/>
        <v>1.21</v>
      </c>
      <c r="M10" s="315">
        <f t="shared" si="10"/>
        <v>-7.45</v>
      </c>
      <c r="N10" s="315">
        <f t="shared" si="16"/>
        <v>108.98999999999998</v>
      </c>
      <c r="O10" s="315">
        <f t="shared" si="11"/>
        <v>-1.21</v>
      </c>
      <c r="P10" s="315">
        <f t="shared" si="17"/>
        <v>-1.24</v>
      </c>
      <c r="Q10" s="316">
        <f t="shared" si="12"/>
        <v>-2.4500000000000002</v>
      </c>
      <c r="R10" s="316">
        <f t="shared" si="13"/>
        <v>106.53999999999998</v>
      </c>
      <c r="S10" s="317">
        <f t="shared" si="14"/>
        <v>-2.2479126525369306E-2</v>
      </c>
    </row>
    <row r="11" spans="1:19" x14ac:dyDescent="0.2">
      <c r="A11" s="277" t="s">
        <v>131</v>
      </c>
      <c r="B11" s="314">
        <f t="shared" si="15"/>
        <v>828</v>
      </c>
      <c r="C11" s="315">
        <f t="shared" si="0"/>
        <v>87.66</v>
      </c>
      <c r="D11" s="315">
        <f t="shared" si="1"/>
        <v>0</v>
      </c>
      <c r="E11" s="315">
        <f t="shared" si="2"/>
        <v>-2.06</v>
      </c>
      <c r="F11" s="315">
        <f t="shared" si="3"/>
        <v>5.03</v>
      </c>
      <c r="G11" s="315">
        <f t="shared" si="4"/>
        <v>0.78</v>
      </c>
      <c r="H11" s="315">
        <f t="shared" si="5"/>
        <v>-0.28999999999999998</v>
      </c>
      <c r="I11" s="315">
        <f t="shared" si="6"/>
        <v>-0.03</v>
      </c>
      <c r="J11" s="315">
        <f t="shared" si="7"/>
        <v>2.98</v>
      </c>
      <c r="K11" s="315">
        <f t="shared" si="8"/>
        <v>0</v>
      </c>
      <c r="L11" s="315">
        <f t="shared" si="9"/>
        <v>0.99</v>
      </c>
      <c r="M11" s="315">
        <f t="shared" si="10"/>
        <v>-6.13</v>
      </c>
      <c r="N11" s="315">
        <f t="shared" si="16"/>
        <v>88.929999999999993</v>
      </c>
      <c r="O11" s="315">
        <f t="shared" si="11"/>
        <v>-0.99</v>
      </c>
      <c r="P11" s="315">
        <f t="shared" si="17"/>
        <v>-1.02</v>
      </c>
      <c r="Q11" s="316">
        <f t="shared" si="12"/>
        <v>-2.0099999999999998</v>
      </c>
      <c r="R11" s="316">
        <f t="shared" si="13"/>
        <v>86.919999999999987</v>
      </c>
      <c r="S11" s="317">
        <f t="shared" si="14"/>
        <v>-2.2602046553469021E-2</v>
      </c>
    </row>
    <row r="12" spans="1:19" x14ac:dyDescent="0.2">
      <c r="A12" s="277" t="s">
        <v>132</v>
      </c>
      <c r="B12" s="314">
        <f t="shared" si="15"/>
        <v>716</v>
      </c>
      <c r="C12" s="315">
        <f t="shared" si="0"/>
        <v>75.209999999999994</v>
      </c>
      <c r="D12" s="315">
        <f t="shared" si="1"/>
        <v>0</v>
      </c>
      <c r="E12" s="315">
        <f t="shared" si="2"/>
        <v>-1.78</v>
      </c>
      <c r="F12" s="315">
        <f t="shared" si="3"/>
        <v>4.3499999999999996</v>
      </c>
      <c r="G12" s="315">
        <f t="shared" si="4"/>
        <v>0.67</v>
      </c>
      <c r="H12" s="315">
        <f t="shared" si="5"/>
        <v>-0.25</v>
      </c>
      <c r="I12" s="315">
        <f t="shared" si="6"/>
        <v>-0.03</v>
      </c>
      <c r="J12" s="315">
        <f t="shared" si="7"/>
        <v>2.58</v>
      </c>
      <c r="K12" s="315">
        <f t="shared" si="8"/>
        <v>0</v>
      </c>
      <c r="L12" s="315">
        <f t="shared" si="9"/>
        <v>0.86</v>
      </c>
      <c r="M12" s="315">
        <f t="shared" si="10"/>
        <v>-5.3</v>
      </c>
      <c r="N12" s="315">
        <f t="shared" si="16"/>
        <v>76.309999999999988</v>
      </c>
      <c r="O12" s="315">
        <f t="shared" si="11"/>
        <v>-0.86</v>
      </c>
      <c r="P12" s="315">
        <f t="shared" si="17"/>
        <v>-0.89</v>
      </c>
      <c r="Q12" s="316">
        <f t="shared" si="12"/>
        <v>-1.75</v>
      </c>
      <c r="R12" s="316">
        <f t="shared" si="13"/>
        <v>74.559999999999988</v>
      </c>
      <c r="S12" s="317">
        <f t="shared" si="14"/>
        <v>-2.2932774210457349E-2</v>
      </c>
    </row>
    <row r="13" spans="1:19" x14ac:dyDescent="0.2">
      <c r="A13" s="277" t="s">
        <v>133</v>
      </c>
      <c r="B13" s="314">
        <f t="shared" si="15"/>
        <v>661</v>
      </c>
      <c r="C13" s="315">
        <f t="shared" si="0"/>
        <v>69.09</v>
      </c>
      <c r="D13" s="315">
        <f t="shared" si="1"/>
        <v>0</v>
      </c>
      <c r="E13" s="315">
        <f t="shared" si="2"/>
        <v>-1.65</v>
      </c>
      <c r="F13" s="315">
        <f t="shared" si="3"/>
        <v>4.0199999999999996</v>
      </c>
      <c r="G13" s="315">
        <f t="shared" si="4"/>
        <v>0.62</v>
      </c>
      <c r="H13" s="315">
        <f t="shared" si="5"/>
        <v>-0.23</v>
      </c>
      <c r="I13" s="315">
        <f t="shared" si="6"/>
        <v>-0.02</v>
      </c>
      <c r="J13" s="315">
        <f t="shared" si="7"/>
        <v>2.38</v>
      </c>
      <c r="K13" s="315">
        <f t="shared" si="8"/>
        <v>0</v>
      </c>
      <c r="L13" s="315">
        <f t="shared" si="9"/>
        <v>0.79</v>
      </c>
      <c r="M13" s="315">
        <f t="shared" si="10"/>
        <v>-4.9000000000000004</v>
      </c>
      <c r="N13" s="315">
        <f t="shared" si="16"/>
        <v>70.099999999999994</v>
      </c>
      <c r="O13" s="315">
        <f t="shared" si="11"/>
        <v>-0.79</v>
      </c>
      <c r="P13" s="315">
        <f t="shared" si="17"/>
        <v>-0.82</v>
      </c>
      <c r="Q13" s="316">
        <f t="shared" si="12"/>
        <v>-1.6099999999999999</v>
      </c>
      <c r="R13" s="316">
        <f t="shared" si="13"/>
        <v>68.489999999999995</v>
      </c>
      <c r="S13" s="317">
        <f t="shared" si="14"/>
        <v>-2.2967189728958632E-2</v>
      </c>
    </row>
    <row r="14" spans="1:19" x14ac:dyDescent="0.2">
      <c r="A14" s="277" t="s">
        <v>134</v>
      </c>
      <c r="B14" s="314">
        <f t="shared" si="15"/>
        <v>674</v>
      </c>
      <c r="C14" s="315">
        <f t="shared" si="0"/>
        <v>70.540000000000006</v>
      </c>
      <c r="D14" s="315">
        <f t="shared" si="1"/>
        <v>0</v>
      </c>
      <c r="E14" s="315">
        <f t="shared" si="2"/>
        <v>-1.68</v>
      </c>
      <c r="F14" s="315">
        <f t="shared" si="3"/>
        <v>4.09</v>
      </c>
      <c r="G14" s="315">
        <f t="shared" si="4"/>
        <v>0.63</v>
      </c>
      <c r="H14" s="315">
        <f t="shared" si="5"/>
        <v>-0.23</v>
      </c>
      <c r="I14" s="315">
        <f t="shared" si="6"/>
        <v>-0.02</v>
      </c>
      <c r="J14" s="315">
        <f t="shared" si="7"/>
        <v>2.4300000000000002</v>
      </c>
      <c r="K14" s="315">
        <f t="shared" si="8"/>
        <v>0</v>
      </c>
      <c r="L14" s="315">
        <f t="shared" si="9"/>
        <v>0.81</v>
      </c>
      <c r="M14" s="315">
        <f t="shared" si="10"/>
        <v>-4.99</v>
      </c>
      <c r="N14" s="315">
        <f t="shared" si="16"/>
        <v>71.580000000000013</v>
      </c>
      <c r="O14" s="315">
        <f t="shared" si="11"/>
        <v>-0.81</v>
      </c>
      <c r="P14" s="315">
        <f t="shared" si="17"/>
        <v>-0.83</v>
      </c>
      <c r="Q14" s="316">
        <f t="shared" si="12"/>
        <v>-1.6400000000000001</v>
      </c>
      <c r="R14" s="316">
        <f t="shared" si="13"/>
        <v>69.940000000000012</v>
      </c>
      <c r="S14" s="317">
        <f t="shared" si="14"/>
        <v>-2.2911427773120982E-2</v>
      </c>
    </row>
    <row r="15" spans="1:19" x14ac:dyDescent="0.2">
      <c r="A15" s="277" t="s">
        <v>135</v>
      </c>
      <c r="B15" s="314">
        <f t="shared" si="15"/>
        <v>667</v>
      </c>
      <c r="C15" s="315">
        <f t="shared" si="0"/>
        <v>69.760000000000005</v>
      </c>
      <c r="D15" s="315">
        <f t="shared" si="1"/>
        <v>0</v>
      </c>
      <c r="E15" s="315">
        <f t="shared" si="2"/>
        <v>-1.66</v>
      </c>
      <c r="F15" s="315">
        <f t="shared" si="3"/>
        <v>4.05</v>
      </c>
      <c r="G15" s="315">
        <f t="shared" si="4"/>
        <v>0.62</v>
      </c>
      <c r="H15" s="315">
        <f t="shared" si="5"/>
        <v>-0.23</v>
      </c>
      <c r="I15" s="315">
        <f t="shared" si="6"/>
        <v>-0.02</v>
      </c>
      <c r="J15" s="315">
        <f t="shared" si="7"/>
        <v>2.4</v>
      </c>
      <c r="K15" s="315">
        <f t="shared" si="8"/>
        <v>0</v>
      </c>
      <c r="L15" s="315">
        <f t="shared" si="9"/>
        <v>0.8</v>
      </c>
      <c r="M15" s="315">
        <f t="shared" si="10"/>
        <v>-4.9400000000000004</v>
      </c>
      <c r="N15" s="315">
        <f t="shared" si="16"/>
        <v>70.780000000000015</v>
      </c>
      <c r="O15" s="315">
        <f t="shared" si="11"/>
        <v>-0.8</v>
      </c>
      <c r="P15" s="315">
        <f t="shared" si="17"/>
        <v>-0.83</v>
      </c>
      <c r="Q15" s="316">
        <f t="shared" si="12"/>
        <v>-1.63</v>
      </c>
      <c r="R15" s="316">
        <f t="shared" si="13"/>
        <v>69.15000000000002</v>
      </c>
      <c r="S15" s="317">
        <f t="shared" si="14"/>
        <v>-2.3029104266742012E-2</v>
      </c>
    </row>
    <row r="16" spans="1:19" x14ac:dyDescent="0.2">
      <c r="A16" s="277" t="s">
        <v>136</v>
      </c>
      <c r="B16" s="314">
        <f t="shared" si="15"/>
        <v>660</v>
      </c>
      <c r="C16" s="315">
        <f t="shared" si="0"/>
        <v>68.98</v>
      </c>
      <c r="D16" s="315">
        <f t="shared" si="1"/>
        <v>0</v>
      </c>
      <c r="E16" s="315">
        <f t="shared" si="2"/>
        <v>-1.64</v>
      </c>
      <c r="F16" s="315">
        <f t="shared" si="3"/>
        <v>4.01</v>
      </c>
      <c r="G16" s="315">
        <f t="shared" si="4"/>
        <v>0.62</v>
      </c>
      <c r="H16" s="315">
        <f t="shared" si="5"/>
        <v>-0.23</v>
      </c>
      <c r="I16" s="315">
        <f t="shared" si="6"/>
        <v>-0.02</v>
      </c>
      <c r="J16" s="315">
        <f t="shared" si="7"/>
        <v>2.38</v>
      </c>
      <c r="K16" s="315">
        <f t="shared" si="8"/>
        <v>0</v>
      </c>
      <c r="L16" s="315">
        <f t="shared" si="9"/>
        <v>0.79</v>
      </c>
      <c r="M16" s="315">
        <f t="shared" si="10"/>
        <v>-4.8899999999999997</v>
      </c>
      <c r="N16" s="315">
        <f t="shared" si="16"/>
        <v>70.000000000000014</v>
      </c>
      <c r="O16" s="315">
        <f t="shared" si="11"/>
        <v>-0.79</v>
      </c>
      <c r="P16" s="315">
        <f t="shared" si="17"/>
        <v>-0.82</v>
      </c>
      <c r="Q16" s="316">
        <f t="shared" si="12"/>
        <v>-1.6099999999999999</v>
      </c>
      <c r="R16" s="316">
        <f t="shared" si="13"/>
        <v>68.390000000000015</v>
      </c>
      <c r="S16" s="317">
        <f t="shared" si="14"/>
        <v>-2.2999999999999993E-2</v>
      </c>
    </row>
    <row r="17" spans="1:19" x14ac:dyDescent="0.2">
      <c r="A17" s="277" t="s">
        <v>137</v>
      </c>
      <c r="B17" s="314">
        <f t="shared" si="15"/>
        <v>803</v>
      </c>
      <c r="C17" s="315">
        <f t="shared" si="0"/>
        <v>84.88</v>
      </c>
      <c r="D17" s="315">
        <f t="shared" si="1"/>
        <v>0</v>
      </c>
      <c r="E17" s="315">
        <f t="shared" si="2"/>
        <v>-2</v>
      </c>
      <c r="F17" s="315">
        <f t="shared" si="3"/>
        <v>4.88</v>
      </c>
      <c r="G17" s="315">
        <f t="shared" si="4"/>
        <v>0.75</v>
      </c>
      <c r="H17" s="315">
        <f t="shared" si="5"/>
        <v>-0.28000000000000003</v>
      </c>
      <c r="I17" s="315">
        <f t="shared" si="6"/>
        <v>-0.03</v>
      </c>
      <c r="J17" s="315">
        <f t="shared" si="7"/>
        <v>2.89</v>
      </c>
      <c r="K17" s="315">
        <f t="shared" si="8"/>
        <v>0</v>
      </c>
      <c r="L17" s="315">
        <f t="shared" si="9"/>
        <v>0.96</v>
      </c>
      <c r="M17" s="315">
        <f t="shared" si="10"/>
        <v>-5.95</v>
      </c>
      <c r="N17" s="315">
        <f t="shared" si="16"/>
        <v>86.09999999999998</v>
      </c>
      <c r="O17" s="315">
        <f t="shared" si="11"/>
        <v>-0.96</v>
      </c>
      <c r="P17" s="315">
        <f t="shared" si="17"/>
        <v>-0.99</v>
      </c>
      <c r="Q17" s="316">
        <f t="shared" si="12"/>
        <v>-1.95</v>
      </c>
      <c r="R17" s="316">
        <f t="shared" si="13"/>
        <v>84.149999999999977</v>
      </c>
      <c r="S17" s="317">
        <f t="shared" si="14"/>
        <v>-2.2648083623693385E-2</v>
      </c>
    </row>
    <row r="18" spans="1:19" x14ac:dyDescent="0.2">
      <c r="A18" s="277" t="s">
        <v>138</v>
      </c>
      <c r="B18" s="314">
        <f t="shared" si="15"/>
        <v>991</v>
      </c>
      <c r="C18" s="315">
        <f t="shared" si="0"/>
        <v>105.79</v>
      </c>
      <c r="D18" s="315">
        <f t="shared" si="1"/>
        <v>0</v>
      </c>
      <c r="E18" s="315">
        <f t="shared" si="2"/>
        <v>-2.4700000000000002</v>
      </c>
      <c r="F18" s="315">
        <f t="shared" si="3"/>
        <v>6.02</v>
      </c>
      <c r="G18" s="315">
        <f t="shared" si="4"/>
        <v>0.93</v>
      </c>
      <c r="H18" s="315">
        <f t="shared" si="5"/>
        <v>-0.34</v>
      </c>
      <c r="I18" s="315">
        <f t="shared" si="6"/>
        <v>-0.03</v>
      </c>
      <c r="J18" s="315">
        <f t="shared" si="7"/>
        <v>3.57</v>
      </c>
      <c r="K18" s="315">
        <f t="shared" si="8"/>
        <v>0</v>
      </c>
      <c r="L18" s="315">
        <f t="shared" si="9"/>
        <v>1.19</v>
      </c>
      <c r="M18" s="315">
        <f t="shared" si="10"/>
        <v>-7.34</v>
      </c>
      <c r="N18" s="315">
        <f t="shared" si="16"/>
        <v>107.32</v>
      </c>
      <c r="O18" s="315">
        <f t="shared" si="11"/>
        <v>-1.19</v>
      </c>
      <c r="P18" s="315">
        <f t="shared" si="17"/>
        <v>-1.23</v>
      </c>
      <c r="Q18" s="316">
        <f t="shared" si="12"/>
        <v>-2.42</v>
      </c>
      <c r="R18" s="316">
        <f t="shared" si="13"/>
        <v>104.89999999999999</v>
      </c>
      <c r="S18" s="317">
        <f t="shared" si="14"/>
        <v>-2.2549385016772269E-2</v>
      </c>
    </row>
    <row r="19" spans="1:19" x14ac:dyDescent="0.2">
      <c r="A19" s="277" t="s">
        <v>139</v>
      </c>
      <c r="B19" s="314">
        <f t="shared" si="15"/>
        <v>1257</v>
      </c>
      <c r="C19" s="315">
        <f t="shared" si="0"/>
        <v>135.36000000000001</v>
      </c>
      <c r="D19" s="315">
        <f t="shared" si="1"/>
        <v>0</v>
      </c>
      <c r="E19" s="315">
        <f t="shared" si="2"/>
        <v>-3.13</v>
      </c>
      <c r="F19" s="315">
        <f t="shared" si="3"/>
        <v>7.64</v>
      </c>
      <c r="G19" s="315">
        <f t="shared" si="4"/>
        <v>1.18</v>
      </c>
      <c r="H19" s="315">
        <f t="shared" si="5"/>
        <v>-0.43</v>
      </c>
      <c r="I19" s="315">
        <f t="shared" si="6"/>
        <v>-0.04</v>
      </c>
      <c r="J19" s="315">
        <f t="shared" si="7"/>
        <v>4.53</v>
      </c>
      <c r="K19" s="315">
        <f t="shared" si="8"/>
        <v>0</v>
      </c>
      <c r="L19" s="315">
        <f t="shared" si="9"/>
        <v>1.51</v>
      </c>
      <c r="M19" s="315">
        <f t="shared" si="10"/>
        <v>-9.31</v>
      </c>
      <c r="N19" s="315">
        <f t="shared" si="16"/>
        <v>137.31</v>
      </c>
      <c r="O19" s="315">
        <f t="shared" si="11"/>
        <v>-1.51</v>
      </c>
      <c r="P19" s="315">
        <f t="shared" si="17"/>
        <v>-1.55</v>
      </c>
      <c r="Q19" s="316">
        <f t="shared" si="12"/>
        <v>-3.06</v>
      </c>
      <c r="R19" s="316">
        <f t="shared" si="13"/>
        <v>134.25</v>
      </c>
      <c r="S19" s="317">
        <f t="shared" si="14"/>
        <v>-2.2285339742189207E-2</v>
      </c>
    </row>
    <row r="20" spans="1:19" x14ac:dyDescent="0.2">
      <c r="C20" s="316"/>
      <c r="D20" s="316"/>
      <c r="E20" s="316"/>
      <c r="F20" s="316"/>
      <c r="G20" s="316"/>
      <c r="H20" s="316"/>
      <c r="I20" s="316"/>
      <c r="J20" s="316"/>
      <c r="K20" s="316"/>
      <c r="L20" s="316"/>
      <c r="M20" s="316"/>
      <c r="N20" s="315"/>
      <c r="O20" s="315"/>
      <c r="P20" s="315"/>
      <c r="Q20" s="316"/>
      <c r="R20" s="316"/>
      <c r="S20" s="317"/>
    </row>
    <row r="21" spans="1:19" ht="13.5" thickBot="1" x14ac:dyDescent="0.25">
      <c r="A21" s="318" t="s">
        <v>140</v>
      </c>
      <c r="B21" s="319">
        <f>SUM(B8:B20)</f>
        <v>10490</v>
      </c>
      <c r="C21" s="320">
        <f>SUM(C8:C20)</f>
        <v>1113.5299999999997</v>
      </c>
      <c r="D21" s="320">
        <f>SUM(D8:D20)</f>
        <v>0</v>
      </c>
      <c r="E21" s="320">
        <f>SUM(E8:E20)</f>
        <v>-26.129999999999995</v>
      </c>
      <c r="F21" s="320">
        <f t="shared" ref="F21:R21" si="18">SUM(F8:F20)</f>
        <v>63.730000000000004</v>
      </c>
      <c r="G21" s="320">
        <f t="shared" si="18"/>
        <v>9.83</v>
      </c>
      <c r="H21" s="320">
        <f t="shared" si="18"/>
        <v>-3.6300000000000003</v>
      </c>
      <c r="I21" s="320">
        <f t="shared" si="18"/>
        <v>-0.35999999999999993</v>
      </c>
      <c r="J21" s="320">
        <f t="shared" si="18"/>
        <v>37.799999999999997</v>
      </c>
      <c r="K21" s="320">
        <f t="shared" si="18"/>
        <v>0</v>
      </c>
      <c r="L21" s="320">
        <f t="shared" si="18"/>
        <v>12.59</v>
      </c>
      <c r="M21" s="320">
        <f t="shared" si="18"/>
        <v>-77.69</v>
      </c>
      <c r="N21" s="321">
        <f t="shared" si="18"/>
        <v>1129.67</v>
      </c>
      <c r="O21" s="321">
        <f t="shared" si="18"/>
        <v>-12.59</v>
      </c>
      <c r="P21" s="321">
        <f t="shared" si="18"/>
        <v>-12.97</v>
      </c>
      <c r="Q21" s="320">
        <f t="shared" si="18"/>
        <v>-25.56</v>
      </c>
      <c r="R21" s="320">
        <f t="shared" si="18"/>
        <v>1104.1099999999999</v>
      </c>
      <c r="S21" s="322">
        <f>+Q21/N21</f>
        <v>-2.2626076641851157E-2</v>
      </c>
    </row>
    <row r="22" spans="1:19" ht="13.5" thickTop="1" x14ac:dyDescent="0.2">
      <c r="A22" s="318"/>
      <c r="C22" s="323"/>
      <c r="D22" s="323"/>
      <c r="E22" s="323"/>
      <c r="F22" s="323"/>
      <c r="G22" s="323"/>
      <c r="H22" s="323"/>
      <c r="I22" s="323"/>
      <c r="J22" s="323"/>
      <c r="K22" s="323"/>
      <c r="L22" s="323"/>
      <c r="M22" s="323"/>
      <c r="N22" s="324"/>
      <c r="O22" s="324"/>
      <c r="P22" s="324"/>
      <c r="Q22" s="323"/>
      <c r="R22" s="323"/>
      <c r="S22" s="325"/>
    </row>
    <row r="23" spans="1:19" ht="13.5" thickBot="1" x14ac:dyDescent="0.25">
      <c r="A23" s="326" t="s">
        <v>141</v>
      </c>
      <c r="B23" s="319">
        <f>ROUND(+B21/12,0)</f>
        <v>874</v>
      </c>
      <c r="C23" s="320">
        <f>+C21/12</f>
        <v>92.794166666666641</v>
      </c>
      <c r="D23" s="320">
        <f>+D21/12</f>
        <v>0</v>
      </c>
      <c r="E23" s="320">
        <f>+E21/12</f>
        <v>-2.1774999999999998</v>
      </c>
      <c r="F23" s="320">
        <f t="shared" ref="F23:R23" si="19">+F21/12</f>
        <v>5.310833333333334</v>
      </c>
      <c r="G23" s="320">
        <f t="shared" si="19"/>
        <v>0.81916666666666671</v>
      </c>
      <c r="H23" s="320">
        <f t="shared" si="19"/>
        <v>-0.30250000000000005</v>
      </c>
      <c r="I23" s="320">
        <f t="shared" si="19"/>
        <v>-2.9999999999999995E-2</v>
      </c>
      <c r="J23" s="320">
        <f t="shared" si="19"/>
        <v>3.15</v>
      </c>
      <c r="K23" s="320">
        <f t="shared" si="19"/>
        <v>0</v>
      </c>
      <c r="L23" s="320">
        <f t="shared" si="19"/>
        <v>1.0491666666666666</v>
      </c>
      <c r="M23" s="320">
        <f t="shared" si="19"/>
        <v>-6.4741666666666662</v>
      </c>
      <c r="N23" s="321">
        <f t="shared" si="19"/>
        <v>94.139166666666668</v>
      </c>
      <c r="O23" s="321">
        <f>-L23</f>
        <v>-1.0491666666666666</v>
      </c>
      <c r="P23" s="321">
        <f t="shared" ref="P23:P29" si="20">ROUND($B23*$G$42,2)</f>
        <v>-1.08</v>
      </c>
      <c r="Q23" s="321">
        <f t="shared" si="19"/>
        <v>-2.13</v>
      </c>
      <c r="R23" s="320">
        <f t="shared" si="19"/>
        <v>92.009166666666658</v>
      </c>
      <c r="S23" s="322">
        <f>+Q23/N23</f>
        <v>-2.2626076641851157E-2</v>
      </c>
    </row>
    <row r="24" spans="1:19" ht="13.5" thickTop="1" x14ac:dyDescent="0.2">
      <c r="C24" s="323"/>
      <c r="D24" s="323"/>
      <c r="E24" s="323"/>
      <c r="F24" s="323"/>
      <c r="G24" s="323"/>
      <c r="H24" s="323"/>
      <c r="I24" s="323"/>
      <c r="J24" s="323"/>
      <c r="K24" s="323"/>
      <c r="L24" s="323"/>
      <c r="M24" s="323"/>
      <c r="N24" s="324"/>
      <c r="O24" s="324"/>
      <c r="P24" s="324"/>
      <c r="Q24" s="324"/>
      <c r="R24" s="323"/>
    </row>
    <row r="25" spans="1:19" x14ac:dyDescent="0.2">
      <c r="A25" s="327" t="s">
        <v>531</v>
      </c>
      <c r="B25" s="328"/>
      <c r="C25" s="329">
        <f>+C21/$B$21*100</f>
        <v>10.615157292659672</v>
      </c>
      <c r="D25" s="329">
        <f t="shared" ref="D25:R25" si="21">+D21/$B$21*100</f>
        <v>0</v>
      </c>
      <c r="E25" s="329">
        <f t="shared" si="21"/>
        <v>-0.2490943755958055</v>
      </c>
      <c r="F25" s="329">
        <f t="shared" si="21"/>
        <v>0.60753098188751198</v>
      </c>
      <c r="G25" s="329">
        <f t="shared" si="21"/>
        <v>9.3708293612964733E-2</v>
      </c>
      <c r="H25" s="329">
        <f t="shared" si="21"/>
        <v>-3.4604385128693994E-2</v>
      </c>
      <c r="I25" s="329">
        <f t="shared" si="21"/>
        <v>-3.4318398474737838E-3</v>
      </c>
      <c r="J25" s="329">
        <f t="shared" si="21"/>
        <v>0.36034318398474735</v>
      </c>
      <c r="K25" s="329">
        <f t="shared" si="21"/>
        <v>0</v>
      </c>
      <c r="L25" s="329">
        <f t="shared" si="21"/>
        <v>0.12001906577693042</v>
      </c>
      <c r="M25" s="329">
        <f t="shared" si="21"/>
        <v>-0.74061010486177314</v>
      </c>
      <c r="N25" s="329">
        <f t="shared" si="21"/>
        <v>10.769018112488085</v>
      </c>
      <c r="O25" s="329">
        <f t="shared" si="21"/>
        <v>-0.12001906577693042</v>
      </c>
      <c r="P25" s="329">
        <f t="shared" si="21"/>
        <v>-0.1236415633937083</v>
      </c>
      <c r="Q25" s="329">
        <f t="shared" si="21"/>
        <v>-0.24366062917063869</v>
      </c>
      <c r="R25" s="329">
        <f t="shared" si="21"/>
        <v>10.525357483317444</v>
      </c>
      <c r="S25" s="317"/>
    </row>
    <row r="26" spans="1:19" x14ac:dyDescent="0.2">
      <c r="C26" s="323"/>
      <c r="D26" s="323"/>
      <c r="E26" s="323"/>
      <c r="F26" s="323"/>
      <c r="G26" s="323"/>
      <c r="H26" s="323"/>
      <c r="I26" s="323"/>
      <c r="J26" s="323"/>
      <c r="K26" s="323"/>
      <c r="L26" s="323"/>
      <c r="M26" s="323"/>
      <c r="N26" s="324"/>
      <c r="O26" s="324"/>
      <c r="P26" s="324"/>
      <c r="Q26" s="324"/>
      <c r="R26" s="323"/>
    </row>
    <row r="27" spans="1:19" ht="13.5" thickBot="1" x14ac:dyDescent="0.25">
      <c r="A27" s="326" t="s">
        <v>532</v>
      </c>
      <c r="B27" s="319">
        <v>1000</v>
      </c>
      <c r="C27" s="320">
        <f>ROUND($F$34+IF($B27&gt;600,(600*$F$38+(($B27-600)*$F$45)),$B27*$F$38),2)</f>
        <v>106.79</v>
      </c>
      <c r="D27" s="320">
        <f>ROUND($B27*$F$56,2)</f>
        <v>0</v>
      </c>
      <c r="E27" s="320">
        <f>ROUND($B27*$F$57,2)</f>
        <v>-2.4900000000000002</v>
      </c>
      <c r="F27" s="320">
        <f>ROUND($B27*$F$58,2)</f>
        <v>6.08</v>
      </c>
      <c r="G27" s="320">
        <f>ROUND($B27*$F$39,2)</f>
        <v>0.94</v>
      </c>
      <c r="H27" s="320">
        <f>ROUND($B27*$F$59,2)</f>
        <v>-0.35</v>
      </c>
      <c r="I27" s="320">
        <f>ROUND($B27*$F$60,2)</f>
        <v>-0.04</v>
      </c>
      <c r="J27" s="320">
        <f>ROUND($B27*$F$40,2)</f>
        <v>3.6</v>
      </c>
      <c r="K27" s="320">
        <f>ROUND($F$35+IF($B27&gt;600,(600*$F$41+(($B27-600)*$F$48)),$B27*$F$38),2)</f>
        <v>0</v>
      </c>
      <c r="L27" s="320">
        <f>ROUND($B27*$F$42,2)</f>
        <v>1.2</v>
      </c>
      <c r="M27" s="320">
        <f>ROUND($B27*$F$52,2)</f>
        <v>-7.41</v>
      </c>
      <c r="N27" s="321">
        <f>SUM(C27:M27)</f>
        <v>108.32000000000001</v>
      </c>
      <c r="O27" s="321">
        <f>-L27</f>
        <v>-1.2</v>
      </c>
      <c r="P27" s="321">
        <f t="shared" si="20"/>
        <v>-1.24</v>
      </c>
      <c r="Q27" s="321">
        <f>SUM(O27:P27)</f>
        <v>-2.44</v>
      </c>
      <c r="R27" s="320">
        <f>+N27+Q27</f>
        <v>105.88000000000001</v>
      </c>
      <c r="S27" s="322">
        <f>+Q27/N27</f>
        <v>-2.2525849335302803E-2</v>
      </c>
    </row>
    <row r="28" spans="1:19" ht="13.5" thickTop="1" x14ac:dyDescent="0.2">
      <c r="A28" s="326"/>
      <c r="B28" s="330"/>
      <c r="C28" s="331"/>
      <c r="D28" s="331"/>
      <c r="E28" s="331"/>
      <c r="F28" s="331"/>
      <c r="G28" s="331"/>
      <c r="H28" s="331"/>
      <c r="I28" s="331"/>
      <c r="J28" s="331"/>
      <c r="K28" s="331"/>
      <c r="L28" s="331"/>
      <c r="M28" s="331"/>
      <c r="N28" s="332"/>
      <c r="O28" s="332"/>
      <c r="P28" s="332"/>
      <c r="Q28" s="332"/>
      <c r="R28" s="331"/>
      <c r="S28" s="333"/>
    </row>
    <row r="29" spans="1:19" ht="13.5" thickBot="1" x14ac:dyDescent="0.25">
      <c r="A29" s="326" t="s">
        <v>533</v>
      </c>
      <c r="B29" s="319">
        <v>900</v>
      </c>
      <c r="C29" s="320">
        <f>ROUND($F$34+IF($B29&gt;600,(600*$F$38+(($B29-600)*$F$45)),$B29*$F$38),2)</f>
        <v>95.67</v>
      </c>
      <c r="D29" s="320">
        <f>ROUND($B29*$F$56,2)</f>
        <v>0</v>
      </c>
      <c r="E29" s="320">
        <f>ROUND($B29*$F$57,2)</f>
        <v>-2.2400000000000002</v>
      </c>
      <c r="F29" s="320">
        <f>ROUND($B29*$F$58,2)</f>
        <v>5.47</v>
      </c>
      <c r="G29" s="320">
        <f>ROUND($B29*$F$39,2)</f>
        <v>0.84</v>
      </c>
      <c r="H29" s="320">
        <f>ROUND($B29*$F$59,2)</f>
        <v>-0.31</v>
      </c>
      <c r="I29" s="320">
        <f>ROUND($B29*$F$60,2)</f>
        <v>-0.03</v>
      </c>
      <c r="J29" s="320">
        <f>ROUND($B29*$F$40,2)</f>
        <v>3.24</v>
      </c>
      <c r="K29" s="320">
        <f>ROUND($F$35+IF($B29&gt;600,(600*$F$41+(($B29-600)*$F$48)),$B29*$F$38),2)</f>
        <v>0</v>
      </c>
      <c r="L29" s="320">
        <f>ROUND($B29*$F$42,2)</f>
        <v>1.08</v>
      </c>
      <c r="M29" s="320">
        <f>ROUND($B29*$F$52,2)</f>
        <v>-6.67</v>
      </c>
      <c r="N29" s="321">
        <f>SUM(C29:M29)</f>
        <v>97.05</v>
      </c>
      <c r="O29" s="321">
        <f>-L29</f>
        <v>-1.08</v>
      </c>
      <c r="P29" s="321">
        <f t="shared" si="20"/>
        <v>-1.1100000000000001</v>
      </c>
      <c r="Q29" s="321">
        <f>SUM(O29:P29)</f>
        <v>-2.1900000000000004</v>
      </c>
      <c r="R29" s="320">
        <f>+N29+Q29</f>
        <v>94.86</v>
      </c>
      <c r="S29" s="322">
        <f>+Q29/N29</f>
        <v>-2.2565687789799078E-2</v>
      </c>
    </row>
    <row r="30" spans="1:19" ht="13.5" thickTop="1" x14ac:dyDescent="0.2"/>
    <row r="32" spans="1:19" ht="51" x14ac:dyDescent="0.2">
      <c r="A32" s="334" t="s">
        <v>534</v>
      </c>
      <c r="B32" s="335"/>
      <c r="C32" s="335"/>
      <c r="D32" s="335"/>
      <c r="F32" s="359" t="s">
        <v>535</v>
      </c>
      <c r="G32" s="360" t="s">
        <v>536</v>
      </c>
      <c r="H32" s="297"/>
      <c r="I32" s="297"/>
      <c r="J32" s="297"/>
      <c r="K32" s="297"/>
      <c r="L32" s="297"/>
      <c r="M32" s="297"/>
    </row>
    <row r="33" spans="1:13" x14ac:dyDescent="0.2">
      <c r="A33" s="510" t="s">
        <v>142</v>
      </c>
      <c r="B33" s="510"/>
      <c r="C33" s="510"/>
      <c r="D33" s="510"/>
      <c r="F33" s="361"/>
      <c r="G33" s="362"/>
      <c r="H33" s="297"/>
      <c r="I33" s="297"/>
      <c r="J33" s="297"/>
      <c r="K33" s="297"/>
      <c r="L33" s="297"/>
      <c r="M33" s="297"/>
    </row>
    <row r="34" spans="1:13" x14ac:dyDescent="0.2">
      <c r="A34" s="514" t="s">
        <v>537</v>
      </c>
      <c r="B34" s="514"/>
      <c r="C34" s="514"/>
      <c r="D34" s="514"/>
      <c r="F34" s="377">
        <v>7.49</v>
      </c>
      <c r="G34" s="363">
        <f>+F34</f>
        <v>7.49</v>
      </c>
      <c r="H34" s="297" t="s">
        <v>143</v>
      </c>
      <c r="I34" s="297"/>
      <c r="J34" s="297"/>
      <c r="K34" s="297"/>
      <c r="L34" s="297"/>
      <c r="M34" s="297"/>
    </row>
    <row r="35" spans="1:13" x14ac:dyDescent="0.2">
      <c r="A35" s="514" t="s">
        <v>144</v>
      </c>
      <c r="B35" s="514"/>
      <c r="C35" s="514"/>
      <c r="D35" s="514"/>
      <c r="F35" s="378">
        <v>0</v>
      </c>
      <c r="G35" s="364">
        <f>+F35</f>
        <v>0</v>
      </c>
      <c r="H35" s="297" t="s">
        <v>143</v>
      </c>
      <c r="I35" s="297"/>
      <c r="J35" s="297"/>
      <c r="K35" s="297"/>
      <c r="L35" s="297"/>
      <c r="M35" s="297"/>
    </row>
    <row r="36" spans="1:13" ht="13.5" thickBot="1" x14ac:dyDescent="0.25">
      <c r="A36" s="511" t="s">
        <v>145</v>
      </c>
      <c r="B36" s="511"/>
      <c r="C36" s="511"/>
      <c r="D36" s="511"/>
      <c r="F36" s="365">
        <f>SUM(F34:F35)</f>
        <v>7.49</v>
      </c>
      <c r="G36" s="366">
        <f>SUM(G34:G35)</f>
        <v>7.49</v>
      </c>
      <c r="H36" s="297"/>
      <c r="I36" s="297"/>
      <c r="J36" s="297"/>
      <c r="K36" s="297"/>
      <c r="L36" s="297"/>
      <c r="M36" s="297"/>
    </row>
    <row r="37" spans="1:13" ht="13.5" thickTop="1" x14ac:dyDescent="0.2">
      <c r="A37" s="510" t="s">
        <v>146</v>
      </c>
      <c r="B37" s="510"/>
      <c r="C37" s="510"/>
      <c r="D37" s="510"/>
      <c r="F37" s="367"/>
      <c r="G37" s="368"/>
      <c r="H37" s="297"/>
      <c r="I37" s="297"/>
      <c r="J37" s="297"/>
      <c r="K37" s="297"/>
      <c r="L37" s="297"/>
      <c r="M37" s="297"/>
    </row>
    <row r="38" spans="1:13" x14ac:dyDescent="0.2">
      <c r="A38" s="514" t="s">
        <v>147</v>
      </c>
      <c r="B38" s="514"/>
      <c r="C38" s="514"/>
      <c r="D38" s="514"/>
      <c r="F38" s="379">
        <v>9.1361999999999999E-2</v>
      </c>
      <c r="G38" s="370">
        <f>+F38</f>
        <v>9.1361999999999999E-2</v>
      </c>
      <c r="H38" s="297" t="s">
        <v>148</v>
      </c>
      <c r="I38" s="297"/>
      <c r="J38" s="297"/>
      <c r="K38" s="297"/>
      <c r="L38" s="297"/>
      <c r="M38" s="297"/>
    </row>
    <row r="39" spans="1:13" x14ac:dyDescent="0.2">
      <c r="A39" s="514" t="s">
        <v>149</v>
      </c>
      <c r="B39" s="514"/>
      <c r="C39" s="514"/>
      <c r="D39" s="514"/>
      <c r="F39" s="379">
        <v>9.3700000000000001E-4</v>
      </c>
      <c r="G39" s="370">
        <v>9.3700000000000001E-4</v>
      </c>
      <c r="H39" s="297" t="s">
        <v>148</v>
      </c>
      <c r="I39" s="297"/>
      <c r="J39" s="297"/>
      <c r="K39" s="297"/>
      <c r="L39" s="297"/>
      <c r="M39" s="297"/>
    </row>
    <row r="40" spans="1:13" x14ac:dyDescent="0.2">
      <c r="A40" s="514" t="s">
        <v>150</v>
      </c>
      <c r="B40" s="514"/>
      <c r="C40" s="514"/>
      <c r="D40" s="514"/>
      <c r="F40" s="379">
        <v>3.6039999999999996E-3</v>
      </c>
      <c r="G40" s="370">
        <f>+F40</f>
        <v>3.6039999999999996E-3</v>
      </c>
      <c r="H40" s="280" t="s">
        <v>148</v>
      </c>
      <c r="I40" s="280"/>
      <c r="J40" s="280"/>
      <c r="K40" s="297"/>
      <c r="L40" s="297"/>
      <c r="M40" s="297"/>
    </row>
    <row r="41" spans="1:13" x14ac:dyDescent="0.2">
      <c r="A41" s="514" t="s">
        <v>151</v>
      </c>
      <c r="B41" s="514"/>
      <c r="C41" s="514"/>
      <c r="D41" s="514"/>
      <c r="F41" s="379">
        <v>0</v>
      </c>
      <c r="G41" s="370">
        <f>+F41</f>
        <v>0</v>
      </c>
      <c r="H41" s="280" t="s">
        <v>148</v>
      </c>
      <c r="I41" s="280"/>
      <c r="J41" s="280"/>
      <c r="K41" s="297"/>
      <c r="L41" s="297"/>
      <c r="M41" s="297"/>
    </row>
    <row r="42" spans="1:13" x14ac:dyDescent="0.2">
      <c r="A42" s="514" t="s">
        <v>152</v>
      </c>
      <c r="B42" s="514"/>
      <c r="C42" s="514"/>
      <c r="D42" s="514"/>
      <c r="F42" s="380">
        <f>+'Sch 142 Impacts'!$H$9</f>
        <v>1.201E-3</v>
      </c>
      <c r="G42" s="381">
        <f>'Summary of Rates'!E11</f>
        <v>-1.237E-3</v>
      </c>
      <c r="H42" s="280" t="s">
        <v>148</v>
      </c>
      <c r="I42" s="280"/>
      <c r="J42" s="280"/>
      <c r="K42" s="297"/>
      <c r="L42" s="297"/>
      <c r="M42" s="297"/>
    </row>
    <row r="43" spans="1:13" ht="13.5" thickBot="1" x14ac:dyDescent="0.25">
      <c r="A43" s="511" t="s">
        <v>153</v>
      </c>
      <c r="B43" s="511"/>
      <c r="C43" s="511"/>
      <c r="D43" s="511"/>
      <c r="F43" s="371">
        <f>SUM(F38:F42)</f>
        <v>9.7103999999999982E-2</v>
      </c>
      <c r="G43" s="372">
        <f>SUM(G38:G42)</f>
        <v>9.4665999999999986E-2</v>
      </c>
      <c r="H43" s="280" t="s">
        <v>148</v>
      </c>
      <c r="I43" s="280"/>
      <c r="J43" s="280"/>
      <c r="K43" s="297"/>
      <c r="L43" s="297"/>
      <c r="M43" s="297"/>
    </row>
    <row r="44" spans="1:13" ht="13.5" thickTop="1" x14ac:dyDescent="0.2">
      <c r="A44" s="510"/>
      <c r="B44" s="510"/>
      <c r="C44" s="510"/>
      <c r="D44" s="510"/>
      <c r="F44" s="369"/>
      <c r="G44" s="370"/>
      <c r="H44" s="297"/>
      <c r="I44" s="297"/>
      <c r="J44" s="297"/>
      <c r="K44" s="297"/>
      <c r="L44" s="297"/>
      <c r="M44" s="297"/>
    </row>
    <row r="45" spans="1:13" x14ac:dyDescent="0.2">
      <c r="A45" s="510" t="s">
        <v>154</v>
      </c>
      <c r="B45" s="510"/>
      <c r="C45" s="510"/>
      <c r="D45" s="510"/>
      <c r="F45" s="379">
        <v>0.111197</v>
      </c>
      <c r="G45" s="370">
        <f>+F45</f>
        <v>0.111197</v>
      </c>
      <c r="H45" s="297" t="s">
        <v>148</v>
      </c>
      <c r="I45" s="297"/>
      <c r="J45" s="297"/>
      <c r="K45" s="297"/>
      <c r="L45" s="297"/>
      <c r="M45" s="297"/>
    </row>
    <row r="46" spans="1:13" x14ac:dyDescent="0.2">
      <c r="A46" s="514" t="s">
        <v>149</v>
      </c>
      <c r="B46" s="514"/>
      <c r="C46" s="514"/>
      <c r="D46" s="514"/>
      <c r="F46" s="379">
        <f>+F39</f>
        <v>9.3700000000000001E-4</v>
      </c>
      <c r="G46" s="370">
        <f>+G39</f>
        <v>9.3700000000000001E-4</v>
      </c>
      <c r="H46" s="297" t="s">
        <v>148</v>
      </c>
      <c r="I46" s="297"/>
      <c r="J46" s="297"/>
      <c r="K46" s="297"/>
      <c r="L46" s="297"/>
      <c r="M46" s="297"/>
    </row>
    <row r="47" spans="1:13" x14ac:dyDescent="0.2">
      <c r="A47" s="514" t="s">
        <v>150</v>
      </c>
      <c r="B47" s="514"/>
      <c r="C47" s="514"/>
      <c r="D47" s="514"/>
      <c r="F47" s="379">
        <f t="shared" ref="F47:F49" si="22">+F40</f>
        <v>3.6039999999999996E-3</v>
      </c>
      <c r="G47" s="370">
        <f>+F47</f>
        <v>3.6039999999999996E-3</v>
      </c>
      <c r="H47" s="297" t="s">
        <v>148</v>
      </c>
      <c r="I47" s="297"/>
      <c r="J47" s="297"/>
      <c r="K47" s="297"/>
      <c r="L47" s="297"/>
      <c r="M47" s="297"/>
    </row>
    <row r="48" spans="1:13" x14ac:dyDescent="0.2">
      <c r="A48" s="514" t="s">
        <v>155</v>
      </c>
      <c r="B48" s="514"/>
      <c r="C48" s="514"/>
      <c r="D48" s="514"/>
      <c r="F48" s="379">
        <f t="shared" si="22"/>
        <v>0</v>
      </c>
      <c r="G48" s="370">
        <f>+F48</f>
        <v>0</v>
      </c>
      <c r="H48" s="280" t="s">
        <v>148</v>
      </c>
      <c r="I48" s="280"/>
      <c r="J48" s="280"/>
      <c r="K48" s="297"/>
      <c r="L48" s="297"/>
      <c r="M48" s="297"/>
    </row>
    <row r="49" spans="1:19" x14ac:dyDescent="0.2">
      <c r="A49" s="514" t="s">
        <v>152</v>
      </c>
      <c r="B49" s="514"/>
      <c r="C49" s="514"/>
      <c r="D49" s="514"/>
      <c r="F49" s="379">
        <f t="shared" si="22"/>
        <v>1.201E-3</v>
      </c>
      <c r="G49" s="381">
        <f>'Summary of Rates'!E11</f>
        <v>-1.237E-3</v>
      </c>
      <c r="H49" s="280" t="s">
        <v>148</v>
      </c>
      <c r="I49" s="280"/>
      <c r="J49" s="280"/>
      <c r="K49" s="297"/>
      <c r="L49" s="297"/>
      <c r="M49" s="297"/>
    </row>
    <row r="50" spans="1:19" ht="13.5" thickBot="1" x14ac:dyDescent="0.25">
      <c r="A50" s="511" t="s">
        <v>156</v>
      </c>
      <c r="B50" s="511"/>
      <c r="C50" s="511"/>
      <c r="D50" s="511"/>
      <c r="F50" s="371">
        <f>SUM(F45:F49)</f>
        <v>0.11693899999999999</v>
      </c>
      <c r="G50" s="372">
        <f>SUM(G45:G49)</f>
        <v>0.11450099999999999</v>
      </c>
      <c r="H50" s="280" t="s">
        <v>148</v>
      </c>
      <c r="I50" s="280"/>
      <c r="J50" s="280"/>
      <c r="K50" s="297"/>
      <c r="L50" s="297"/>
      <c r="M50" s="297"/>
    </row>
    <row r="51" spans="1:19" ht="13.5" thickTop="1" x14ac:dyDescent="0.2">
      <c r="A51" s="510"/>
      <c r="B51" s="510"/>
      <c r="C51" s="510"/>
      <c r="D51" s="510"/>
      <c r="F51" s="369"/>
      <c r="G51" s="370"/>
      <c r="H51" s="280"/>
      <c r="I51" s="280"/>
      <c r="J51" s="280"/>
      <c r="K51" s="297"/>
      <c r="L51" s="297"/>
      <c r="M51" s="297"/>
    </row>
    <row r="52" spans="1:19" x14ac:dyDescent="0.2">
      <c r="A52" s="511" t="s">
        <v>163</v>
      </c>
      <c r="B52" s="511"/>
      <c r="C52" s="511"/>
      <c r="D52" s="511"/>
      <c r="F52" s="379">
        <v>-7.4060000000000003E-3</v>
      </c>
      <c r="G52" s="370">
        <v>-7.4060000000000003E-3</v>
      </c>
      <c r="H52" s="280" t="s">
        <v>148</v>
      </c>
      <c r="I52" s="280"/>
      <c r="J52" s="280"/>
      <c r="K52" s="297"/>
      <c r="L52" s="297"/>
      <c r="M52" s="297"/>
    </row>
    <row r="53" spans="1:19" x14ac:dyDescent="0.2">
      <c r="A53" s="511" t="s">
        <v>161</v>
      </c>
      <c r="B53" s="511"/>
      <c r="C53" s="511"/>
      <c r="D53" s="511"/>
      <c r="F53" s="379">
        <v>0</v>
      </c>
      <c r="G53" s="370">
        <f>+F53</f>
        <v>0</v>
      </c>
      <c r="H53" s="280" t="s">
        <v>148</v>
      </c>
      <c r="K53" s="297"/>
      <c r="L53" s="297"/>
      <c r="M53" s="297"/>
    </row>
    <row r="54" spans="1:19" x14ac:dyDescent="0.2">
      <c r="A54" s="510"/>
      <c r="B54" s="510"/>
      <c r="C54" s="510"/>
      <c r="D54" s="510"/>
      <c r="F54" s="379"/>
      <c r="G54" s="370"/>
      <c r="I54" s="297"/>
      <c r="J54" s="297"/>
      <c r="K54" s="297"/>
      <c r="L54" s="297"/>
      <c r="M54" s="297"/>
    </row>
    <row r="55" spans="1:19" x14ac:dyDescent="0.2">
      <c r="A55" s="510" t="s">
        <v>538</v>
      </c>
      <c r="B55" s="510"/>
      <c r="C55" s="510"/>
      <c r="D55" s="510"/>
      <c r="F55" s="379"/>
      <c r="G55" s="370"/>
      <c r="H55" s="297" t="s">
        <v>148</v>
      </c>
      <c r="I55" s="297"/>
      <c r="J55" s="297"/>
      <c r="K55" s="297"/>
      <c r="L55" s="297"/>
      <c r="M55" s="297"/>
    </row>
    <row r="56" spans="1:19" x14ac:dyDescent="0.2">
      <c r="A56" s="514" t="s">
        <v>157</v>
      </c>
      <c r="B56" s="514"/>
      <c r="C56" s="514"/>
      <c r="D56" s="514"/>
      <c r="E56" s="328"/>
      <c r="F56" s="379">
        <v>0</v>
      </c>
      <c r="G56" s="370">
        <f>+F56</f>
        <v>0</v>
      </c>
      <c r="H56" s="297" t="s">
        <v>148</v>
      </c>
      <c r="I56" s="280"/>
      <c r="J56" s="280"/>
      <c r="K56" s="280"/>
      <c r="L56" s="280"/>
      <c r="M56" s="280"/>
      <c r="N56" s="328"/>
      <c r="O56" s="328"/>
      <c r="P56" s="328"/>
      <c r="Q56" s="328"/>
      <c r="R56" s="328"/>
      <c r="S56" s="328"/>
    </row>
    <row r="57" spans="1:19" x14ac:dyDescent="0.2">
      <c r="A57" s="514" t="s">
        <v>158</v>
      </c>
      <c r="B57" s="514"/>
      <c r="C57" s="514"/>
      <c r="D57" s="514"/>
      <c r="F57" s="379">
        <v>-2.4910000000000002E-3</v>
      </c>
      <c r="G57" s="370">
        <f>+F57</f>
        <v>-2.4910000000000002E-3</v>
      </c>
      <c r="H57" s="280" t="s">
        <v>148</v>
      </c>
      <c r="I57" s="280"/>
      <c r="J57" s="280"/>
      <c r="K57" s="297"/>
      <c r="L57" s="297"/>
      <c r="M57" s="297"/>
    </row>
    <row r="58" spans="1:19" x14ac:dyDescent="0.2">
      <c r="A58" s="514" t="s">
        <v>159</v>
      </c>
      <c r="B58" s="514"/>
      <c r="C58" s="514"/>
      <c r="D58" s="514"/>
      <c r="F58" s="379">
        <v>6.0750000000000005E-3</v>
      </c>
      <c r="G58" s="370">
        <f>+F58</f>
        <v>6.0750000000000005E-3</v>
      </c>
      <c r="H58" s="280" t="s">
        <v>148</v>
      </c>
      <c r="I58" s="280"/>
      <c r="J58" s="280"/>
      <c r="K58" s="316"/>
      <c r="L58" s="297"/>
      <c r="M58" s="297"/>
    </row>
    <row r="59" spans="1:19" x14ac:dyDescent="0.2">
      <c r="A59" s="514" t="s">
        <v>160</v>
      </c>
      <c r="B59" s="514"/>
      <c r="C59" s="514"/>
      <c r="D59" s="514"/>
      <c r="F59" s="379">
        <v>-3.4600000000000001E-4</v>
      </c>
      <c r="G59" s="370">
        <f t="shared" ref="G59:G60" si="23">+F59</f>
        <v>-3.4600000000000001E-4</v>
      </c>
      <c r="H59" s="280" t="s">
        <v>148</v>
      </c>
      <c r="I59" s="280"/>
      <c r="J59" s="280"/>
      <c r="K59" s="297"/>
      <c r="L59" s="297"/>
      <c r="M59" s="297"/>
    </row>
    <row r="60" spans="1:19" x14ac:dyDescent="0.2">
      <c r="A60" s="514" t="s">
        <v>162</v>
      </c>
      <c r="B60" s="514"/>
      <c r="C60" s="514"/>
      <c r="D60" s="514"/>
      <c r="F60" s="380">
        <v>-3.4999999999999997E-5</v>
      </c>
      <c r="G60" s="370">
        <f t="shared" si="23"/>
        <v>-3.4999999999999997E-5</v>
      </c>
      <c r="H60" s="280" t="s">
        <v>148</v>
      </c>
      <c r="I60" s="280"/>
      <c r="J60" s="280"/>
      <c r="K60" s="297"/>
      <c r="L60" s="297"/>
      <c r="M60" s="297"/>
    </row>
    <row r="61" spans="1:19" ht="13.5" thickBot="1" x14ac:dyDescent="0.25">
      <c r="A61" s="511" t="s">
        <v>539</v>
      </c>
      <c r="B61" s="511"/>
      <c r="C61" s="511"/>
      <c r="D61" s="511"/>
      <c r="F61" s="371">
        <f>SUM(F56:F60)</f>
        <v>3.2030000000000006E-3</v>
      </c>
      <c r="G61" s="372">
        <f>SUM(G56:G60)</f>
        <v>3.2030000000000006E-3</v>
      </c>
      <c r="H61" s="280" t="s">
        <v>148</v>
      </c>
    </row>
    <row r="62" spans="1:19" ht="13.5" thickTop="1" x14ac:dyDescent="0.2">
      <c r="A62" s="510"/>
      <c r="B62" s="510"/>
      <c r="C62" s="510"/>
      <c r="D62" s="510"/>
      <c r="F62" s="367"/>
      <c r="G62" s="368"/>
    </row>
    <row r="63" spans="1:19" x14ac:dyDescent="0.2">
      <c r="A63" s="511" t="s">
        <v>540</v>
      </c>
      <c r="B63" s="511"/>
      <c r="C63" s="511"/>
      <c r="D63" s="511"/>
      <c r="F63" s="373">
        <f>SUM(F43,F52:F53,F61)</f>
        <v>9.2900999999999984E-2</v>
      </c>
      <c r="G63" s="374">
        <f>SUM(G43,G52:G53,G61)</f>
        <v>9.0462999999999988E-2</v>
      </c>
      <c r="H63" s="280" t="s">
        <v>148</v>
      </c>
    </row>
    <row r="64" spans="1:19" x14ac:dyDescent="0.2">
      <c r="A64" s="511" t="s">
        <v>541</v>
      </c>
      <c r="B64" s="511"/>
      <c r="C64" s="511"/>
      <c r="D64" s="511"/>
      <c r="F64" s="375">
        <f>SUM(F50,F52:F53,F61)</f>
        <v>0.11273599999999999</v>
      </c>
      <c r="G64" s="376">
        <f>SUM(G50,G52:G53,G61)</f>
        <v>0.11029799999999999</v>
      </c>
      <c r="H64" s="280" t="s">
        <v>148</v>
      </c>
    </row>
    <row r="68" spans="1:19" x14ac:dyDescent="0.2">
      <c r="A68" s="512" t="s">
        <v>542</v>
      </c>
      <c r="B68" s="512"/>
      <c r="C68" s="512"/>
      <c r="D68" s="512"/>
    </row>
    <row r="69" spans="1:19" ht="51" x14ac:dyDescent="0.2">
      <c r="A69" s="336"/>
      <c r="B69" s="336" t="s">
        <v>543</v>
      </c>
      <c r="C69" s="336" t="s">
        <v>544</v>
      </c>
      <c r="D69" s="336" t="s">
        <v>545</v>
      </c>
      <c r="E69" s="336"/>
      <c r="F69" s="336"/>
      <c r="G69" s="336"/>
      <c r="H69" s="336"/>
      <c r="I69" s="336"/>
      <c r="J69" s="336"/>
      <c r="K69" s="336"/>
      <c r="L69" s="336"/>
      <c r="M69" s="336"/>
      <c r="N69" s="336"/>
      <c r="O69" s="336"/>
      <c r="P69" s="336"/>
      <c r="Q69" s="336"/>
      <c r="R69" s="336"/>
      <c r="S69" s="336"/>
    </row>
    <row r="70" spans="1:19" x14ac:dyDescent="0.2">
      <c r="A70" s="277" t="str">
        <f t="shared" ref="A70:A81" si="24">+A8</f>
        <v>January</v>
      </c>
      <c r="B70" s="337">
        <v>1234636000</v>
      </c>
      <c r="C70" s="337">
        <v>1016496</v>
      </c>
      <c r="D70" s="287">
        <f>ROUND(+B70/C70,0)</f>
        <v>1215</v>
      </c>
    </row>
    <row r="71" spans="1:19" x14ac:dyDescent="0.2">
      <c r="A71" s="277" t="str">
        <f t="shared" si="24"/>
        <v>February</v>
      </c>
      <c r="B71" s="337">
        <v>1029270000</v>
      </c>
      <c r="C71" s="337">
        <v>1017516</v>
      </c>
      <c r="D71" s="287">
        <f t="shared" ref="D71:D81" si="25">ROUND(+B71/C71,0)</f>
        <v>1012</v>
      </c>
    </row>
    <row r="72" spans="1:19" x14ac:dyDescent="0.2">
      <c r="A72" s="277" t="str">
        <f t="shared" si="24"/>
        <v>March</v>
      </c>
      <c r="B72" s="337">
        <v>1024363000</v>
      </c>
      <c r="C72" s="337">
        <v>1018388</v>
      </c>
      <c r="D72" s="287">
        <f t="shared" si="25"/>
        <v>1006</v>
      </c>
    </row>
    <row r="73" spans="1:19" x14ac:dyDescent="0.2">
      <c r="A73" s="277" t="str">
        <f t="shared" si="24"/>
        <v>April</v>
      </c>
      <c r="B73" s="337">
        <v>843593000</v>
      </c>
      <c r="C73" s="337">
        <v>1019192</v>
      </c>
      <c r="D73" s="287">
        <f t="shared" si="25"/>
        <v>828</v>
      </c>
    </row>
    <row r="74" spans="1:19" x14ac:dyDescent="0.2">
      <c r="A74" s="277" t="str">
        <f t="shared" si="24"/>
        <v>May</v>
      </c>
      <c r="B74" s="337">
        <v>721943000</v>
      </c>
      <c r="C74" s="337">
        <v>1008265</v>
      </c>
      <c r="D74" s="287">
        <f t="shared" si="25"/>
        <v>716</v>
      </c>
    </row>
    <row r="75" spans="1:19" x14ac:dyDescent="0.2">
      <c r="A75" s="277" t="str">
        <f t="shared" si="24"/>
        <v>June</v>
      </c>
      <c r="B75" s="337">
        <v>667129000</v>
      </c>
      <c r="C75" s="337">
        <v>1008940</v>
      </c>
      <c r="D75" s="287">
        <f t="shared" si="25"/>
        <v>661</v>
      </c>
    </row>
    <row r="76" spans="1:19" x14ac:dyDescent="0.2">
      <c r="A76" s="277" t="str">
        <f t="shared" si="24"/>
        <v>July</v>
      </c>
      <c r="B76" s="337">
        <v>680085000</v>
      </c>
      <c r="C76" s="337">
        <v>1009438</v>
      </c>
      <c r="D76" s="287">
        <f t="shared" si="25"/>
        <v>674</v>
      </c>
    </row>
    <row r="77" spans="1:19" x14ac:dyDescent="0.2">
      <c r="A77" s="277" t="str">
        <f t="shared" si="24"/>
        <v>August</v>
      </c>
      <c r="B77" s="337">
        <v>674003000</v>
      </c>
      <c r="C77" s="337">
        <v>1010258</v>
      </c>
      <c r="D77" s="287">
        <f t="shared" si="25"/>
        <v>667</v>
      </c>
    </row>
    <row r="78" spans="1:19" x14ac:dyDescent="0.2">
      <c r="A78" s="277" t="str">
        <f t="shared" si="24"/>
        <v>September</v>
      </c>
      <c r="B78" s="337">
        <v>667633000</v>
      </c>
      <c r="C78" s="337">
        <v>1011360</v>
      </c>
      <c r="D78" s="287">
        <f t="shared" si="25"/>
        <v>660</v>
      </c>
    </row>
    <row r="79" spans="1:19" x14ac:dyDescent="0.2">
      <c r="A79" s="277" t="str">
        <f t="shared" si="24"/>
        <v>October</v>
      </c>
      <c r="B79" s="337">
        <v>813086000</v>
      </c>
      <c r="C79" s="337">
        <v>1012833</v>
      </c>
      <c r="D79" s="287">
        <f t="shared" si="25"/>
        <v>803</v>
      </c>
    </row>
    <row r="80" spans="1:19" x14ac:dyDescent="0.2">
      <c r="A80" s="277" t="str">
        <f t="shared" si="24"/>
        <v>November</v>
      </c>
      <c r="B80" s="337">
        <v>1005285000</v>
      </c>
      <c r="C80" s="337">
        <v>1014205</v>
      </c>
      <c r="D80" s="287">
        <f t="shared" si="25"/>
        <v>991</v>
      </c>
    </row>
    <row r="81" spans="1:4" x14ac:dyDescent="0.2">
      <c r="A81" s="277" t="str">
        <f t="shared" si="24"/>
        <v>December</v>
      </c>
      <c r="B81" s="337">
        <v>1276276000</v>
      </c>
      <c r="C81" s="337">
        <v>1015301</v>
      </c>
      <c r="D81" s="287">
        <f t="shared" si="25"/>
        <v>1257</v>
      </c>
    </row>
    <row r="82" spans="1:4" x14ac:dyDescent="0.2">
      <c r="A82" s="277" t="s">
        <v>84</v>
      </c>
      <c r="B82" s="287">
        <f>SUM(B70:B81)</f>
        <v>10637302000</v>
      </c>
      <c r="C82" s="287">
        <f>SUM(C70:C81)</f>
        <v>12162192</v>
      </c>
      <c r="D82" s="287">
        <f>SUM(D70:D81)</f>
        <v>10490</v>
      </c>
    </row>
    <row r="83" spans="1:4" x14ac:dyDescent="0.2">
      <c r="D83" s="287"/>
    </row>
    <row r="84" spans="1:4" x14ac:dyDescent="0.2">
      <c r="A84" s="277" t="s">
        <v>286</v>
      </c>
      <c r="B84" s="287"/>
      <c r="C84" s="287"/>
      <c r="D84" s="287">
        <f>ROUND(AVERAGE(D70:D81),0)</f>
        <v>874</v>
      </c>
    </row>
    <row r="85" spans="1:4" x14ac:dyDescent="0.2">
      <c r="D85" s="287"/>
    </row>
    <row r="86" spans="1:4" x14ac:dyDescent="0.2">
      <c r="D86" s="287"/>
    </row>
  </sheetData>
  <mergeCells count="38">
    <mergeCell ref="A43:D43"/>
    <mergeCell ref="C6:N6"/>
    <mergeCell ref="A33:D33"/>
    <mergeCell ref="A34:D34"/>
    <mergeCell ref="A35:D35"/>
    <mergeCell ref="A36:D36"/>
    <mergeCell ref="A37:D37"/>
    <mergeCell ref="A38:D38"/>
    <mergeCell ref="A39:D39"/>
    <mergeCell ref="A40:D40"/>
    <mergeCell ref="A41:D41"/>
    <mergeCell ref="A42:D42"/>
    <mergeCell ref="A52:D52"/>
    <mergeCell ref="A53:D53"/>
    <mergeCell ref="A54:D54"/>
    <mergeCell ref="A55:D55"/>
    <mergeCell ref="A44:D44"/>
    <mergeCell ref="A45:D45"/>
    <mergeCell ref="A46:D46"/>
    <mergeCell ref="A47:D47"/>
    <mergeCell ref="A48:D48"/>
    <mergeCell ref="A49:D49"/>
    <mergeCell ref="A62:D62"/>
    <mergeCell ref="A63:D63"/>
    <mergeCell ref="A64:D64"/>
    <mergeCell ref="A68:D68"/>
    <mergeCell ref="A1:S1"/>
    <mergeCell ref="A2:S2"/>
    <mergeCell ref="A3:S3"/>
    <mergeCell ref="A4:S4"/>
    <mergeCell ref="A56:D56"/>
    <mergeCell ref="A57:D57"/>
    <mergeCell ref="A58:D58"/>
    <mergeCell ref="A59:D59"/>
    <mergeCell ref="A60:D60"/>
    <mergeCell ref="A61:D61"/>
    <mergeCell ref="A50:D50"/>
    <mergeCell ref="A51:D51"/>
  </mergeCells>
  <printOptions horizontalCentered="1"/>
  <pageMargins left="0.25" right="0.25" top="0.75" bottom="0.75" header="0.3" footer="0.3"/>
  <pageSetup scale="58" orientation="landscape" blackAndWhite="1" r:id="rId1"/>
  <headerFooter>
    <oddHeader>&amp;RAdvice No. 2018-xx
Exhibit No. 16</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6"/>
  <sheetViews>
    <sheetView zoomScale="110" zoomScaleNormal="110" workbookViewId="0">
      <pane xSplit="3" ySplit="7" topLeftCell="D14" activePane="bottomRight" state="frozen"/>
      <selection activeCell="C48" sqref="C48"/>
      <selection pane="topRight" activeCell="C48" sqref="C48"/>
      <selection pane="bottomLeft" activeCell="C48" sqref="C48"/>
      <selection pane="bottomRight" activeCell="M46" sqref="M46"/>
    </sheetView>
  </sheetViews>
  <sheetFormatPr defaultColWidth="8.85546875" defaultRowHeight="12.75" x14ac:dyDescent="0.2"/>
  <cols>
    <col min="1" max="1" width="4.42578125" style="297" bestFit="1" customWidth="1"/>
    <col min="2" max="2" width="11.7109375" style="297" bestFit="1" customWidth="1"/>
    <col min="3" max="3" width="21" style="297" bestFit="1" customWidth="1"/>
    <col min="4" max="4" width="15.140625" style="297" bestFit="1" customWidth="1"/>
    <col min="5" max="5" width="10.42578125" style="297" bestFit="1" customWidth="1"/>
    <col min="6" max="6" width="17.7109375" style="297" bestFit="1" customWidth="1"/>
    <col min="7" max="7" width="3.28515625" style="297" customWidth="1"/>
    <col min="8" max="8" width="11.5703125" style="297" bestFit="1" customWidth="1"/>
    <col min="9" max="9" width="11.7109375" style="297" bestFit="1" customWidth="1"/>
    <col min="10" max="10" width="2.85546875" style="297" customWidth="1"/>
    <col min="11" max="11" width="15.140625" style="297" bestFit="1" customWidth="1"/>
    <col min="12" max="12" width="13.28515625" style="297" bestFit="1" customWidth="1"/>
    <col min="13" max="14" width="8.85546875" style="277"/>
    <col min="15" max="16384" width="8.85546875" style="297"/>
  </cols>
  <sheetData>
    <row r="1" spans="1:14" x14ac:dyDescent="0.2">
      <c r="A1" s="516" t="s">
        <v>0</v>
      </c>
      <c r="B1" s="516"/>
      <c r="C1" s="516"/>
      <c r="D1" s="516"/>
      <c r="E1" s="516"/>
      <c r="F1" s="516"/>
      <c r="G1" s="516"/>
      <c r="H1" s="516"/>
      <c r="I1" s="516"/>
      <c r="J1" s="516"/>
      <c r="K1" s="516"/>
      <c r="L1" s="516"/>
    </row>
    <row r="2" spans="1:14" x14ac:dyDescent="0.2">
      <c r="A2" s="509" t="str">
        <f>'Delivery Rate Change Calc'!A2:H2</f>
        <v>2018 Electric Decoupling Filing</v>
      </c>
      <c r="B2" s="509"/>
      <c r="C2" s="509"/>
      <c r="D2" s="509"/>
      <c r="E2" s="509"/>
      <c r="F2" s="509"/>
      <c r="G2" s="509"/>
      <c r="H2" s="509"/>
      <c r="I2" s="509"/>
      <c r="J2" s="509"/>
      <c r="K2" s="509"/>
      <c r="L2" s="509"/>
    </row>
    <row r="3" spans="1:14" x14ac:dyDescent="0.2">
      <c r="A3" s="516" t="s">
        <v>557</v>
      </c>
      <c r="B3" s="516"/>
      <c r="C3" s="516"/>
      <c r="D3" s="516"/>
      <c r="E3" s="516"/>
      <c r="F3" s="516"/>
      <c r="G3" s="516"/>
      <c r="H3" s="516"/>
      <c r="I3" s="516"/>
      <c r="J3" s="516"/>
      <c r="K3" s="516"/>
      <c r="L3" s="516"/>
    </row>
    <row r="4" spans="1:14" x14ac:dyDescent="0.2">
      <c r="A4" s="516" t="str">
        <f>'Delivery Rate Change Calc'!A4:H4</f>
        <v>Proposed Effective May 1, 2018</v>
      </c>
      <c r="B4" s="516"/>
      <c r="C4" s="516"/>
      <c r="D4" s="516"/>
      <c r="E4" s="516"/>
      <c r="F4" s="516"/>
      <c r="G4" s="516"/>
      <c r="H4" s="516"/>
      <c r="I4" s="516"/>
      <c r="J4" s="516"/>
      <c r="K4" s="516"/>
      <c r="L4" s="516"/>
    </row>
    <row r="5" spans="1:14" x14ac:dyDescent="0.2">
      <c r="A5" s="516"/>
      <c r="B5" s="516"/>
      <c r="C5" s="516"/>
      <c r="D5" s="516"/>
      <c r="E5" s="516"/>
      <c r="F5" s="516"/>
      <c r="G5" s="516"/>
      <c r="H5" s="516"/>
      <c r="I5" s="516"/>
      <c r="J5" s="516"/>
      <c r="K5" s="516"/>
      <c r="L5" s="516"/>
    </row>
    <row r="6" spans="1:14" x14ac:dyDescent="0.2">
      <c r="A6" s="278"/>
      <c r="B6" s="279"/>
      <c r="C6" s="279"/>
      <c r="D6" s="516" t="s">
        <v>553</v>
      </c>
      <c r="E6" s="516"/>
      <c r="F6" s="516"/>
      <c r="G6" s="280"/>
      <c r="H6" s="280"/>
      <c r="I6" s="280"/>
      <c r="J6" s="280"/>
      <c r="K6" s="280"/>
      <c r="L6" s="280"/>
    </row>
    <row r="7" spans="1:14" s="338" customFormat="1" ht="51" x14ac:dyDescent="0.2">
      <c r="A7" s="346" t="s">
        <v>56</v>
      </c>
      <c r="B7" s="346" t="s">
        <v>31</v>
      </c>
      <c r="C7" s="346" t="s">
        <v>209</v>
      </c>
      <c r="D7" s="347" t="s">
        <v>506</v>
      </c>
      <c r="E7" s="283" t="s">
        <v>546</v>
      </c>
      <c r="F7" s="284" t="s">
        <v>57</v>
      </c>
      <c r="G7" s="348"/>
      <c r="H7" s="347" t="s">
        <v>554</v>
      </c>
      <c r="I7" s="347" t="s">
        <v>555</v>
      </c>
      <c r="J7" s="348"/>
      <c r="K7" s="283" t="s">
        <v>547</v>
      </c>
      <c r="L7" s="283" t="s">
        <v>558</v>
      </c>
      <c r="M7" s="277"/>
      <c r="N7" s="277"/>
    </row>
    <row r="8" spans="1:14" s="338" customFormat="1" ht="38.25" x14ac:dyDescent="0.2">
      <c r="A8" s="346"/>
      <c r="B8" s="346"/>
      <c r="C8" s="346"/>
      <c r="D8" s="300" t="s">
        <v>9</v>
      </c>
      <c r="E8" s="349" t="s">
        <v>10</v>
      </c>
      <c r="F8" s="300" t="s">
        <v>11</v>
      </c>
      <c r="G8" s="300"/>
      <c r="H8" s="300" t="s">
        <v>12</v>
      </c>
      <c r="I8" s="348" t="s">
        <v>13</v>
      </c>
      <c r="J8" s="300"/>
      <c r="K8" s="300" t="s">
        <v>548</v>
      </c>
      <c r="L8" s="300" t="s">
        <v>549</v>
      </c>
      <c r="M8" s="277"/>
      <c r="N8" s="277"/>
    </row>
    <row r="9" spans="1:14" s="338" customFormat="1" x14ac:dyDescent="0.2">
      <c r="A9" s="279">
        <v>1</v>
      </c>
      <c r="B9" s="279">
        <v>7</v>
      </c>
      <c r="C9" s="280"/>
      <c r="D9" s="342">
        <v>10637302000</v>
      </c>
      <c r="E9" s="301"/>
      <c r="F9" s="343">
        <v>1159444000</v>
      </c>
      <c r="G9" s="348"/>
      <c r="H9" s="354">
        <v>1.201E-3</v>
      </c>
      <c r="I9" s="356">
        <f>'Summary of Rates'!E11</f>
        <v>-1.237E-3</v>
      </c>
      <c r="J9" s="348"/>
      <c r="K9" s="302">
        <f>ROUND(D9*H9,-3)</f>
        <v>12775000</v>
      </c>
      <c r="L9" s="302">
        <f>ROUND(D9*I9,-3)</f>
        <v>-13158000</v>
      </c>
      <c r="M9" s="277"/>
      <c r="N9" s="277"/>
    </row>
    <row r="10" spans="1:14" s="338" customFormat="1" x14ac:dyDescent="0.2">
      <c r="A10" s="279">
        <f t="shared" ref="A10:A42" si="0">+A9+1</f>
        <v>2</v>
      </c>
      <c r="B10" s="278" t="s">
        <v>282</v>
      </c>
      <c r="C10" s="280"/>
      <c r="D10" s="342">
        <v>2067000</v>
      </c>
      <c r="E10" s="301"/>
      <c r="F10" s="343">
        <v>176000</v>
      </c>
      <c r="G10" s="348"/>
      <c r="H10" s="354">
        <f>H13</f>
        <v>1.335E-3</v>
      </c>
      <c r="I10" s="356">
        <f>'Summary of Rates'!E17</f>
        <v>1.408E-3</v>
      </c>
      <c r="J10" s="348"/>
      <c r="K10" s="302">
        <f>ROUND(D10*H10,-3)</f>
        <v>3000</v>
      </c>
      <c r="L10" s="302">
        <f>ROUND(D10*I10,-3)</f>
        <v>3000</v>
      </c>
      <c r="M10" s="277"/>
      <c r="N10" s="277"/>
    </row>
    <row r="11" spans="1:14" x14ac:dyDescent="0.2">
      <c r="A11" s="279">
        <f t="shared" si="0"/>
        <v>3</v>
      </c>
      <c r="B11" s="279"/>
      <c r="C11" s="280" t="s">
        <v>77</v>
      </c>
      <c r="D11" s="305">
        <f>SUM(D9:D10)</f>
        <v>10639369000</v>
      </c>
      <c r="E11" s="301"/>
      <c r="F11" s="306">
        <f>SUM(F9:F10)</f>
        <v>1159620000</v>
      </c>
      <c r="G11" s="348"/>
      <c r="H11" s="350"/>
      <c r="I11" s="350"/>
      <c r="J11" s="348"/>
      <c r="K11" s="306">
        <f>SUM(K9:K10)</f>
        <v>12778000</v>
      </c>
      <c r="L11" s="306">
        <f>SUM(L9:L10)</f>
        <v>-13155000</v>
      </c>
    </row>
    <row r="12" spans="1:14" x14ac:dyDescent="0.2">
      <c r="A12" s="279">
        <f t="shared" si="0"/>
        <v>4</v>
      </c>
      <c r="B12" s="279"/>
      <c r="C12" s="280"/>
      <c r="D12" s="301"/>
      <c r="E12" s="301"/>
      <c r="F12" s="302"/>
      <c r="G12" s="351"/>
      <c r="H12" s="350"/>
      <c r="I12" s="350"/>
      <c r="J12" s="351"/>
      <c r="K12" s="302"/>
      <c r="L12" s="302"/>
    </row>
    <row r="13" spans="1:14" x14ac:dyDescent="0.2">
      <c r="A13" s="279">
        <f t="shared" si="0"/>
        <v>5</v>
      </c>
      <c r="B13" s="278" t="s">
        <v>550</v>
      </c>
      <c r="C13" s="280"/>
      <c r="D13" s="342">
        <v>253017000</v>
      </c>
      <c r="E13" s="301"/>
      <c r="F13" s="343">
        <v>25376000</v>
      </c>
      <c r="G13" s="351"/>
      <c r="H13" s="354">
        <v>1.335E-3</v>
      </c>
      <c r="I13" s="356">
        <f>'Summary of Rates'!E14</f>
        <v>1.2509999999999999E-3</v>
      </c>
      <c r="J13" s="351"/>
      <c r="K13" s="302">
        <f>ROUND(D13*H13,-3)</f>
        <v>338000</v>
      </c>
      <c r="L13" s="302">
        <f>ROUND(D13*I13,-3)</f>
        <v>317000</v>
      </c>
    </row>
    <row r="14" spans="1:14" x14ac:dyDescent="0.2">
      <c r="A14" s="279">
        <f t="shared" si="0"/>
        <v>6</v>
      </c>
      <c r="B14" s="279">
        <v>24</v>
      </c>
      <c r="C14" s="280"/>
      <c r="D14" s="342">
        <v>2759020000</v>
      </c>
      <c r="E14" s="301"/>
      <c r="F14" s="343">
        <v>276708000</v>
      </c>
      <c r="G14" s="351"/>
      <c r="H14" s="354">
        <f>+H13</f>
        <v>1.335E-3</v>
      </c>
      <c r="I14" s="356">
        <f>'Summary of Rates'!E14</f>
        <v>1.2509999999999999E-3</v>
      </c>
      <c r="J14" s="351"/>
      <c r="K14" s="302">
        <f>ROUND(D14*H14,-3)</f>
        <v>3683000</v>
      </c>
      <c r="L14" s="302">
        <f>ROUND(D14*I14,-3)</f>
        <v>3452000</v>
      </c>
    </row>
    <row r="15" spans="1:14" x14ac:dyDescent="0.2">
      <c r="A15" s="279">
        <f t="shared" si="0"/>
        <v>7</v>
      </c>
      <c r="B15" s="278">
        <v>11</v>
      </c>
      <c r="C15" s="280"/>
      <c r="D15" s="342">
        <v>151312000</v>
      </c>
      <c r="E15" s="301"/>
      <c r="F15" s="343">
        <v>14014000</v>
      </c>
      <c r="G15" s="351"/>
      <c r="H15" s="354">
        <v>1.335E-3</v>
      </c>
      <c r="I15" s="356">
        <f>'Summary of Rates'!E17</f>
        <v>1.408E-3</v>
      </c>
      <c r="J15" s="351"/>
      <c r="K15" s="302">
        <f>ROUND(D15*H15,-3)</f>
        <v>202000</v>
      </c>
      <c r="L15" s="302">
        <f>ROUND(D15*I15,-3)</f>
        <v>213000</v>
      </c>
    </row>
    <row r="16" spans="1:14" x14ac:dyDescent="0.2">
      <c r="A16" s="279">
        <f t="shared" si="0"/>
        <v>8</v>
      </c>
      <c r="B16" s="278">
        <v>25</v>
      </c>
      <c r="C16" s="280"/>
      <c r="D16" s="342">
        <v>2840201000</v>
      </c>
      <c r="E16" s="301"/>
      <c r="F16" s="343">
        <v>263057000</v>
      </c>
      <c r="G16" s="351"/>
      <c r="H16" s="354">
        <f>+H15</f>
        <v>1.335E-3</v>
      </c>
      <c r="I16" s="356">
        <f>'Summary of Rates'!E17</f>
        <v>1.408E-3</v>
      </c>
      <c r="J16" s="351"/>
      <c r="K16" s="302">
        <f>ROUND(D16*H16,-3)</f>
        <v>3792000</v>
      </c>
      <c r="L16" s="302">
        <f>ROUND(D16*I16,-3)</f>
        <v>3999000</v>
      </c>
    </row>
    <row r="17" spans="1:12" x14ac:dyDescent="0.2">
      <c r="A17" s="279">
        <f t="shared" si="0"/>
        <v>9</v>
      </c>
      <c r="B17" s="279">
        <v>12</v>
      </c>
      <c r="C17" s="280"/>
      <c r="D17" s="342">
        <v>20054000</v>
      </c>
      <c r="E17" s="301"/>
      <c r="F17" s="343"/>
      <c r="G17" s="351"/>
      <c r="H17" s="354">
        <v>0</v>
      </c>
      <c r="I17" s="356">
        <f>'Summary of Rates'!E24</f>
        <v>8.5000000000000006E-5</v>
      </c>
      <c r="J17" s="351"/>
      <c r="K17" s="302">
        <f t="shared" ref="K17:K18" si="1">ROUND(D17*H17,-3)</f>
        <v>0</v>
      </c>
      <c r="L17" s="302">
        <f t="shared" ref="L17:L18" si="2">ROUND(D17*I17,-3)</f>
        <v>2000</v>
      </c>
    </row>
    <row r="18" spans="1:12" s="277" customFormat="1" x14ac:dyDescent="0.2">
      <c r="A18" s="279">
        <f t="shared" si="0"/>
        <v>10</v>
      </c>
      <c r="B18" s="278" t="s">
        <v>551</v>
      </c>
      <c r="C18" s="280"/>
      <c r="D18" s="342">
        <v>1893734000</v>
      </c>
      <c r="E18" s="301"/>
      <c r="F18" s="343"/>
      <c r="G18" s="351"/>
      <c r="H18" s="354">
        <v>0</v>
      </c>
      <c r="I18" s="356">
        <f>'Summary of Rates'!E24</f>
        <v>8.5000000000000006E-5</v>
      </c>
      <c r="J18" s="351"/>
      <c r="K18" s="302">
        <f t="shared" si="1"/>
        <v>0</v>
      </c>
      <c r="L18" s="302">
        <f t="shared" si="2"/>
        <v>161000</v>
      </c>
    </row>
    <row r="19" spans="1:12" s="277" customFormat="1" x14ac:dyDescent="0.2">
      <c r="A19" s="279">
        <f t="shared" si="0"/>
        <v>11</v>
      </c>
      <c r="B19" s="279">
        <v>12</v>
      </c>
      <c r="C19" s="280"/>
      <c r="D19" s="342"/>
      <c r="E19" s="301">
        <v>47459</v>
      </c>
      <c r="F19" s="343">
        <v>1701000</v>
      </c>
      <c r="G19" s="351"/>
      <c r="H19" s="355">
        <v>-0.17</v>
      </c>
      <c r="I19" s="357">
        <f>'Summary of Rates'!E23</f>
        <v>-0.06</v>
      </c>
      <c r="J19" s="351"/>
      <c r="K19" s="302">
        <f>ROUND(E19*H19,-3)</f>
        <v>-8000</v>
      </c>
      <c r="L19" s="302">
        <f>ROUND(E19*I19,-3)</f>
        <v>-3000</v>
      </c>
    </row>
    <row r="20" spans="1:12" s="277" customFormat="1" x14ac:dyDescent="0.2">
      <c r="A20" s="279">
        <f t="shared" si="0"/>
        <v>12</v>
      </c>
      <c r="B20" s="278" t="s">
        <v>551</v>
      </c>
      <c r="C20" s="280"/>
      <c r="D20" s="342"/>
      <c r="E20" s="301">
        <v>4359242</v>
      </c>
      <c r="F20" s="343">
        <v>160642000</v>
      </c>
      <c r="G20" s="351"/>
      <c r="H20" s="355">
        <f>+H19</f>
        <v>-0.17</v>
      </c>
      <c r="I20" s="357">
        <f>'Summary of Rates'!E23</f>
        <v>-0.06</v>
      </c>
      <c r="J20" s="351"/>
      <c r="K20" s="302">
        <f>ROUND(E20*H20,-3)</f>
        <v>-741000</v>
      </c>
      <c r="L20" s="302">
        <f>ROUND(E20*I20,-3)</f>
        <v>-262000</v>
      </c>
    </row>
    <row r="21" spans="1:12" s="277" customFormat="1" x14ac:dyDescent="0.2">
      <c r="A21" s="279">
        <f t="shared" si="0"/>
        <v>13</v>
      </c>
      <c r="B21" s="279">
        <v>29</v>
      </c>
      <c r="C21" s="280"/>
      <c r="D21" s="342">
        <v>16193000</v>
      </c>
      <c r="E21" s="301"/>
      <c r="F21" s="343">
        <v>1323000</v>
      </c>
      <c r="G21" s="351"/>
      <c r="H21" s="354">
        <v>1.335E-3</v>
      </c>
      <c r="I21" s="356">
        <f>'Summary of Rates'!E17</f>
        <v>1.408E-3</v>
      </c>
      <c r="J21" s="351"/>
      <c r="K21" s="302">
        <f>ROUND(D21*H21,-3)</f>
        <v>22000</v>
      </c>
      <c r="L21" s="302">
        <f>ROUND(D21*I21,-3)</f>
        <v>23000</v>
      </c>
    </row>
    <row r="22" spans="1:12" s="277" customFormat="1" x14ac:dyDescent="0.2">
      <c r="A22" s="279">
        <f t="shared" si="0"/>
        <v>14</v>
      </c>
      <c r="B22" s="279"/>
      <c r="C22" s="352" t="s">
        <v>79</v>
      </c>
      <c r="D22" s="305">
        <f>SUM(D13:D21)</f>
        <v>7933531000</v>
      </c>
      <c r="E22" s="305">
        <f>SUM(E13:E21)</f>
        <v>4406701</v>
      </c>
      <c r="F22" s="306">
        <f>SUM(F13:F21)</f>
        <v>742821000</v>
      </c>
      <c r="G22" s="351"/>
      <c r="H22" s="350"/>
      <c r="I22" s="350"/>
      <c r="J22" s="351"/>
      <c r="K22" s="306">
        <f>SUM(K13:K21)</f>
        <v>7288000</v>
      </c>
      <c r="L22" s="306">
        <f>SUM(L13:L21)</f>
        <v>7902000</v>
      </c>
    </row>
    <row r="23" spans="1:12" s="277" customFormat="1" x14ac:dyDescent="0.2">
      <c r="A23" s="279">
        <f t="shared" si="0"/>
        <v>15</v>
      </c>
      <c r="B23" s="279"/>
      <c r="C23" s="280"/>
      <c r="D23" s="301"/>
      <c r="E23" s="301"/>
      <c r="F23" s="302"/>
      <c r="G23" s="351"/>
      <c r="H23" s="350"/>
      <c r="I23" s="350"/>
      <c r="J23" s="351"/>
      <c r="K23" s="302"/>
      <c r="L23" s="302"/>
    </row>
    <row r="24" spans="1:12" s="277" customFormat="1" x14ac:dyDescent="0.2">
      <c r="A24" s="279">
        <f t="shared" si="0"/>
        <v>16</v>
      </c>
      <c r="B24" s="279">
        <v>10</v>
      </c>
      <c r="C24" s="280"/>
      <c r="D24" s="342">
        <v>30336000</v>
      </c>
      <c r="E24" s="301"/>
      <c r="F24" s="302"/>
      <c r="G24" s="351"/>
      <c r="H24" s="354">
        <v>0</v>
      </c>
      <c r="I24" s="356">
        <f>'Summary of Rates'!E28</f>
        <v>-5.5999999999999999E-5</v>
      </c>
      <c r="J24" s="351"/>
      <c r="K24" s="302">
        <f>ROUND(D24*H24,-3)</f>
        <v>0</v>
      </c>
      <c r="L24" s="302">
        <f>ROUND(D24*I24,-3)</f>
        <v>-2000</v>
      </c>
    </row>
    <row r="25" spans="1:12" s="277" customFormat="1" x14ac:dyDescent="0.2">
      <c r="A25" s="279">
        <f t="shared" si="0"/>
        <v>17</v>
      </c>
      <c r="B25" s="279">
        <v>31</v>
      </c>
      <c r="C25" s="280"/>
      <c r="D25" s="342">
        <v>1286336000</v>
      </c>
      <c r="E25" s="301"/>
      <c r="F25" s="302"/>
      <c r="G25" s="351"/>
      <c r="H25" s="354">
        <v>0</v>
      </c>
      <c r="I25" s="356">
        <f>'Summary of Rates'!E28</f>
        <v>-5.5999999999999999E-5</v>
      </c>
      <c r="J25" s="351"/>
      <c r="K25" s="302">
        <f>ROUND(D25*H25,-3)</f>
        <v>0</v>
      </c>
      <c r="L25" s="302">
        <f>ROUND(D25*I25,-3)</f>
        <v>-72000</v>
      </c>
    </row>
    <row r="26" spans="1:12" s="277" customFormat="1" x14ac:dyDescent="0.2">
      <c r="A26" s="279">
        <f t="shared" si="0"/>
        <v>18</v>
      </c>
      <c r="B26" s="279">
        <v>10</v>
      </c>
      <c r="C26" s="280"/>
      <c r="D26" s="358"/>
      <c r="E26" s="301">
        <v>65163</v>
      </c>
      <c r="F26" s="343">
        <v>2531000</v>
      </c>
      <c r="G26" s="351"/>
      <c r="H26" s="355">
        <v>-0.04</v>
      </c>
      <c r="I26" s="357">
        <f>'Summary of Rates'!E27</f>
        <v>-0.08</v>
      </c>
      <c r="J26" s="351"/>
      <c r="K26" s="302">
        <f>ROUND(E26*H26,-3)</f>
        <v>-3000</v>
      </c>
      <c r="L26" s="302">
        <f>ROUND(E26*I26,-3)</f>
        <v>-5000</v>
      </c>
    </row>
    <row r="27" spans="1:12" s="277" customFormat="1" x14ac:dyDescent="0.2">
      <c r="A27" s="279">
        <f t="shared" si="0"/>
        <v>19</v>
      </c>
      <c r="B27" s="279">
        <v>31</v>
      </c>
      <c r="C27" s="280"/>
      <c r="D27" s="358"/>
      <c r="E27" s="301">
        <v>3173045</v>
      </c>
      <c r="F27" s="343">
        <v>107316000</v>
      </c>
      <c r="G27" s="351"/>
      <c r="H27" s="355">
        <f>+H26</f>
        <v>-0.04</v>
      </c>
      <c r="I27" s="357">
        <f>'Summary of Rates'!E27</f>
        <v>-0.08</v>
      </c>
      <c r="J27" s="351"/>
      <c r="K27" s="302">
        <f>ROUND(E27*H27,-3)</f>
        <v>-127000</v>
      </c>
      <c r="L27" s="302">
        <f>ROUND(E27*I27,-3)</f>
        <v>-254000</v>
      </c>
    </row>
    <row r="28" spans="1:12" s="277" customFormat="1" x14ac:dyDescent="0.2">
      <c r="A28" s="279">
        <f t="shared" si="0"/>
        <v>20</v>
      </c>
      <c r="B28" s="279">
        <v>35</v>
      </c>
      <c r="C28" s="280"/>
      <c r="D28" s="342">
        <v>5161000</v>
      </c>
      <c r="E28" s="301"/>
      <c r="F28" s="343">
        <v>306000</v>
      </c>
      <c r="G28" s="351"/>
      <c r="H28" s="354">
        <v>1.335E-3</v>
      </c>
      <c r="I28" s="356">
        <f>'Summary of Rates'!E17</f>
        <v>1.408E-3</v>
      </c>
      <c r="J28" s="351"/>
      <c r="K28" s="302">
        <f>ROUND(D28*H28,-3)</f>
        <v>7000</v>
      </c>
      <c r="L28" s="302">
        <f>ROUND(D28*I28,-3)</f>
        <v>7000</v>
      </c>
    </row>
    <row r="29" spans="1:12" s="277" customFormat="1" x14ac:dyDescent="0.2">
      <c r="A29" s="279">
        <f t="shared" si="0"/>
        <v>21</v>
      </c>
      <c r="B29" s="279">
        <v>43</v>
      </c>
      <c r="C29" s="280"/>
      <c r="D29" s="342">
        <v>123190000</v>
      </c>
      <c r="E29" s="301"/>
      <c r="F29" s="343">
        <v>11211000</v>
      </c>
      <c r="G29" s="351"/>
      <c r="H29" s="354">
        <v>1.335E-3</v>
      </c>
      <c r="I29" s="356">
        <f>'Summary of Rates'!E17</f>
        <v>1.408E-3</v>
      </c>
      <c r="J29" s="351"/>
      <c r="K29" s="302">
        <f>ROUND(D29*H29,-3)</f>
        <v>164000</v>
      </c>
      <c r="L29" s="302">
        <f>ROUND(D29*I29,-3)</f>
        <v>173000</v>
      </c>
    </row>
    <row r="30" spans="1:12" s="277" customFormat="1" x14ac:dyDescent="0.2">
      <c r="A30" s="279">
        <f t="shared" si="0"/>
        <v>22</v>
      </c>
      <c r="B30" s="279"/>
      <c r="C30" s="280" t="s">
        <v>80</v>
      </c>
      <c r="D30" s="305">
        <f>SUM(D24:D29)</f>
        <v>1445023000</v>
      </c>
      <c r="E30" s="305">
        <f>SUM(E26:E29)</f>
        <v>3238208</v>
      </c>
      <c r="F30" s="306">
        <f>SUM(F26:F29)</f>
        <v>121364000</v>
      </c>
      <c r="G30" s="351"/>
      <c r="H30" s="350"/>
      <c r="I30" s="350"/>
      <c r="J30" s="351"/>
      <c r="K30" s="306">
        <f>SUM(K24:K29)</f>
        <v>41000</v>
      </c>
      <c r="L30" s="306">
        <f>SUM(L24:L29)</f>
        <v>-153000</v>
      </c>
    </row>
    <row r="31" spans="1:12" s="277" customFormat="1" x14ac:dyDescent="0.2">
      <c r="A31" s="279">
        <f t="shared" si="0"/>
        <v>23</v>
      </c>
      <c r="B31" s="279"/>
      <c r="C31" s="280"/>
      <c r="D31" s="301"/>
      <c r="E31" s="301"/>
      <c r="F31" s="302"/>
      <c r="G31" s="351"/>
      <c r="H31" s="350"/>
      <c r="I31" s="350"/>
      <c r="J31" s="351"/>
      <c r="K31" s="302"/>
      <c r="L31" s="302"/>
    </row>
    <row r="32" spans="1:12" s="277" customFormat="1" x14ac:dyDescent="0.2">
      <c r="A32" s="279">
        <f t="shared" si="0"/>
        <v>24</v>
      </c>
      <c r="B32" s="279">
        <v>40</v>
      </c>
      <c r="C32" s="280"/>
      <c r="D32" s="344">
        <v>679072000</v>
      </c>
      <c r="E32" s="301"/>
      <c r="F32" s="343">
        <v>51132000</v>
      </c>
      <c r="G32" s="351"/>
      <c r="H32" s="354">
        <v>1.335E-3</v>
      </c>
      <c r="I32" s="356">
        <f>'Summary of Rates'!E20</f>
        <v>1.7980000000000001E-3</v>
      </c>
      <c r="J32" s="351"/>
      <c r="K32" s="302">
        <f>ROUND(D32*H32,-3)</f>
        <v>907000</v>
      </c>
      <c r="L32" s="302">
        <f>ROUND(D32*I32,-3)</f>
        <v>1221000</v>
      </c>
    </row>
    <row r="33" spans="1:12" s="277" customFormat="1" x14ac:dyDescent="0.2">
      <c r="A33" s="279">
        <f t="shared" si="0"/>
        <v>25</v>
      </c>
      <c r="B33" s="279"/>
      <c r="C33" s="280"/>
      <c r="D33" s="301"/>
      <c r="E33" s="301"/>
      <c r="F33" s="343"/>
      <c r="G33" s="351"/>
      <c r="H33" s="350"/>
      <c r="I33" s="350"/>
      <c r="J33" s="351"/>
      <c r="K33" s="302"/>
      <c r="L33" s="302"/>
    </row>
    <row r="34" spans="1:12" s="277" customFormat="1" x14ac:dyDescent="0.2">
      <c r="A34" s="279">
        <f t="shared" si="0"/>
        <v>26</v>
      </c>
      <c r="B34" s="279">
        <v>46</v>
      </c>
      <c r="C34" s="280"/>
      <c r="D34" s="342">
        <v>72776000</v>
      </c>
      <c r="E34" s="301"/>
      <c r="F34" s="343">
        <v>4993000</v>
      </c>
      <c r="G34" s="351"/>
      <c r="H34" s="354">
        <v>1.335E-3</v>
      </c>
      <c r="I34" s="356">
        <f>'Summary of Rates'!E31</f>
        <v>1.323E-3</v>
      </c>
      <c r="J34" s="351"/>
      <c r="K34" s="302">
        <f>ROUND(D34*H34,-3)</f>
        <v>97000</v>
      </c>
      <c r="L34" s="302">
        <f>ROUND(D34*I34,-3)</f>
        <v>96000</v>
      </c>
    </row>
    <row r="35" spans="1:12" s="277" customFormat="1" x14ac:dyDescent="0.2">
      <c r="A35" s="279">
        <f t="shared" si="0"/>
        <v>27</v>
      </c>
      <c r="B35" s="279">
        <v>49</v>
      </c>
      <c r="C35" s="280"/>
      <c r="D35" s="342">
        <v>584007000</v>
      </c>
      <c r="E35" s="301"/>
      <c r="F35" s="343">
        <v>39323000</v>
      </c>
      <c r="G35" s="351"/>
      <c r="H35" s="354">
        <v>1.335E-3</v>
      </c>
      <c r="I35" s="356">
        <f>'Summary of Rates'!E31</f>
        <v>1.323E-3</v>
      </c>
      <c r="J35" s="351"/>
      <c r="K35" s="302">
        <f>ROUND(D35*H35,-3)</f>
        <v>780000</v>
      </c>
      <c r="L35" s="302">
        <f>ROUND(D35*I35,-3)</f>
        <v>773000</v>
      </c>
    </row>
    <row r="36" spans="1:12" s="277" customFormat="1" x14ac:dyDescent="0.2">
      <c r="A36" s="279">
        <f t="shared" si="0"/>
        <v>28</v>
      </c>
      <c r="B36" s="279"/>
      <c r="C36" s="280" t="s">
        <v>81</v>
      </c>
      <c r="D36" s="305">
        <f>SUM(D34:D35)</f>
        <v>656783000</v>
      </c>
      <c r="E36" s="301"/>
      <c r="F36" s="306">
        <f>SUM(F34:F35)</f>
        <v>44316000</v>
      </c>
      <c r="G36" s="351"/>
      <c r="H36" s="350"/>
      <c r="I36" s="350"/>
      <c r="J36" s="351"/>
      <c r="K36" s="306">
        <f>SUM(K34:K35)</f>
        <v>877000</v>
      </c>
      <c r="L36" s="306">
        <f>SUM(L34:L35)</f>
        <v>869000</v>
      </c>
    </row>
    <row r="37" spans="1:12" s="277" customFormat="1" x14ac:dyDescent="0.2">
      <c r="A37" s="279">
        <f t="shared" si="0"/>
        <v>29</v>
      </c>
      <c r="B37" s="279"/>
      <c r="C37" s="280"/>
      <c r="D37" s="301"/>
      <c r="E37" s="301"/>
      <c r="F37" s="302"/>
      <c r="G37" s="351"/>
      <c r="H37" s="353"/>
      <c r="I37" s="353"/>
      <c r="J37" s="351"/>
      <c r="K37" s="302"/>
      <c r="L37" s="302"/>
    </row>
    <row r="38" spans="1:12" s="277" customFormat="1" x14ac:dyDescent="0.2">
      <c r="A38" s="279">
        <f t="shared" si="0"/>
        <v>30</v>
      </c>
      <c r="B38" s="279" t="s">
        <v>82</v>
      </c>
      <c r="C38" s="280"/>
      <c r="D38" s="344">
        <v>76506000</v>
      </c>
      <c r="E38" s="301"/>
      <c r="F38" s="343">
        <v>18910000</v>
      </c>
      <c r="G38" s="351"/>
      <c r="H38" s="353"/>
      <c r="I38" s="353"/>
      <c r="J38" s="351"/>
      <c r="K38" s="302">
        <f>ROUND(D38*H38,-3)</f>
        <v>0</v>
      </c>
      <c r="L38" s="302">
        <f>ROUND(D38*I38,-3)</f>
        <v>0</v>
      </c>
    </row>
    <row r="39" spans="1:12" s="277" customFormat="1" x14ac:dyDescent="0.2">
      <c r="A39" s="279">
        <f t="shared" si="0"/>
        <v>31</v>
      </c>
      <c r="B39" s="279"/>
      <c r="C39" s="280"/>
      <c r="D39" s="301"/>
      <c r="E39" s="301"/>
      <c r="F39" s="343"/>
      <c r="G39" s="351"/>
      <c r="H39" s="353"/>
      <c r="I39" s="353"/>
      <c r="J39" s="351"/>
      <c r="K39" s="302"/>
      <c r="L39" s="302"/>
    </row>
    <row r="40" spans="1:12" s="277" customFormat="1" x14ac:dyDescent="0.2">
      <c r="A40" s="279">
        <f t="shared" si="0"/>
        <v>32</v>
      </c>
      <c r="B40" s="279" t="s">
        <v>83</v>
      </c>
      <c r="C40" s="280"/>
      <c r="D40" s="344">
        <v>2088697000</v>
      </c>
      <c r="E40" s="301"/>
      <c r="F40" s="343">
        <v>8505000</v>
      </c>
      <c r="G40" s="351"/>
      <c r="H40" s="353"/>
      <c r="I40" s="353"/>
      <c r="J40" s="351"/>
      <c r="K40" s="302">
        <f>ROUND(D40*H40,-3)</f>
        <v>0</v>
      </c>
      <c r="L40" s="302">
        <f>ROUND(D40*I40,-3)</f>
        <v>0</v>
      </c>
    </row>
    <row r="41" spans="1:12" s="277" customFormat="1" x14ac:dyDescent="0.2">
      <c r="A41" s="279">
        <f t="shared" si="0"/>
        <v>33</v>
      </c>
      <c r="B41" s="279"/>
      <c r="C41" s="280"/>
      <c r="D41" s="301"/>
      <c r="E41" s="301"/>
      <c r="F41" s="302"/>
      <c r="G41" s="351"/>
      <c r="H41" s="353"/>
      <c r="I41" s="353"/>
      <c r="J41" s="351"/>
      <c r="K41" s="302"/>
      <c r="L41" s="302"/>
    </row>
    <row r="42" spans="1:12" s="277" customFormat="1" ht="13.5" thickBot="1" x14ac:dyDescent="0.25">
      <c r="A42" s="279">
        <f t="shared" si="0"/>
        <v>34</v>
      </c>
      <c r="B42" s="279"/>
      <c r="C42" s="352" t="s">
        <v>552</v>
      </c>
      <c r="D42" s="308">
        <f>SUM(D11,D22,D30,D32,D36,D38,D40)</f>
        <v>23518981000</v>
      </c>
      <c r="E42" s="308">
        <f>SUM(E11,E22,E30,E32,E36,E38,E40)</f>
        <v>7644909</v>
      </c>
      <c r="F42" s="309">
        <f>SUM(F11,F22,F30,F32,F36,F38,F40)</f>
        <v>2146668000</v>
      </c>
      <c r="G42" s="351"/>
      <c r="H42" s="353"/>
      <c r="I42" s="353"/>
      <c r="J42" s="351"/>
      <c r="K42" s="309">
        <f>SUM(K11,K22,K30,K32,K36,K38,K40)</f>
        <v>21891000</v>
      </c>
      <c r="L42" s="309">
        <f>SUM(L11,L22,L30,L32,L36,L38,L40)</f>
        <v>-3316000</v>
      </c>
    </row>
    <row r="43" spans="1:12" s="277" customFormat="1" ht="13.5" thickTop="1" x14ac:dyDescent="0.2">
      <c r="A43" s="297"/>
      <c r="B43" s="297"/>
      <c r="C43" s="297"/>
      <c r="D43" s="297"/>
      <c r="E43" s="297"/>
      <c r="F43" s="297"/>
      <c r="G43" s="339"/>
      <c r="H43" s="297"/>
      <c r="I43" s="297"/>
      <c r="J43" s="339"/>
      <c r="K43" s="297"/>
      <c r="L43" s="297"/>
    </row>
    <row r="44" spans="1:12" s="277" customFormat="1" x14ac:dyDescent="0.2">
      <c r="A44" s="297"/>
      <c r="B44" s="297"/>
      <c r="C44" s="297"/>
      <c r="D44" s="297"/>
      <c r="E44" s="297"/>
      <c r="F44" s="297"/>
      <c r="G44" s="339"/>
      <c r="H44" s="297"/>
      <c r="I44" s="297"/>
      <c r="J44" s="339"/>
      <c r="K44" s="297"/>
      <c r="L44" s="297"/>
    </row>
    <row r="45" spans="1:12" s="277" customFormat="1" x14ac:dyDescent="0.2">
      <c r="A45" s="297"/>
      <c r="B45" s="297"/>
      <c r="C45" s="297"/>
      <c r="D45" s="297"/>
      <c r="E45" s="297"/>
      <c r="F45" s="297"/>
      <c r="G45" s="339"/>
      <c r="H45" s="297"/>
      <c r="I45" s="297"/>
      <c r="J45" s="339"/>
      <c r="K45" s="297"/>
      <c r="L45" s="297"/>
    </row>
    <row r="46" spans="1:12" s="277" customFormat="1" x14ac:dyDescent="0.2">
      <c r="A46" s="297"/>
      <c r="B46" s="297"/>
      <c r="C46" s="297"/>
      <c r="D46" s="297"/>
      <c r="E46" s="297"/>
      <c r="F46" s="297"/>
      <c r="G46" s="339"/>
      <c r="H46" s="297"/>
      <c r="I46" s="297"/>
      <c r="J46" s="339"/>
      <c r="K46" s="297"/>
      <c r="L46" s="297"/>
    </row>
  </sheetData>
  <mergeCells count="6">
    <mergeCell ref="A1:L1"/>
    <mergeCell ref="A2:L2"/>
    <mergeCell ref="A3:L3"/>
    <mergeCell ref="A5:L5"/>
    <mergeCell ref="D6:F6"/>
    <mergeCell ref="A4:L4"/>
  </mergeCells>
  <printOptions horizontalCentered="1"/>
  <pageMargins left="0.25" right="0.25" top="0.75" bottom="0.75" header="0.3" footer="0.3"/>
  <pageSetup scale="86" orientation="landscape" blackAndWhite="1" r:id="rId1"/>
  <headerFooter>
    <oddHeader>&amp;RAdvice No. 2018-xx
Exhibit No. 17</oddHeader>
    <oddFooter>&amp;L&amp;F
&amp;A&amp;R&amp;D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C48" sqref="C48"/>
    </sheetView>
  </sheetViews>
  <sheetFormatPr defaultRowHeight="15"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4"/>
  <sheetViews>
    <sheetView zoomScaleNormal="100" workbookViewId="0">
      <selection activeCell="C48" sqref="C48"/>
    </sheetView>
  </sheetViews>
  <sheetFormatPr defaultRowHeight="12.75" x14ac:dyDescent="0.2"/>
  <cols>
    <col min="1" max="1" width="5.28515625" style="2" customWidth="1"/>
    <col min="2" max="2" width="50.7109375" style="2" customWidth="1"/>
    <col min="3" max="3" width="21.7109375" style="2" bestFit="1" customWidth="1"/>
    <col min="4" max="4" width="16.42578125" style="2" customWidth="1"/>
    <col min="5" max="5" width="17.7109375" style="2" bestFit="1" customWidth="1"/>
    <col min="6" max="16384" width="9.140625" style="2"/>
  </cols>
  <sheetData>
    <row r="1" spans="1:13" x14ac:dyDescent="0.2">
      <c r="A1" s="504" t="s">
        <v>0</v>
      </c>
      <c r="B1" s="504"/>
      <c r="C1" s="504"/>
      <c r="D1" s="504"/>
      <c r="E1" s="504"/>
      <c r="F1" s="1"/>
      <c r="G1" s="1"/>
      <c r="H1" s="1"/>
      <c r="I1" s="1"/>
      <c r="J1" s="1"/>
      <c r="K1" s="1"/>
      <c r="L1" s="1"/>
      <c r="M1" s="1"/>
    </row>
    <row r="2" spans="1:13" x14ac:dyDescent="0.2">
      <c r="A2" s="504" t="str">
        <f>'Delivery Rate Change Calc'!A2:H2</f>
        <v>2018 Electric Decoupling Filing</v>
      </c>
      <c r="B2" s="504"/>
      <c r="C2" s="504"/>
      <c r="D2" s="504"/>
      <c r="E2" s="504"/>
      <c r="F2" s="1"/>
      <c r="G2" s="1"/>
      <c r="H2" s="1"/>
      <c r="I2" s="1"/>
      <c r="J2" s="1"/>
      <c r="K2" s="1"/>
      <c r="L2" s="1"/>
      <c r="M2" s="1"/>
    </row>
    <row r="3" spans="1:13" x14ac:dyDescent="0.2">
      <c r="A3" s="504" t="s">
        <v>269</v>
      </c>
      <c r="B3" s="504"/>
      <c r="C3" s="504"/>
      <c r="D3" s="504"/>
      <c r="E3" s="504"/>
      <c r="F3" s="1"/>
      <c r="G3" s="1"/>
      <c r="H3" s="1"/>
      <c r="I3" s="1"/>
      <c r="J3" s="1"/>
      <c r="K3" s="1"/>
      <c r="L3" s="1"/>
      <c r="M3" s="1"/>
    </row>
    <row r="4" spans="1:13" x14ac:dyDescent="0.2">
      <c r="A4" s="504" t="str">
        <f>'Delivery Rate Change Calc'!A4:H4</f>
        <v>Proposed Effective May 1, 2018</v>
      </c>
      <c r="B4" s="504"/>
      <c r="C4" s="504"/>
      <c r="D4" s="504"/>
      <c r="E4" s="504"/>
      <c r="F4" s="1"/>
      <c r="G4" s="1"/>
      <c r="H4" s="1"/>
      <c r="I4" s="1"/>
      <c r="J4" s="1"/>
      <c r="K4" s="1"/>
      <c r="L4" s="1"/>
      <c r="M4" s="1"/>
    </row>
    <row r="5" spans="1:13" x14ac:dyDescent="0.2">
      <c r="A5" s="3"/>
      <c r="B5" s="3"/>
      <c r="C5" s="3"/>
      <c r="D5" s="3"/>
      <c r="E5" s="3"/>
    </row>
    <row r="6" spans="1:13" ht="12.75" customHeight="1" x14ac:dyDescent="0.2">
      <c r="A6" s="3"/>
      <c r="B6" s="3"/>
      <c r="C6" s="3"/>
      <c r="D6" s="3"/>
      <c r="E6" s="4"/>
    </row>
    <row r="7" spans="1:13" ht="12.75" customHeight="1" x14ac:dyDescent="0.2">
      <c r="A7" s="5" t="s">
        <v>2</v>
      </c>
      <c r="B7" s="3"/>
      <c r="C7" s="3"/>
      <c r="D7" s="6" t="s">
        <v>4</v>
      </c>
      <c r="E7" s="6" t="s">
        <v>4</v>
      </c>
    </row>
    <row r="8" spans="1:13" x14ac:dyDescent="0.2">
      <c r="A8" s="7" t="s">
        <v>5</v>
      </c>
      <c r="B8" s="8"/>
      <c r="C8" s="7" t="s">
        <v>6</v>
      </c>
      <c r="D8" s="7" t="s">
        <v>24</v>
      </c>
      <c r="E8" s="7" t="s">
        <v>25</v>
      </c>
    </row>
    <row r="9" spans="1:13" x14ac:dyDescent="0.2">
      <c r="A9" s="9"/>
      <c r="B9" s="10" t="s">
        <v>9</v>
      </c>
      <c r="C9" s="10" t="s">
        <v>10</v>
      </c>
      <c r="D9" s="10" t="s">
        <v>11</v>
      </c>
      <c r="E9" s="10" t="s">
        <v>12</v>
      </c>
    </row>
    <row r="10" spans="1:13" x14ac:dyDescent="0.2">
      <c r="A10" s="10"/>
      <c r="B10" s="11"/>
      <c r="C10" s="10"/>
      <c r="D10" s="10"/>
      <c r="E10" s="10"/>
    </row>
    <row r="11" spans="1:13" x14ac:dyDescent="0.2">
      <c r="A11" s="10">
        <v>1</v>
      </c>
      <c r="B11" s="9"/>
      <c r="C11" s="10"/>
      <c r="D11" s="12"/>
      <c r="E11" s="12"/>
    </row>
    <row r="12" spans="1:13" x14ac:dyDescent="0.2">
      <c r="A12" s="10">
        <f t="shared" ref="A12:A32" si="0">A11+1</f>
        <v>2</v>
      </c>
      <c r="B12" s="9" t="s">
        <v>271</v>
      </c>
      <c r="C12" s="10" t="s">
        <v>637</v>
      </c>
      <c r="D12" s="13">
        <f>'Delivery Deferral Balance'!H20</f>
        <v>-11868.971676568066</v>
      </c>
      <c r="E12" s="13">
        <f>'Delivery Deferral Balance'!I20</f>
        <v>-98641.02469351716</v>
      </c>
    </row>
    <row r="13" spans="1:13" x14ac:dyDescent="0.2">
      <c r="A13" s="10">
        <f t="shared" si="0"/>
        <v>3</v>
      </c>
      <c r="B13" s="9"/>
      <c r="C13" s="10"/>
      <c r="D13" s="12"/>
      <c r="E13" s="12"/>
    </row>
    <row r="14" spans="1:13" x14ac:dyDescent="0.2">
      <c r="A14" s="10">
        <f t="shared" si="0"/>
        <v>4</v>
      </c>
      <c r="B14" s="9" t="s">
        <v>272</v>
      </c>
      <c r="C14" s="10" t="s">
        <v>637</v>
      </c>
      <c r="D14" s="13">
        <f>'Delivery Deferral Balance'!H22</f>
        <v>328949.77456619462</v>
      </c>
      <c r="E14" s="13">
        <f>'Delivery Deferral Balance'!I22</f>
        <v>259161.51644396278</v>
      </c>
    </row>
    <row r="15" spans="1:13" x14ac:dyDescent="0.2">
      <c r="A15" s="10">
        <f t="shared" si="0"/>
        <v>5</v>
      </c>
      <c r="B15" s="9"/>
      <c r="C15" s="10"/>
      <c r="D15" s="13"/>
      <c r="E15" s="13"/>
    </row>
    <row r="16" spans="1:13" x14ac:dyDescent="0.2">
      <c r="A16" s="10">
        <f t="shared" si="0"/>
        <v>6</v>
      </c>
      <c r="B16" s="9" t="s">
        <v>273</v>
      </c>
      <c r="C16" s="10" t="s">
        <v>637</v>
      </c>
      <c r="D16" s="13">
        <f>'Delivery Deferral Balance'!H24</f>
        <v>-33217.980124687994</v>
      </c>
      <c r="E16" s="13">
        <f>'Delivery Deferral Balance'!I24</f>
        <v>-14111.368442590701</v>
      </c>
    </row>
    <row r="17" spans="1:5" x14ac:dyDescent="0.2">
      <c r="A17" s="10">
        <f t="shared" si="0"/>
        <v>7</v>
      </c>
      <c r="B17" s="9"/>
      <c r="C17" s="10"/>
      <c r="D17" s="13"/>
      <c r="E17" s="13"/>
    </row>
    <row r="18" spans="1:5" x14ac:dyDescent="0.2">
      <c r="A18" s="10">
        <f t="shared" si="0"/>
        <v>8</v>
      </c>
      <c r="B18" s="9" t="s">
        <v>274</v>
      </c>
      <c r="C18" s="10" t="s">
        <v>322</v>
      </c>
      <c r="D18" s="14">
        <f>-'Earn Test Alloc 2017'!G18</f>
        <v>-559630.85488</v>
      </c>
      <c r="E18" s="14">
        <f>-'Earn Test Alloc 2017'!H18</f>
        <v>-417633.48113999999</v>
      </c>
    </row>
    <row r="19" spans="1:5" x14ac:dyDescent="0.2">
      <c r="A19" s="10">
        <f t="shared" si="0"/>
        <v>9</v>
      </c>
      <c r="B19" s="9"/>
      <c r="C19" s="10"/>
      <c r="D19" s="12"/>
      <c r="E19" s="12"/>
    </row>
    <row r="20" spans="1:5" x14ac:dyDescent="0.2">
      <c r="A20" s="10">
        <f t="shared" si="0"/>
        <v>10</v>
      </c>
      <c r="B20" s="9" t="s">
        <v>16</v>
      </c>
      <c r="C20" s="10" t="str">
        <f>"("&amp;A12&amp;")+("&amp;A14&amp;")+("&amp;A16&amp;")+("&amp;A18&amp;")"</f>
        <v>(2)+(4)+(6)+(8)</v>
      </c>
      <c r="D20" s="12">
        <f>D12+D14+D16+D18</f>
        <v>-275768.03211506148</v>
      </c>
      <c r="E20" s="12">
        <f t="shared" ref="E20" si="1">E12+E14+E16+E18</f>
        <v>-271224.35783214506</v>
      </c>
    </row>
    <row r="21" spans="1:5" x14ac:dyDescent="0.2">
      <c r="A21" s="10">
        <f t="shared" si="0"/>
        <v>11</v>
      </c>
      <c r="B21" s="9"/>
      <c r="C21" s="10"/>
      <c r="D21" s="12"/>
      <c r="E21" s="12"/>
    </row>
    <row r="22" spans="1:5" x14ac:dyDescent="0.2">
      <c r="A22" s="10">
        <f t="shared" si="0"/>
        <v>12</v>
      </c>
      <c r="B22" s="9" t="s">
        <v>26</v>
      </c>
      <c r="C22" s="10" t="s">
        <v>639</v>
      </c>
      <c r="D22" s="15">
        <f>Forecast!P28</f>
        <v>4473623</v>
      </c>
      <c r="E22" s="15">
        <f>Forecast!P29</f>
        <v>3290287</v>
      </c>
    </row>
    <row r="23" spans="1:5" x14ac:dyDescent="0.2">
      <c r="A23" s="10">
        <f t="shared" si="0"/>
        <v>13</v>
      </c>
      <c r="B23" s="3"/>
      <c r="C23" s="3"/>
      <c r="D23" s="3"/>
      <c r="E23" s="3"/>
    </row>
    <row r="24" spans="1:5" ht="13.5" thickBot="1" x14ac:dyDescent="0.25">
      <c r="A24" s="10">
        <f t="shared" si="0"/>
        <v>14</v>
      </c>
      <c r="B24" s="9" t="s">
        <v>27</v>
      </c>
      <c r="C24" s="10" t="str">
        <f>"("&amp;A20&amp;") / ("&amp;A22&amp;")"</f>
        <v>(10) / (12)</v>
      </c>
      <c r="D24" s="19">
        <f>ROUND(D20/D22,2)</f>
        <v>-0.06</v>
      </c>
      <c r="E24" s="19">
        <f>ROUND(E20/E22,2)</f>
        <v>-0.08</v>
      </c>
    </row>
    <row r="25" spans="1:5" ht="13.5" thickTop="1" x14ac:dyDescent="0.2">
      <c r="A25" s="10">
        <f t="shared" si="0"/>
        <v>15</v>
      </c>
      <c r="B25" s="3"/>
      <c r="C25" s="3"/>
      <c r="D25" s="3"/>
      <c r="E25" s="3"/>
    </row>
    <row r="26" spans="1:5" x14ac:dyDescent="0.2">
      <c r="A26" s="10">
        <f t="shared" si="0"/>
        <v>16</v>
      </c>
      <c r="B26" s="9" t="s">
        <v>28</v>
      </c>
      <c r="C26" s="10" t="s">
        <v>641</v>
      </c>
      <c r="D26" s="20">
        <f>'Rate Test 26&amp;31'!D45</f>
        <v>-0.06</v>
      </c>
      <c r="E26" s="20">
        <f>'Rate Test 26&amp;31'!E45</f>
        <v>-0.08</v>
      </c>
    </row>
    <row r="27" spans="1:5" x14ac:dyDescent="0.2">
      <c r="A27" s="10">
        <f t="shared" si="0"/>
        <v>17</v>
      </c>
      <c r="B27" s="9"/>
      <c r="C27" s="10"/>
      <c r="D27" s="3"/>
      <c r="E27" s="3"/>
    </row>
    <row r="28" spans="1:5" x14ac:dyDescent="0.2">
      <c r="A28" s="10">
        <f t="shared" si="0"/>
        <v>18</v>
      </c>
      <c r="B28" s="9" t="s">
        <v>20</v>
      </c>
      <c r="C28" s="10" t="s">
        <v>21</v>
      </c>
      <c r="D28" s="12">
        <f>IF(D24=D26,D14,(D14-((D24-D26)*D22)))</f>
        <v>328949.77456619462</v>
      </c>
      <c r="E28" s="12">
        <f t="shared" ref="E28" si="2">IF(E24=E26,E14,(E14-((E24-E26)*E22)))</f>
        <v>259161.51644396278</v>
      </c>
    </row>
    <row r="29" spans="1:5" x14ac:dyDescent="0.2">
      <c r="A29" s="10">
        <f t="shared" si="0"/>
        <v>19</v>
      </c>
      <c r="B29" s="3"/>
      <c r="C29" s="3"/>
      <c r="D29" s="12"/>
      <c r="E29" s="18"/>
    </row>
    <row r="30" spans="1:5" x14ac:dyDescent="0.2">
      <c r="A30" s="10">
        <f t="shared" si="0"/>
        <v>20</v>
      </c>
      <c r="B30" s="9" t="s">
        <v>22</v>
      </c>
      <c r="C30" s="10" t="str">
        <f>"("&amp;A12&amp;")+("&amp;A16&amp;")+("&amp;A18&amp;")+("&amp;A28&amp;")"</f>
        <v>(2)+(6)+(8)+(18)</v>
      </c>
      <c r="D30" s="12">
        <f>D28+D12+D16+D18</f>
        <v>-275768.03211506148</v>
      </c>
      <c r="E30" s="18">
        <f>E28+E12+E16+E18</f>
        <v>-271224.35783214506</v>
      </c>
    </row>
    <row r="31" spans="1:5" x14ac:dyDescent="0.2">
      <c r="A31" s="10">
        <f t="shared" si="0"/>
        <v>21</v>
      </c>
      <c r="B31" s="3"/>
      <c r="C31" s="3"/>
      <c r="D31" s="9"/>
      <c r="E31" s="9"/>
    </row>
    <row r="32" spans="1:5" x14ac:dyDescent="0.2">
      <c r="A32" s="10">
        <f t="shared" si="0"/>
        <v>22</v>
      </c>
      <c r="B32" s="9" t="s">
        <v>23</v>
      </c>
      <c r="C32" s="10" t="str">
        <f>"("&amp;A$30&amp;") - ("&amp;A20&amp;")"</f>
        <v>(20) - (10)</v>
      </c>
      <c r="D32" s="18">
        <f>D30-D20</f>
        <v>0</v>
      </c>
      <c r="E32" s="18">
        <f t="shared" ref="E32" si="3">E30-E20</f>
        <v>0</v>
      </c>
    </row>
    <row r="33" spans="1:5" x14ac:dyDescent="0.2">
      <c r="A33" s="3"/>
      <c r="B33" s="9"/>
      <c r="C33" s="3"/>
      <c r="D33" s="3"/>
      <c r="E33" s="3"/>
    </row>
    <row r="34" spans="1:5" x14ac:dyDescent="0.2">
      <c r="B34" s="9"/>
    </row>
  </sheetData>
  <mergeCells count="4">
    <mergeCell ref="A1:E1"/>
    <mergeCell ref="A2:E2"/>
    <mergeCell ref="A3:E3"/>
    <mergeCell ref="A4:E4"/>
  </mergeCells>
  <printOptions horizontalCentered="1"/>
  <pageMargins left="0.7" right="0.7" top="0.75" bottom="0.75" header="0.3" footer="0.3"/>
  <pageSetup orientation="landscape" blackAndWhite="1" r:id="rId1"/>
  <headerFooter>
    <oddHeader>&amp;RAdvice No. 2018-xx
Exhibit No. 2</oddHeader>
    <oddFooter>&amp;L&amp;F
&amp;A&amp;R&amp;D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40625" defaultRowHeight="12.75" x14ac:dyDescent="0.2"/>
  <cols>
    <col min="1" max="1" width="3.7109375" style="54" customWidth="1"/>
    <col min="2" max="2" width="41" style="54" customWidth="1"/>
    <col min="3" max="3" width="15.5703125" style="54" bestFit="1" customWidth="1"/>
    <col min="4" max="8" width="13.7109375" style="54" customWidth="1"/>
    <col min="9" max="10" width="14.5703125" style="54" bestFit="1" customWidth="1"/>
    <col min="11" max="11" width="13.7109375" style="54" customWidth="1"/>
    <col min="12" max="14" width="14.5703125" style="54" bestFit="1" customWidth="1"/>
    <col min="15" max="15" width="15" style="54" bestFit="1" customWidth="1"/>
    <col min="16" max="17" width="12.28515625" style="54" customWidth="1"/>
    <col min="18" max="31" width="9.140625" style="54"/>
    <col min="32" max="32" width="9.140625" style="54" customWidth="1"/>
    <col min="33" max="16384" width="9.140625" style="54"/>
  </cols>
  <sheetData>
    <row r="1" spans="1:20" x14ac:dyDescent="0.2">
      <c r="A1" s="506" t="s">
        <v>0</v>
      </c>
      <c r="B1" s="506"/>
      <c r="C1" s="506"/>
      <c r="D1" s="506"/>
      <c r="E1" s="506"/>
      <c r="F1" s="506"/>
      <c r="G1" s="506"/>
      <c r="H1" s="506"/>
      <c r="I1" s="506"/>
      <c r="J1" s="506"/>
      <c r="K1" s="506"/>
      <c r="L1" s="506"/>
      <c r="M1" s="506"/>
      <c r="N1" s="506"/>
      <c r="O1" s="506"/>
    </row>
    <row r="2" spans="1:20" x14ac:dyDescent="0.2">
      <c r="A2" s="506" t="s">
        <v>559</v>
      </c>
      <c r="B2" s="506"/>
      <c r="C2" s="506"/>
      <c r="D2" s="506"/>
      <c r="E2" s="506"/>
      <c r="F2" s="506"/>
      <c r="G2" s="506"/>
      <c r="H2" s="506"/>
      <c r="I2" s="506"/>
      <c r="J2" s="506"/>
      <c r="K2" s="506"/>
      <c r="L2" s="506"/>
      <c r="M2" s="506"/>
      <c r="N2" s="506"/>
      <c r="O2" s="506"/>
    </row>
    <row r="3" spans="1:20" x14ac:dyDescent="0.2">
      <c r="A3" s="506" t="s">
        <v>560</v>
      </c>
      <c r="B3" s="506"/>
      <c r="C3" s="506"/>
      <c r="D3" s="506"/>
      <c r="E3" s="506"/>
      <c r="F3" s="506"/>
      <c r="G3" s="506"/>
      <c r="H3" s="506"/>
      <c r="I3" s="506"/>
      <c r="J3" s="506"/>
      <c r="K3" s="506"/>
      <c r="L3" s="506"/>
      <c r="M3" s="506"/>
      <c r="N3" s="506"/>
      <c r="O3" s="506"/>
    </row>
    <row r="4" spans="1:20" x14ac:dyDescent="0.2">
      <c r="A4" s="506" t="s">
        <v>561</v>
      </c>
      <c r="B4" s="506"/>
      <c r="C4" s="506"/>
      <c r="D4" s="506"/>
      <c r="E4" s="506"/>
      <c r="F4" s="506"/>
      <c r="G4" s="506"/>
      <c r="H4" s="506"/>
      <c r="I4" s="506"/>
      <c r="J4" s="506"/>
      <c r="K4" s="506"/>
      <c r="L4" s="506"/>
      <c r="M4" s="506"/>
      <c r="N4" s="506"/>
      <c r="O4" s="506"/>
    </row>
    <row r="5" spans="1:20" x14ac:dyDescent="0.2">
      <c r="A5" s="10"/>
      <c r="B5" s="10"/>
      <c r="C5" s="10"/>
      <c r="D5" s="10"/>
      <c r="E5" s="10"/>
      <c r="F5" s="10"/>
      <c r="G5" s="10"/>
      <c r="H5" s="10"/>
      <c r="I5" s="10"/>
      <c r="J5" s="10"/>
      <c r="K5" s="10"/>
      <c r="L5" s="10"/>
      <c r="M5" s="10"/>
      <c r="N5" s="10"/>
      <c r="O5" s="246"/>
    </row>
    <row r="6" spans="1:20"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
      <c r="A8" s="10"/>
      <c r="B8" s="10"/>
      <c r="C8" s="10"/>
      <c r="D8" s="10"/>
      <c r="E8" s="10"/>
      <c r="F8" s="10"/>
      <c r="G8" s="10"/>
      <c r="H8" s="10"/>
      <c r="I8" s="10"/>
      <c r="J8" s="10"/>
      <c r="K8" s="10"/>
      <c r="L8" s="10"/>
      <c r="M8" s="10"/>
      <c r="N8" s="10"/>
      <c r="O8" s="246"/>
    </row>
    <row r="9" spans="1:20" x14ac:dyDescent="0.2">
      <c r="A9" s="387">
        <v>1</v>
      </c>
      <c r="B9" s="388" t="s">
        <v>86</v>
      </c>
      <c r="C9" s="389">
        <v>993955</v>
      </c>
      <c r="D9" s="389">
        <v>994781</v>
      </c>
      <c r="E9" s="389">
        <v>995035</v>
      </c>
      <c r="F9" s="389">
        <v>995669</v>
      </c>
      <c r="G9" s="389">
        <v>996651</v>
      </c>
      <c r="H9" s="389">
        <v>997073</v>
      </c>
      <c r="I9" s="389">
        <v>997453</v>
      </c>
      <c r="J9" s="389">
        <v>998449</v>
      </c>
      <c r="K9" s="389">
        <v>999833</v>
      </c>
      <c r="L9" s="389">
        <v>1001371</v>
      </c>
      <c r="M9" s="389">
        <v>1002685</v>
      </c>
      <c r="N9" s="389">
        <v>1003984</v>
      </c>
      <c r="O9" s="390"/>
      <c r="P9" s="222"/>
      <c r="Q9" s="222"/>
    </row>
    <row r="10" spans="1:20" x14ac:dyDescent="0.2">
      <c r="A10" s="391">
        <v>2</v>
      </c>
      <c r="B10" s="392" t="s">
        <v>562</v>
      </c>
      <c r="C10" s="393">
        <v>40.171521997926774</v>
      </c>
      <c r="D10" s="393">
        <v>38.452089266158531</v>
      </c>
      <c r="E10" s="393">
        <v>35.413503182049105</v>
      </c>
      <c r="F10" s="393">
        <v>31.593643819935124</v>
      </c>
      <c r="G10" s="393">
        <v>25.534695833706273</v>
      </c>
      <c r="H10" s="393">
        <v>23.698635424015553</v>
      </c>
      <c r="I10" s="393">
        <v>22.11647916365126</v>
      </c>
      <c r="J10" s="393">
        <v>21.757757077400978</v>
      </c>
      <c r="K10" s="393">
        <v>21.974855861079703</v>
      </c>
      <c r="L10" s="393">
        <v>22.961075324112485</v>
      </c>
      <c r="M10" s="393">
        <v>30.628818021982845</v>
      </c>
      <c r="N10" s="393">
        <v>22.411117758182776</v>
      </c>
      <c r="O10" s="394"/>
      <c r="P10" s="395"/>
      <c r="Q10" s="395"/>
    </row>
    <row r="11" spans="1:20" x14ac:dyDescent="0.2">
      <c r="A11" s="10">
        <v>3</v>
      </c>
      <c r="B11" s="246" t="s">
        <v>563</v>
      </c>
      <c r="C11" s="18">
        <f t="shared" ref="C11:N11" si="1">C9*C10</f>
        <v>39928685.147449307</v>
      </c>
      <c r="D11" s="18">
        <f t="shared" si="1"/>
        <v>38251407.81227845</v>
      </c>
      <c r="E11" s="18">
        <f t="shared" si="1"/>
        <v>35237675.138750233</v>
      </c>
      <c r="F11" s="18">
        <f t="shared" si="1"/>
        <v>31456811.748550985</v>
      </c>
      <c r="G11" s="18">
        <f t="shared" si="1"/>
        <v>25449180.137359191</v>
      </c>
      <c r="H11" s="18">
        <f t="shared" si="1"/>
        <v>23629269.518129461</v>
      </c>
      <c r="I11" s="18">
        <f t="shared" si="1"/>
        <v>22060148.491221439</v>
      </c>
      <c r="J11" s="18">
        <f t="shared" si="1"/>
        <v>21724010.79617393</v>
      </c>
      <c r="K11" s="18">
        <f t="shared" si="1"/>
        <v>21971186.060150903</v>
      </c>
      <c r="L11" s="18">
        <f t="shared" si="1"/>
        <v>22992554.958381843</v>
      </c>
      <c r="M11" s="18">
        <f t="shared" si="1"/>
        <v>30711056.398371868</v>
      </c>
      <c r="N11" s="18">
        <f t="shared" si="1"/>
        <v>22500403.651331376</v>
      </c>
      <c r="O11" s="18">
        <f>SUM(C11:N11)</f>
        <v>335912389.85814899</v>
      </c>
      <c r="P11" s="396"/>
      <c r="Q11" s="396"/>
    </row>
    <row r="12" spans="1:20" x14ac:dyDescent="0.2">
      <c r="A12" s="10">
        <v>4</v>
      </c>
      <c r="B12" s="246"/>
      <c r="C12" s="246"/>
      <c r="D12" s="246"/>
      <c r="E12" s="246"/>
      <c r="F12" s="246"/>
      <c r="G12" s="246"/>
      <c r="H12" s="246"/>
      <c r="I12" s="246"/>
      <c r="J12" s="246"/>
      <c r="K12" s="246"/>
      <c r="L12" s="246"/>
      <c r="M12" s="246"/>
      <c r="N12" s="246"/>
      <c r="O12" s="246"/>
      <c r="P12" s="221"/>
      <c r="Q12" s="221"/>
    </row>
    <row r="13" spans="1:20" x14ac:dyDescent="0.2">
      <c r="A13" s="387">
        <v>5</v>
      </c>
      <c r="B13" s="388" t="s">
        <v>564</v>
      </c>
      <c r="C13" s="389">
        <v>1341937020.7970498</v>
      </c>
      <c r="D13" s="389">
        <v>1087168867.7942808</v>
      </c>
      <c r="E13" s="389">
        <v>1047302267.1694123</v>
      </c>
      <c r="F13" s="389">
        <v>848426507.12702656</v>
      </c>
      <c r="G13" s="389">
        <v>760135202.56473196</v>
      </c>
      <c r="H13" s="389">
        <v>638275990.36593723</v>
      </c>
      <c r="I13" s="389">
        <v>689234650.92026353</v>
      </c>
      <c r="J13" s="389">
        <v>723641887.47464812</v>
      </c>
      <c r="K13" s="389">
        <v>668346487.45000005</v>
      </c>
      <c r="L13" s="389">
        <v>838747358.38999999</v>
      </c>
      <c r="M13" s="389">
        <v>1018666864.04</v>
      </c>
      <c r="N13" s="389">
        <v>717025968.82261848</v>
      </c>
      <c r="O13" s="246"/>
      <c r="P13" s="222"/>
      <c r="Q13" s="222"/>
    </row>
    <row r="14" spans="1:20" x14ac:dyDescent="0.2">
      <c r="A14" s="391">
        <v>6</v>
      </c>
      <c r="B14" s="392" t="s">
        <v>204</v>
      </c>
      <c r="C14" s="397">
        <v>3.1384000000000002E-2</v>
      </c>
      <c r="D14" s="397">
        <v>3.1384000000000002E-2</v>
      </c>
      <c r="E14" s="397">
        <v>3.1384000000000002E-2</v>
      </c>
      <c r="F14" s="397">
        <v>3.1384000000000002E-2</v>
      </c>
      <c r="G14" s="397">
        <v>3.3930000000000002E-2</v>
      </c>
      <c r="H14" s="397">
        <v>3.3930000000000002E-2</v>
      </c>
      <c r="I14" s="397">
        <v>3.3930000000000002E-2</v>
      </c>
      <c r="J14" s="397">
        <v>3.3930000000000002E-2</v>
      </c>
      <c r="K14" s="397">
        <v>3.3930000000000002E-2</v>
      </c>
      <c r="L14" s="397">
        <v>3.3930000000000002E-2</v>
      </c>
      <c r="M14" s="397">
        <v>3.3930000000000002E-2</v>
      </c>
      <c r="N14" s="397">
        <v>3.3930000000000002E-2</v>
      </c>
      <c r="O14" s="28"/>
      <c r="P14" s="398"/>
      <c r="Q14" s="398"/>
    </row>
    <row r="15" spans="1:20" x14ac:dyDescent="0.2">
      <c r="A15" s="10">
        <v>7</v>
      </c>
      <c r="B15" s="246" t="s">
        <v>565</v>
      </c>
      <c r="C15" s="18">
        <f t="shared" ref="C15:N15" si="2">C13*C14</f>
        <v>42115351.460694611</v>
      </c>
      <c r="D15" s="18">
        <f t="shared" si="2"/>
        <v>34119707.746855713</v>
      </c>
      <c r="E15" s="18">
        <f t="shared" si="2"/>
        <v>32868534.352844838</v>
      </c>
      <c r="F15" s="18">
        <f t="shared" si="2"/>
        <v>26627017.499674603</v>
      </c>
      <c r="G15" s="18">
        <f t="shared" si="2"/>
        <v>25791387.423021358</v>
      </c>
      <c r="H15" s="18">
        <f t="shared" si="2"/>
        <v>21656704.353116252</v>
      </c>
      <c r="I15" s="18">
        <f t="shared" si="2"/>
        <v>23385731.705724541</v>
      </c>
      <c r="J15" s="18">
        <f t="shared" si="2"/>
        <v>24553169.24201481</v>
      </c>
      <c r="K15" s="18">
        <f t="shared" si="2"/>
        <v>22676996.319178503</v>
      </c>
      <c r="L15" s="18">
        <f t="shared" si="2"/>
        <v>28458697.870172702</v>
      </c>
      <c r="M15" s="18">
        <f t="shared" si="2"/>
        <v>34563366.696877204</v>
      </c>
      <c r="N15" s="18">
        <f t="shared" si="2"/>
        <v>24328691.122151446</v>
      </c>
      <c r="O15" s="18">
        <f>SUM(C15:N15)</f>
        <v>341145355.79232651</v>
      </c>
      <c r="P15" s="396"/>
      <c r="Q15" s="396"/>
    </row>
    <row r="16" spans="1:20" x14ac:dyDescent="0.2">
      <c r="A16" s="10">
        <v>8</v>
      </c>
      <c r="B16" s="246"/>
      <c r="C16" s="246"/>
      <c r="D16" s="246"/>
      <c r="E16" s="246"/>
      <c r="F16" s="246"/>
      <c r="G16" s="246"/>
      <c r="H16" s="246"/>
      <c r="I16" s="246"/>
      <c r="J16" s="246"/>
      <c r="K16" s="246"/>
      <c r="L16" s="246"/>
      <c r="M16" s="246"/>
      <c r="N16" s="246"/>
      <c r="O16" s="18"/>
    </row>
    <row r="17" spans="1:17" x14ac:dyDescent="0.2">
      <c r="A17" s="387">
        <v>9</v>
      </c>
      <c r="B17" s="388" t="s">
        <v>566</v>
      </c>
      <c r="C17" s="389">
        <v>0</v>
      </c>
      <c r="D17" s="389">
        <v>0</v>
      </c>
      <c r="E17" s="389">
        <v>0</v>
      </c>
      <c r="F17" s="389">
        <v>0</v>
      </c>
      <c r="G17" s="389">
        <v>-34428056.542769216</v>
      </c>
      <c r="H17" s="389">
        <v>15589737.601</v>
      </c>
      <c r="I17" s="389"/>
      <c r="J17" s="389"/>
      <c r="K17" s="389"/>
      <c r="L17" s="389"/>
      <c r="M17" s="389"/>
      <c r="N17" s="389"/>
      <c r="O17" s="18"/>
    </row>
    <row r="18" spans="1:17" x14ac:dyDescent="0.2">
      <c r="A18" s="391">
        <v>10</v>
      </c>
      <c r="B18" s="392" t="s">
        <v>204</v>
      </c>
      <c r="C18" s="397">
        <v>2.9964000000000001E-2</v>
      </c>
      <c r="D18" s="397">
        <v>0</v>
      </c>
      <c r="E18" s="397">
        <v>0</v>
      </c>
      <c r="F18" s="397"/>
      <c r="G18" s="397">
        <f>$F$14</f>
        <v>3.1384000000000002E-2</v>
      </c>
      <c r="H18" s="397">
        <f>$F$14</f>
        <v>3.1384000000000002E-2</v>
      </c>
      <c r="I18" s="397">
        <f>$F$14</f>
        <v>3.1384000000000002E-2</v>
      </c>
      <c r="J18" s="397"/>
      <c r="K18" s="397"/>
      <c r="L18" s="397"/>
      <c r="M18" s="397"/>
      <c r="N18" s="397"/>
      <c r="O18" s="18"/>
    </row>
    <row r="19" spans="1:17" x14ac:dyDescent="0.2">
      <c r="A19" s="10">
        <v>11</v>
      </c>
      <c r="B19" s="246" t="s">
        <v>565</v>
      </c>
      <c r="C19" s="18">
        <f t="shared" ref="C19:N19" si="3">C17*C18</f>
        <v>0</v>
      </c>
      <c r="D19" s="18">
        <f t="shared" si="3"/>
        <v>0</v>
      </c>
      <c r="E19" s="18">
        <f t="shared" si="3"/>
        <v>0</v>
      </c>
      <c r="F19" s="18">
        <f t="shared" si="3"/>
        <v>0</v>
      </c>
      <c r="G19" s="18">
        <f t="shared" si="3"/>
        <v>-1080490.1265382692</v>
      </c>
      <c r="H19" s="18">
        <f t="shared" si="3"/>
        <v>489268.324869784</v>
      </c>
      <c r="I19" s="18">
        <f t="shared" si="3"/>
        <v>0</v>
      </c>
      <c r="J19" s="18">
        <f t="shared" si="3"/>
        <v>0</v>
      </c>
      <c r="K19" s="18">
        <f t="shared" si="3"/>
        <v>0</v>
      </c>
      <c r="L19" s="18">
        <f t="shared" si="3"/>
        <v>0</v>
      </c>
      <c r="M19" s="18">
        <f t="shared" si="3"/>
        <v>0</v>
      </c>
      <c r="N19" s="18">
        <f t="shared" si="3"/>
        <v>0</v>
      </c>
      <c r="O19" s="18">
        <f>SUM(C19:N19)</f>
        <v>-591221.80166848516</v>
      </c>
    </row>
    <row r="20" spans="1:17" x14ac:dyDescent="0.2">
      <c r="A20" s="10">
        <v>12</v>
      </c>
      <c r="B20" s="246"/>
      <c r="C20" s="246"/>
      <c r="D20" s="246"/>
      <c r="E20" s="246"/>
      <c r="F20" s="246"/>
      <c r="G20" s="246"/>
      <c r="H20" s="246"/>
      <c r="I20" s="246"/>
      <c r="J20" s="246"/>
      <c r="K20" s="246"/>
      <c r="L20" s="246"/>
      <c r="M20" s="246"/>
      <c r="N20" s="246"/>
      <c r="O20" s="18"/>
    </row>
    <row r="21" spans="1:17" x14ac:dyDescent="0.2">
      <c r="A21" s="10">
        <v>13</v>
      </c>
      <c r="B21" s="246" t="s">
        <v>567</v>
      </c>
      <c r="C21" s="36">
        <f>C15+C19</f>
        <v>42115351.460694611</v>
      </c>
      <c r="D21" s="18">
        <f t="shared" ref="D21:N21" si="4">D15+D19</f>
        <v>34119707.746855713</v>
      </c>
      <c r="E21" s="18">
        <f t="shared" si="4"/>
        <v>32868534.352844838</v>
      </c>
      <c r="F21" s="18">
        <f t="shared" si="4"/>
        <v>26627017.499674603</v>
      </c>
      <c r="G21" s="18">
        <f t="shared" si="4"/>
        <v>24710897.296483088</v>
      </c>
      <c r="H21" s="18">
        <f t="shared" si="4"/>
        <v>22145972.677986037</v>
      </c>
      <c r="I21" s="18">
        <f t="shared" si="4"/>
        <v>23385731.705724541</v>
      </c>
      <c r="J21" s="18">
        <f t="shared" si="4"/>
        <v>24553169.24201481</v>
      </c>
      <c r="K21" s="18">
        <f t="shared" si="4"/>
        <v>22676996.319178503</v>
      </c>
      <c r="L21" s="18">
        <f t="shared" si="4"/>
        <v>28458697.870172702</v>
      </c>
      <c r="M21" s="18">
        <f t="shared" si="4"/>
        <v>34563366.696877204</v>
      </c>
      <c r="N21" s="18">
        <f t="shared" si="4"/>
        <v>24328691.122151446</v>
      </c>
      <c r="O21" s="18">
        <f>SUM(C21:N21)</f>
        <v>340554133.99065804</v>
      </c>
    </row>
    <row r="22" spans="1:17" x14ac:dyDescent="0.2">
      <c r="A22" s="10">
        <v>14</v>
      </c>
      <c r="B22" s="246"/>
      <c r="C22" s="246"/>
      <c r="D22" s="246"/>
      <c r="E22" s="246"/>
      <c r="F22" s="246"/>
      <c r="G22" s="246"/>
      <c r="H22" s="246"/>
      <c r="I22" s="246"/>
      <c r="J22" s="246"/>
      <c r="K22" s="246"/>
      <c r="L22" s="246"/>
      <c r="M22" s="246"/>
      <c r="N22" s="246"/>
      <c r="O22" s="18"/>
    </row>
    <row r="23" spans="1:17" x14ac:dyDescent="0.2">
      <c r="A23" s="10">
        <v>15</v>
      </c>
      <c r="B23" s="246" t="s">
        <v>568</v>
      </c>
      <c r="C23" s="36">
        <f>C11-C21</f>
        <v>-2186666.3132453039</v>
      </c>
      <c r="D23" s="36">
        <f t="shared" ref="D23:N23" si="5">D11-D21</f>
        <v>4131700.0654227361</v>
      </c>
      <c r="E23" s="36">
        <f t="shared" si="5"/>
        <v>2369140.7859053947</v>
      </c>
      <c r="F23" s="36">
        <f t="shared" si="5"/>
        <v>4829794.2488763817</v>
      </c>
      <c r="G23" s="36">
        <f t="shared" si="5"/>
        <v>738282.84087610245</v>
      </c>
      <c r="H23" s="36">
        <f t="shared" si="5"/>
        <v>1483296.8401434235</v>
      </c>
      <c r="I23" s="36">
        <f t="shared" si="5"/>
        <v>-1325583.214503102</v>
      </c>
      <c r="J23" s="36">
        <f t="shared" si="5"/>
        <v>-2829158.4458408803</v>
      </c>
      <c r="K23" s="36">
        <f t="shared" si="5"/>
        <v>-705810.25902760029</v>
      </c>
      <c r="L23" s="36">
        <f t="shared" si="5"/>
        <v>-5466142.911790859</v>
      </c>
      <c r="M23" s="36">
        <f t="shared" si="5"/>
        <v>-3852310.298505336</v>
      </c>
      <c r="N23" s="36">
        <f t="shared" si="5"/>
        <v>-1828287.4708200693</v>
      </c>
      <c r="O23" s="36">
        <f>SUM(C23:N23)</f>
        <v>-4641744.1325091124</v>
      </c>
      <c r="P23" s="396"/>
      <c r="Q23" s="396"/>
    </row>
    <row r="24" spans="1:17" x14ac:dyDescent="0.2">
      <c r="A24" s="10">
        <v>16</v>
      </c>
      <c r="B24" s="246"/>
      <c r="C24" s="246"/>
      <c r="D24" s="246"/>
      <c r="E24" s="246"/>
      <c r="F24" s="246"/>
      <c r="G24" s="246"/>
      <c r="H24" s="246"/>
      <c r="I24" s="246"/>
      <c r="J24" s="246"/>
      <c r="K24" s="246"/>
      <c r="L24" s="246"/>
      <c r="M24" s="246"/>
      <c r="N24" s="246"/>
      <c r="O24" s="18"/>
    </row>
    <row r="25" spans="1:17" s="246" customFormat="1" x14ac:dyDescent="0.2">
      <c r="A25" s="10">
        <v>17</v>
      </c>
      <c r="B25" s="246" t="s">
        <v>569</v>
      </c>
      <c r="C25" s="36">
        <v>56996.11</v>
      </c>
      <c r="D25" s="36">
        <v>56827.82</v>
      </c>
      <c r="E25" s="36">
        <v>63349.08</v>
      </c>
      <c r="F25" s="36">
        <v>75392.02</v>
      </c>
      <c r="G25" s="36">
        <v>70683.749961908572</v>
      </c>
      <c r="H25" s="36">
        <v>61061.125896578451</v>
      </c>
      <c r="I25" s="36">
        <v>63133.504148562322</v>
      </c>
      <c r="J25" s="36">
        <v>54174.849812881635</v>
      </c>
      <c r="K25" s="36">
        <v>46227.887284948636</v>
      </c>
      <c r="L25" s="36">
        <v>36073.707505815932</v>
      </c>
      <c r="M25" s="36">
        <v>17096.537534725201</v>
      </c>
      <c r="N25" s="36"/>
      <c r="O25" s="36">
        <f>SUM(C25:N25)</f>
        <v>601016.39214542066</v>
      </c>
      <c r="P25" s="36"/>
      <c r="Q25" s="36"/>
    </row>
    <row r="26" spans="1:17" x14ac:dyDescent="0.2">
      <c r="A26" s="10">
        <v>18</v>
      </c>
      <c r="B26" s="246"/>
      <c r="C26" s="246"/>
      <c r="D26" s="246"/>
      <c r="E26" s="246"/>
      <c r="F26" s="246"/>
      <c r="G26" s="246"/>
      <c r="H26" s="246"/>
      <c r="I26" s="246"/>
      <c r="J26" s="246"/>
      <c r="K26" s="246"/>
      <c r="L26" s="246"/>
      <c r="M26" s="246"/>
      <c r="N26" s="246"/>
      <c r="O26" s="18"/>
    </row>
    <row r="27" spans="1:17" s="246" customFormat="1" x14ac:dyDescent="0.2">
      <c r="A27" s="10">
        <v>19</v>
      </c>
      <c r="B27" s="246" t="s">
        <v>570</v>
      </c>
      <c r="C27" s="18">
        <v>39747170.451904714</v>
      </c>
      <c r="D27" s="18">
        <f t="shared" ref="D27:N27" si="6">C27+D51+D25</f>
        <v>43747206.051904716</v>
      </c>
      <c r="E27" s="18">
        <f t="shared" si="6"/>
        <v>46071613.341904715</v>
      </c>
      <c r="F27" s="18">
        <f t="shared" si="6"/>
        <v>50756459.571904719</v>
      </c>
      <c r="G27" s="18">
        <f t="shared" si="6"/>
        <v>51531744.961259119</v>
      </c>
      <c r="H27" s="18">
        <f t="shared" si="6"/>
        <v>53008433.442154936</v>
      </c>
      <c r="I27" s="18">
        <f t="shared" si="6"/>
        <v>51806458.163629249</v>
      </c>
      <c r="J27" s="18">
        <f t="shared" si="6"/>
        <v>49160543.605058953</v>
      </c>
      <c r="K27" s="18">
        <f t="shared" si="6"/>
        <v>48533161.0031434</v>
      </c>
      <c r="L27" s="18">
        <f>K27+L51+L25</f>
        <v>43352462.70463717</v>
      </c>
      <c r="M27" s="18">
        <f t="shared" si="6"/>
        <v>39692995.191794671</v>
      </c>
      <c r="N27" s="18">
        <f t="shared" si="6"/>
        <v>37948116.023680881</v>
      </c>
      <c r="O27" s="18"/>
    </row>
    <row r="28" spans="1:17" x14ac:dyDescent="0.2">
      <c r="A28" s="10">
        <v>20</v>
      </c>
      <c r="B28" s="246"/>
      <c r="C28" s="246"/>
      <c r="D28" s="246"/>
      <c r="E28" s="246"/>
      <c r="F28" s="246"/>
      <c r="G28" s="246"/>
      <c r="H28" s="246"/>
      <c r="I28" s="246"/>
      <c r="J28" s="246"/>
      <c r="K28" s="246"/>
      <c r="L28" s="246"/>
      <c r="M28" s="246"/>
      <c r="N28" s="246"/>
      <c r="O28" s="18"/>
    </row>
    <row r="29" spans="1:17" x14ac:dyDescent="0.2">
      <c r="A29" s="10">
        <v>21</v>
      </c>
      <c r="B29" s="246" t="s">
        <v>571</v>
      </c>
      <c r="C29" s="27">
        <v>9.2400000000000002E-4</v>
      </c>
      <c r="D29" s="27">
        <v>9.2400000000000002E-4</v>
      </c>
      <c r="E29" s="27">
        <v>9.2400000000000002E-4</v>
      </c>
      <c r="F29" s="27">
        <v>9.2400000000000002E-4</v>
      </c>
      <c r="G29" s="27">
        <v>1.201E-3</v>
      </c>
      <c r="H29" s="27">
        <v>1.201E-3</v>
      </c>
      <c r="I29" s="27">
        <v>1.201E-3</v>
      </c>
      <c r="J29" s="27">
        <v>1.201E-3</v>
      </c>
      <c r="K29" s="27">
        <v>1.201E-3</v>
      </c>
      <c r="L29" s="27">
        <v>1.201E-3</v>
      </c>
      <c r="M29" s="27">
        <v>1.201E-3</v>
      </c>
      <c r="N29" s="27">
        <v>1.201E-3</v>
      </c>
      <c r="O29" s="18"/>
    </row>
    <row r="30" spans="1:17" x14ac:dyDescent="0.2">
      <c r="A30" s="10">
        <v>22</v>
      </c>
      <c r="B30" s="246"/>
      <c r="C30" s="27"/>
      <c r="D30" s="27"/>
      <c r="E30" s="27"/>
      <c r="F30" s="27"/>
      <c r="G30" s="27"/>
      <c r="H30" s="27"/>
      <c r="I30" s="27"/>
      <c r="J30" s="27"/>
      <c r="K30" s="27"/>
      <c r="L30" s="27"/>
      <c r="M30" s="27"/>
      <c r="N30" s="27"/>
      <c r="O30" s="18"/>
    </row>
    <row r="31" spans="1:17" x14ac:dyDescent="0.2">
      <c r="A31" s="10">
        <v>23</v>
      </c>
      <c r="B31" s="246" t="s">
        <v>572</v>
      </c>
      <c r="C31" s="27"/>
      <c r="D31" s="27"/>
      <c r="E31" s="27"/>
      <c r="F31" s="27"/>
      <c r="G31" s="27">
        <f>$F$29</f>
        <v>9.2400000000000002E-4</v>
      </c>
      <c r="H31" s="27">
        <f t="shared" ref="H31:I31" si="7">$F$29</f>
        <v>9.2400000000000002E-4</v>
      </c>
      <c r="I31" s="27">
        <f t="shared" si="7"/>
        <v>9.2400000000000002E-4</v>
      </c>
      <c r="J31" s="27"/>
      <c r="K31" s="27"/>
      <c r="L31" s="27"/>
      <c r="M31" s="27"/>
      <c r="N31" s="27"/>
      <c r="O31" s="18"/>
    </row>
    <row r="32" spans="1:17" x14ac:dyDescent="0.2">
      <c r="A32" s="10">
        <v>24</v>
      </c>
      <c r="B32" s="246"/>
      <c r="C32" s="18"/>
      <c r="D32" s="18"/>
      <c r="E32" s="18"/>
      <c r="F32" s="18"/>
      <c r="G32" s="27"/>
      <c r="H32" s="27"/>
      <c r="I32" s="27"/>
      <c r="J32" s="27"/>
      <c r="K32" s="27"/>
      <c r="L32" s="27"/>
      <c r="M32" s="27"/>
      <c r="N32" s="27"/>
      <c r="O32" s="18"/>
    </row>
    <row r="33" spans="1:15" x14ac:dyDescent="0.2">
      <c r="A33" s="10">
        <v>25</v>
      </c>
      <c r="B33" s="246" t="s">
        <v>292</v>
      </c>
      <c r="C33" s="36">
        <f>(C13*C29)+(C17*C31)</f>
        <v>1239949.8072164741</v>
      </c>
      <c r="D33" s="36">
        <f t="shared" ref="D33:N33" si="8">(D13*D29)+(D17*D31)</f>
        <v>1004544.0338419154</v>
      </c>
      <c r="E33" s="36">
        <f t="shared" si="8"/>
        <v>967707.29486453696</v>
      </c>
      <c r="F33" s="36">
        <f t="shared" si="8"/>
        <v>783946.09258537251</v>
      </c>
      <c r="G33" s="36">
        <f t="shared" si="8"/>
        <v>881110.85403472441</v>
      </c>
      <c r="H33" s="36">
        <f t="shared" si="8"/>
        <v>780974.38197281456</v>
      </c>
      <c r="I33" s="36">
        <f t="shared" si="8"/>
        <v>827770.81575523654</v>
      </c>
      <c r="J33" s="36">
        <f t="shared" si="8"/>
        <v>869093.90685705235</v>
      </c>
      <c r="K33" s="36">
        <f t="shared" si="8"/>
        <v>802684.13142745011</v>
      </c>
      <c r="L33" s="36">
        <f t="shared" si="8"/>
        <v>1007335.57742639</v>
      </c>
      <c r="M33" s="36">
        <f t="shared" si="8"/>
        <v>1223418.90371204</v>
      </c>
      <c r="N33" s="36">
        <f t="shared" si="8"/>
        <v>861148.18855596485</v>
      </c>
      <c r="O33" s="36">
        <f>SUM(C33:N33)</f>
        <v>11249683.988249974</v>
      </c>
    </row>
    <row r="34" spans="1:15" x14ac:dyDescent="0.2">
      <c r="A34" s="10">
        <v>26</v>
      </c>
      <c r="B34" s="246"/>
      <c r="C34" s="18"/>
      <c r="D34" s="18"/>
      <c r="E34" s="18"/>
      <c r="F34" s="18"/>
      <c r="G34" s="18"/>
      <c r="H34" s="18"/>
      <c r="I34" s="18"/>
      <c r="J34" s="18"/>
      <c r="K34" s="18"/>
      <c r="L34" s="18"/>
      <c r="M34" s="18"/>
      <c r="N34" s="18"/>
      <c r="O34" s="18"/>
    </row>
    <row r="35" spans="1:15" x14ac:dyDescent="0.2">
      <c r="A35" s="10">
        <v>27</v>
      </c>
      <c r="B35" s="246" t="s">
        <v>573</v>
      </c>
      <c r="C35" s="18">
        <v>39402417.482148327</v>
      </c>
      <c r="D35" s="18">
        <f t="shared" ref="D35:N35" si="9">C35+D51+D25-D53</f>
        <v>42443737.352148332</v>
      </c>
      <c r="E35" s="18">
        <f t="shared" si="9"/>
        <v>43844585.122148328</v>
      </c>
      <c r="F35" s="18">
        <f t="shared" si="9"/>
        <v>47781249.662148334</v>
      </c>
      <c r="G35" s="18">
        <f t="shared" si="9"/>
        <v>47715621.355739929</v>
      </c>
      <c r="H35" s="18">
        <f t="shared" si="9"/>
        <v>48446964.286942914</v>
      </c>
      <c r="I35" s="18">
        <f t="shared" si="9"/>
        <v>46454981.925047562</v>
      </c>
      <c r="J35" s="18">
        <f t="shared" si="9"/>
        <v>42979622.392744936</v>
      </c>
      <c r="K35" s="18">
        <f t="shared" si="9"/>
        <v>41586174.912161782</v>
      </c>
      <c r="L35" s="18">
        <f t="shared" si="9"/>
        <v>35444096.692606933</v>
      </c>
      <c r="M35" s="18">
        <f t="shared" si="9"/>
        <v>30617023.869858641</v>
      </c>
      <c r="N35" s="18">
        <f t="shared" si="9"/>
        <v>28050282.954699002</v>
      </c>
      <c r="O35" s="18"/>
    </row>
    <row r="36" spans="1:15" x14ac:dyDescent="0.2">
      <c r="A36" s="10">
        <v>28</v>
      </c>
      <c r="B36" s="246"/>
      <c r="C36" s="18"/>
      <c r="D36" s="18"/>
      <c r="E36" s="18"/>
      <c r="F36" s="18"/>
      <c r="G36" s="18"/>
      <c r="H36" s="18"/>
      <c r="I36" s="18"/>
      <c r="J36" s="18"/>
      <c r="K36" s="18"/>
      <c r="L36" s="18"/>
      <c r="M36" s="18"/>
      <c r="N36" s="18"/>
      <c r="O36" s="18"/>
    </row>
    <row r="37" spans="1:15" x14ac:dyDescent="0.2">
      <c r="A37" s="10">
        <v>29</v>
      </c>
      <c r="B37" s="54" t="s">
        <v>574</v>
      </c>
      <c r="C37" s="27">
        <v>6.3819999999999988E-3</v>
      </c>
      <c r="D37" s="27">
        <v>6.3819999999999988E-3</v>
      </c>
      <c r="E37" s="27">
        <v>6.3819999999999988E-3</v>
      </c>
      <c r="F37" s="27">
        <v>6.3819999999999988E-3</v>
      </c>
      <c r="G37" s="27">
        <v>9.2040000000000038E-3</v>
      </c>
      <c r="H37" s="27">
        <v>9.2040000000000038E-3</v>
      </c>
      <c r="I37" s="27">
        <v>9.2040000000000038E-3</v>
      </c>
      <c r="J37" s="27">
        <v>9.2040000000000038E-3</v>
      </c>
      <c r="K37" s="27">
        <v>9.2040000000000038E-3</v>
      </c>
      <c r="L37" s="27">
        <v>9.2040000000000038E-3</v>
      </c>
      <c r="M37" s="27">
        <v>9.2040000000000038E-3</v>
      </c>
      <c r="N37" s="27">
        <v>9.2040000000000038E-3</v>
      </c>
    </row>
    <row r="38" spans="1:15" x14ac:dyDescent="0.2">
      <c r="A38" s="10">
        <v>30</v>
      </c>
      <c r="C38" s="27"/>
      <c r="D38" s="27"/>
      <c r="E38" s="27"/>
      <c r="F38" s="27"/>
      <c r="G38" s="27"/>
      <c r="H38" s="27"/>
      <c r="I38" s="27"/>
      <c r="J38" s="27"/>
      <c r="K38" s="27"/>
      <c r="L38" s="27"/>
      <c r="M38" s="27"/>
      <c r="N38" s="27"/>
    </row>
    <row r="39" spans="1:15" x14ac:dyDescent="0.2">
      <c r="A39" s="10">
        <v>31</v>
      </c>
      <c r="B39" s="54" t="s">
        <v>575</v>
      </c>
      <c r="C39" s="27"/>
      <c r="D39" s="27"/>
      <c r="E39" s="27"/>
      <c r="F39" s="27"/>
      <c r="G39" s="27">
        <f>$F$37</f>
        <v>6.3819999999999988E-3</v>
      </c>
      <c r="H39" s="27">
        <f t="shared" ref="H39:I39" si="10">$F$37</f>
        <v>6.3819999999999988E-3</v>
      </c>
      <c r="I39" s="27">
        <f t="shared" si="10"/>
        <v>6.3819999999999988E-3</v>
      </c>
      <c r="J39" s="27"/>
      <c r="K39" s="27"/>
      <c r="L39" s="27"/>
      <c r="M39" s="27"/>
      <c r="N39" s="27"/>
    </row>
    <row r="40" spans="1:15" x14ac:dyDescent="0.2">
      <c r="A40" s="10">
        <v>32</v>
      </c>
    </row>
    <row r="41" spans="1:15" x14ac:dyDescent="0.2">
      <c r="A41" s="10">
        <v>33</v>
      </c>
      <c r="B41" s="54" t="s">
        <v>576</v>
      </c>
      <c r="C41" s="36">
        <f>(C13*C37)+(C17*C39)</f>
        <v>8564242.0667267703</v>
      </c>
      <c r="D41" s="36">
        <f t="shared" ref="D41:M41" si="11">(D13*D37)+(D17*D39)</f>
        <v>6938311.7142630983</v>
      </c>
      <c r="E41" s="36">
        <f t="shared" si="11"/>
        <v>6683883.0690751877</v>
      </c>
      <c r="F41" s="36">
        <f t="shared" si="11"/>
        <v>5414657.968484682</v>
      </c>
      <c r="G41" s="36">
        <f t="shared" si="11"/>
        <v>6776564.5475498429</v>
      </c>
      <c r="H41" s="36">
        <f t="shared" si="11"/>
        <v>5974185.9206976714</v>
      </c>
      <c r="I41" s="36">
        <f t="shared" si="11"/>
        <v>6343715.7270701081</v>
      </c>
      <c r="J41" s="36">
        <f t="shared" si="11"/>
        <v>6660399.9323166637</v>
      </c>
      <c r="K41" s="36">
        <f t="shared" si="11"/>
        <v>6151461.0704898033</v>
      </c>
      <c r="L41" s="36">
        <f t="shared" si="11"/>
        <v>7719830.6866215635</v>
      </c>
      <c r="M41" s="36">
        <f t="shared" si="11"/>
        <v>9375809.8166241627</v>
      </c>
      <c r="N41" s="36">
        <f>(N13*N37)+(N17*N39)</f>
        <v>6599507.0170433829</v>
      </c>
      <c r="O41" s="399">
        <f>SUM(C41:N41)</f>
        <v>83202569.536962941</v>
      </c>
    </row>
    <row r="42" spans="1:15" x14ac:dyDescent="0.2">
      <c r="A42" s="10">
        <v>34</v>
      </c>
    </row>
    <row r="43" spans="1:15" x14ac:dyDescent="0.2">
      <c r="A43" s="10">
        <v>35</v>
      </c>
    </row>
    <row r="44" spans="1:15" x14ac:dyDescent="0.2">
      <c r="A44" s="387">
        <v>36</v>
      </c>
      <c r="B44" s="388" t="s">
        <v>577</v>
      </c>
      <c r="C44" s="388"/>
      <c r="D44" s="388"/>
      <c r="E44" s="388"/>
      <c r="F44" s="388"/>
      <c r="G44" s="388"/>
      <c r="H44" s="388"/>
      <c r="I44" s="388"/>
      <c r="J44" s="388"/>
      <c r="K44" s="388"/>
      <c r="L44" s="388"/>
      <c r="M44" s="388"/>
      <c r="N44" s="388"/>
    </row>
    <row r="45" spans="1:15" x14ac:dyDescent="0.2">
      <c r="A45" s="391">
        <v>37</v>
      </c>
      <c r="B45" s="392" t="s">
        <v>578</v>
      </c>
      <c r="C45" s="392"/>
      <c r="D45" s="392"/>
      <c r="E45" s="392"/>
      <c r="F45" s="392"/>
      <c r="G45" s="392"/>
      <c r="H45" s="392"/>
      <c r="I45" s="392"/>
      <c r="J45" s="392"/>
      <c r="K45" s="392"/>
      <c r="L45" s="392"/>
      <c r="M45" s="392"/>
      <c r="N45" s="392"/>
    </row>
    <row r="46" spans="1:15" x14ac:dyDescent="0.2">
      <c r="A46" s="391">
        <v>38</v>
      </c>
      <c r="B46" s="392" t="s">
        <v>579</v>
      </c>
      <c r="C46" s="392"/>
      <c r="D46" s="392"/>
      <c r="E46" s="392"/>
      <c r="F46" s="392"/>
      <c r="G46" s="392"/>
      <c r="H46" s="392"/>
      <c r="I46" s="392"/>
      <c r="J46" s="392"/>
      <c r="K46" s="392"/>
      <c r="L46" s="392"/>
      <c r="M46" s="392"/>
      <c r="N46" s="392"/>
    </row>
    <row r="47" spans="1:15" x14ac:dyDescent="0.2">
      <c r="A47" s="400">
        <v>39</v>
      </c>
      <c r="B47" s="401" t="s">
        <v>580</v>
      </c>
      <c r="C47" s="401"/>
      <c r="D47" s="401"/>
      <c r="E47" s="401"/>
      <c r="F47" s="401"/>
      <c r="G47" s="401"/>
      <c r="H47" s="401"/>
      <c r="I47" s="401"/>
      <c r="J47" s="401"/>
      <c r="K47" s="401"/>
      <c r="L47" s="401"/>
      <c r="M47" s="401"/>
      <c r="N47" s="401"/>
    </row>
    <row r="48" spans="1:15" x14ac:dyDescent="0.2">
      <c r="A48" s="10">
        <v>40</v>
      </c>
    </row>
    <row r="49" spans="1:15" x14ac:dyDescent="0.2">
      <c r="A49" s="400">
        <v>41</v>
      </c>
      <c r="B49" s="401" t="s">
        <v>175</v>
      </c>
      <c r="C49" s="402">
        <v>0.95437899999999998</v>
      </c>
      <c r="D49" s="402">
        <f>$C$49</f>
        <v>0.95437899999999998</v>
      </c>
      <c r="E49" s="402">
        <f t="shared" ref="E49:N49" si="12">$C$49</f>
        <v>0.95437899999999998</v>
      </c>
      <c r="F49" s="402">
        <f t="shared" si="12"/>
        <v>0.95437899999999998</v>
      </c>
      <c r="G49" s="402">
        <f t="shared" si="12"/>
        <v>0.95437899999999998</v>
      </c>
      <c r="H49" s="402">
        <f t="shared" si="12"/>
        <v>0.95437899999999998</v>
      </c>
      <c r="I49" s="402">
        <f t="shared" si="12"/>
        <v>0.95437899999999998</v>
      </c>
      <c r="J49" s="402">
        <f t="shared" si="12"/>
        <v>0.95437899999999998</v>
      </c>
      <c r="K49" s="402">
        <f t="shared" si="12"/>
        <v>0.95437899999999998</v>
      </c>
      <c r="L49" s="402">
        <f t="shared" si="12"/>
        <v>0.95437899999999998</v>
      </c>
      <c r="M49" s="402">
        <f t="shared" si="12"/>
        <v>0.95437899999999998</v>
      </c>
      <c r="N49" s="402">
        <f t="shared" si="12"/>
        <v>0.95437899999999998</v>
      </c>
    </row>
    <row r="50" spans="1:15" ht="13.5" thickBot="1" x14ac:dyDescent="0.25">
      <c r="A50" s="10">
        <v>42</v>
      </c>
    </row>
    <row r="51" spans="1:15" ht="13.5" thickBot="1" x14ac:dyDescent="0.25">
      <c r="A51" s="403">
        <v>43</v>
      </c>
      <c r="B51" s="404" t="s">
        <v>581</v>
      </c>
      <c r="C51" s="405">
        <f>ROUND(C49*C23,2)</f>
        <v>-2086908.41</v>
      </c>
      <c r="D51" s="405">
        <f>ROUND(D49*D23,2)</f>
        <v>3943207.78</v>
      </c>
      <c r="E51" s="405">
        <f>ROUND(E49*E23,2)</f>
        <v>2261058.21</v>
      </c>
      <c r="F51" s="405">
        <f>ROUND(F49*F23,2)</f>
        <v>4609454.21</v>
      </c>
      <c r="G51" s="405">
        <f t="shared" ref="G51:N51" si="13">G49*G23</f>
        <v>704601.63939249376</v>
      </c>
      <c r="H51" s="405">
        <f t="shared" si="13"/>
        <v>1415627.3549992403</v>
      </c>
      <c r="I51" s="405">
        <f t="shared" si="13"/>
        <v>-1265108.782674256</v>
      </c>
      <c r="J51" s="405">
        <f t="shared" si="13"/>
        <v>-2700089.4083831734</v>
      </c>
      <c r="K51" s="405">
        <f t="shared" si="13"/>
        <v>-673610.48920050217</v>
      </c>
      <c r="L51" s="405">
        <f t="shared" si="13"/>
        <v>-5216772.0060120476</v>
      </c>
      <c r="M51" s="405">
        <f t="shared" si="13"/>
        <v>-3676564.0503772241</v>
      </c>
      <c r="N51" s="407">
        <f t="shared" si="13"/>
        <v>-1744879.168113787</v>
      </c>
      <c r="O51" s="399">
        <f>SUM(C51:N51)</f>
        <v>-4429983.1203692593</v>
      </c>
    </row>
    <row r="52" spans="1:15" ht="13.5" thickBot="1" x14ac:dyDescent="0.25">
      <c r="A52" s="10">
        <v>44</v>
      </c>
      <c r="C52" s="399"/>
      <c r="D52" s="399"/>
      <c r="E52" s="399"/>
      <c r="F52" s="399"/>
      <c r="G52" s="399"/>
      <c r="H52" s="399"/>
      <c r="I52" s="399"/>
      <c r="J52" s="399"/>
      <c r="K52" s="399"/>
      <c r="L52" s="399"/>
      <c r="M52" s="399"/>
      <c r="N52" s="399"/>
      <c r="O52" s="399"/>
    </row>
    <row r="53" spans="1:15" ht="13.5" thickBot="1" x14ac:dyDescent="0.25">
      <c r="A53" s="403">
        <v>45</v>
      </c>
      <c r="B53" s="406" t="s">
        <v>292</v>
      </c>
      <c r="C53" s="405">
        <f>ROUND(C33*C49,2)</f>
        <v>1183382.06</v>
      </c>
      <c r="D53" s="405">
        <f>ROUND(D33*D49,2)</f>
        <v>958715.73</v>
      </c>
      <c r="E53" s="405">
        <f>ROUND(E33*E49,2)</f>
        <v>923559.52</v>
      </c>
      <c r="F53" s="405">
        <f>ROUND(F33*F49,2)</f>
        <v>748181.69</v>
      </c>
      <c r="G53" s="405">
        <f t="shared" ref="G53:N53" si="14">G33*G49</f>
        <v>840913.69576280622</v>
      </c>
      <c r="H53" s="405">
        <f t="shared" si="14"/>
        <v>745345.54969283275</v>
      </c>
      <c r="I53" s="405">
        <f t="shared" si="14"/>
        <v>790007.08336966683</v>
      </c>
      <c r="J53" s="405">
        <f t="shared" si="14"/>
        <v>829444.97373232676</v>
      </c>
      <c r="K53" s="405">
        <f t="shared" si="14"/>
        <v>766064.87866759836</v>
      </c>
      <c r="L53" s="405">
        <f t="shared" si="14"/>
        <v>961379.92104862072</v>
      </c>
      <c r="M53" s="405">
        <f t="shared" si="14"/>
        <v>1167605.3099057931</v>
      </c>
      <c r="N53" s="407">
        <f t="shared" si="14"/>
        <v>821861.74704585318</v>
      </c>
      <c r="O53" s="399">
        <f>SUM(C53:N53)</f>
        <v>10736462.159225497</v>
      </c>
    </row>
    <row r="56" spans="1:15" x14ac:dyDescent="0.2">
      <c r="H56" s="399"/>
    </row>
    <row r="57" spans="1:15" x14ac:dyDescent="0.2">
      <c r="E57" s="408"/>
    </row>
    <row r="58" spans="1:15" x14ac:dyDescent="0.2">
      <c r="H58" s="399"/>
    </row>
    <row r="60" spans="1:15" x14ac:dyDescent="0.2">
      <c r="H60" s="399"/>
    </row>
    <row r="62" spans="1:15" x14ac:dyDescent="0.2">
      <c r="H62" s="399"/>
    </row>
    <row r="63" spans="1:15" x14ac:dyDescent="0.2">
      <c r="H63" s="399"/>
    </row>
    <row r="64" spans="1:15" x14ac:dyDescent="0.2">
      <c r="H64" s="399"/>
    </row>
    <row r="65" spans="8:8" x14ac:dyDescent="0.2">
      <c r="H65" s="409"/>
    </row>
    <row r="66" spans="8:8" x14ac:dyDescent="0.2">
      <c r="H66" s="399"/>
    </row>
    <row r="67" spans="8:8" x14ac:dyDescent="0.2">
      <c r="H67" s="409"/>
    </row>
    <row r="74" spans="8:8" x14ac:dyDescent="0.2">
      <c r="H74" s="399"/>
    </row>
    <row r="76" spans="8:8" x14ac:dyDescent="0.2">
      <c r="H76" s="399"/>
    </row>
    <row r="78" spans="8:8" x14ac:dyDescent="0.2">
      <c r="H78" s="399"/>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1</oddHeader>
    <oddFooter>&amp;L&amp;F
&amp;A&amp;R&amp;D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6"/>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40625" defaultRowHeight="12.75" x14ac:dyDescent="0.2"/>
  <cols>
    <col min="1" max="1" width="4.28515625" style="54" bestFit="1" customWidth="1"/>
    <col min="2" max="2" width="41" style="54" customWidth="1"/>
    <col min="3" max="4" width="15" style="54" bestFit="1" customWidth="1"/>
    <col min="5" max="11" width="13.7109375" style="54" customWidth="1"/>
    <col min="12" max="12" width="15" style="54" bestFit="1" customWidth="1"/>
    <col min="13" max="13" width="13.7109375" style="54" customWidth="1"/>
    <col min="14" max="15" width="15" style="54" bestFit="1" customWidth="1"/>
    <col min="16" max="17" width="12.28515625" style="54" customWidth="1"/>
    <col min="18" max="31" width="9.140625" style="54"/>
    <col min="32" max="32" width="9.140625" style="54" customWidth="1"/>
    <col min="33" max="16384" width="9.140625" style="54"/>
  </cols>
  <sheetData>
    <row r="1" spans="1:20" x14ac:dyDescent="0.2">
      <c r="A1" s="506" t="s">
        <v>0</v>
      </c>
      <c r="B1" s="506"/>
      <c r="C1" s="506"/>
      <c r="D1" s="506"/>
      <c r="E1" s="506"/>
      <c r="F1" s="506"/>
      <c r="G1" s="506"/>
      <c r="H1" s="506"/>
      <c r="I1" s="506"/>
      <c r="J1" s="506"/>
      <c r="K1" s="506"/>
      <c r="L1" s="506"/>
      <c r="M1" s="506"/>
      <c r="N1" s="506"/>
      <c r="O1" s="506"/>
    </row>
    <row r="2" spans="1:20" x14ac:dyDescent="0.2">
      <c r="A2" s="506" t="s">
        <v>559</v>
      </c>
      <c r="B2" s="506"/>
      <c r="C2" s="506"/>
      <c r="D2" s="506"/>
      <c r="E2" s="506"/>
      <c r="F2" s="506"/>
      <c r="G2" s="506"/>
      <c r="H2" s="506"/>
      <c r="I2" s="506"/>
      <c r="J2" s="506"/>
      <c r="K2" s="506"/>
      <c r="L2" s="506"/>
      <c r="M2" s="506"/>
      <c r="N2" s="506"/>
      <c r="O2" s="506"/>
    </row>
    <row r="3" spans="1:20" x14ac:dyDescent="0.2">
      <c r="A3" s="506" t="s">
        <v>582</v>
      </c>
      <c r="B3" s="506"/>
      <c r="C3" s="506"/>
      <c r="D3" s="506"/>
      <c r="E3" s="506"/>
      <c r="F3" s="506"/>
      <c r="G3" s="506"/>
      <c r="H3" s="506"/>
      <c r="I3" s="506"/>
      <c r="J3" s="506"/>
      <c r="K3" s="506"/>
      <c r="L3" s="506"/>
      <c r="M3" s="506"/>
      <c r="N3" s="506"/>
      <c r="O3" s="506"/>
    </row>
    <row r="4" spans="1:20" x14ac:dyDescent="0.2">
      <c r="A4" s="506" t="s">
        <v>561</v>
      </c>
      <c r="B4" s="506"/>
      <c r="C4" s="506"/>
      <c r="D4" s="506"/>
      <c r="E4" s="506"/>
      <c r="F4" s="506"/>
      <c r="G4" s="506"/>
      <c r="H4" s="506"/>
      <c r="I4" s="506"/>
      <c r="J4" s="506"/>
      <c r="K4" s="506"/>
      <c r="L4" s="506"/>
      <c r="M4" s="506"/>
      <c r="N4" s="506"/>
      <c r="O4" s="506"/>
    </row>
    <row r="5" spans="1:20" x14ac:dyDescent="0.2">
      <c r="A5" s="10"/>
      <c r="B5" s="10"/>
      <c r="C5" s="10"/>
      <c r="D5" s="10"/>
      <c r="E5" s="10"/>
      <c r="F5" s="10"/>
      <c r="G5" s="10"/>
      <c r="H5" s="10"/>
      <c r="I5" s="10"/>
      <c r="J5" s="10"/>
      <c r="K5" s="10"/>
      <c r="L5" s="10"/>
      <c r="M5" s="10"/>
      <c r="N5" s="10"/>
      <c r="O5" s="246"/>
    </row>
    <row r="6" spans="1:20"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
      <c r="A8" s="10"/>
      <c r="B8" s="10"/>
      <c r="C8" s="410"/>
      <c r="D8" s="410"/>
      <c r="E8" s="410"/>
      <c r="F8" s="410"/>
      <c r="G8" s="410"/>
      <c r="H8" s="410"/>
      <c r="I8" s="410"/>
      <c r="J8" s="410"/>
      <c r="K8" s="410"/>
      <c r="L8" s="410"/>
      <c r="M8" s="410"/>
      <c r="N8" s="410"/>
      <c r="O8" s="246"/>
    </row>
    <row r="9" spans="1:20" x14ac:dyDescent="0.2">
      <c r="A9" s="387">
        <v>1</v>
      </c>
      <c r="B9" s="388" t="s">
        <v>86</v>
      </c>
      <c r="C9" s="389">
        <v>127192</v>
      </c>
      <c r="D9" s="389">
        <v>127329</v>
      </c>
      <c r="E9" s="389">
        <v>127284</v>
      </c>
      <c r="F9" s="389">
        <v>127560</v>
      </c>
      <c r="G9" s="389">
        <v>127773</v>
      </c>
      <c r="H9" s="389">
        <v>127915</v>
      </c>
      <c r="I9" s="389">
        <v>128178</v>
      </c>
      <c r="J9" s="389">
        <v>128565</v>
      </c>
      <c r="K9" s="389">
        <v>128609</v>
      </c>
      <c r="L9" s="389">
        <v>128704</v>
      </c>
      <c r="M9" s="389">
        <v>129024</v>
      </c>
      <c r="N9" s="389">
        <f>129932-852</f>
        <v>129080</v>
      </c>
      <c r="O9" s="390"/>
      <c r="P9" s="222"/>
      <c r="Q9" s="222"/>
    </row>
    <row r="10" spans="1:20" x14ac:dyDescent="0.2">
      <c r="A10" s="391">
        <v>2</v>
      </c>
      <c r="B10" s="392" t="s">
        <v>562</v>
      </c>
      <c r="C10" s="393">
        <v>134.00233493298205</v>
      </c>
      <c r="D10" s="393">
        <v>129.2850363957424</v>
      </c>
      <c r="E10" s="393">
        <v>130.14248322139426</v>
      </c>
      <c r="F10" s="393">
        <v>120.6011409909101</v>
      </c>
      <c r="G10" s="393">
        <v>112.56742429184999</v>
      </c>
      <c r="H10" s="393">
        <v>116.51856760513668</v>
      </c>
      <c r="I10" s="393">
        <v>115.682025683544</v>
      </c>
      <c r="J10" s="393">
        <v>119.89432122479742</v>
      </c>
      <c r="K10" s="393">
        <v>121.90769356286633</v>
      </c>
      <c r="L10" s="393">
        <v>116.90747207671728</v>
      </c>
      <c r="M10" s="393">
        <v>124.45052587240929</v>
      </c>
      <c r="N10" s="393">
        <v>77.464436598377617</v>
      </c>
      <c r="O10" s="394"/>
      <c r="P10" s="395"/>
      <c r="Q10" s="395"/>
    </row>
    <row r="11" spans="1:20" x14ac:dyDescent="0.2">
      <c r="A11" s="10">
        <v>3</v>
      </c>
      <c r="B11" s="246" t="s">
        <v>563</v>
      </c>
      <c r="C11" s="18">
        <f>C9*C10</f>
        <v>17044024.984795853</v>
      </c>
      <c r="D11" s="18">
        <f t="shared" ref="D11:N11" si="1">D9*D10</f>
        <v>16461734.399233483</v>
      </c>
      <c r="E11" s="18">
        <f t="shared" si="1"/>
        <v>16565055.834351948</v>
      </c>
      <c r="F11" s="18">
        <f t="shared" si="1"/>
        <v>15383881.544800492</v>
      </c>
      <c r="G11" s="18">
        <f t="shared" si="1"/>
        <v>14383077.504042549</v>
      </c>
      <c r="H11" s="18">
        <f t="shared" si="1"/>
        <v>14904472.575211059</v>
      </c>
      <c r="I11" s="18">
        <f t="shared" si="1"/>
        <v>14827890.688065302</v>
      </c>
      <c r="J11" s="18">
        <f t="shared" si="1"/>
        <v>15414213.408266081</v>
      </c>
      <c r="K11" s="18">
        <f t="shared" si="1"/>
        <v>15678426.561426675</v>
      </c>
      <c r="L11" s="18">
        <f t="shared" si="1"/>
        <v>15046459.286161821</v>
      </c>
      <c r="M11" s="18">
        <f t="shared" si="1"/>
        <v>16057104.650161736</v>
      </c>
      <c r="N11" s="18">
        <f t="shared" si="1"/>
        <v>9999109.4761185832</v>
      </c>
      <c r="O11" s="18">
        <f>SUM(C11:N11)</f>
        <v>181765450.91263559</v>
      </c>
      <c r="P11" s="396"/>
      <c r="Q11" s="396"/>
    </row>
    <row r="12" spans="1:20" x14ac:dyDescent="0.2">
      <c r="A12" s="10">
        <v>4</v>
      </c>
      <c r="B12" s="246"/>
      <c r="C12" s="246"/>
      <c r="D12" s="246"/>
      <c r="E12" s="246"/>
      <c r="F12" s="246"/>
      <c r="G12" s="246"/>
      <c r="H12" s="246"/>
      <c r="I12" s="246"/>
      <c r="J12" s="246"/>
      <c r="K12" s="246"/>
      <c r="L12" s="246"/>
      <c r="M12" s="246"/>
      <c r="N12" s="246"/>
      <c r="O12" s="246"/>
      <c r="P12" s="221"/>
      <c r="Q12" s="221"/>
    </row>
    <row r="13" spans="1:20" x14ac:dyDescent="0.2">
      <c r="A13" s="387">
        <v>5</v>
      </c>
      <c r="B13" s="388" t="s">
        <v>564</v>
      </c>
      <c r="C13" s="411">
        <v>681316440.03472555</v>
      </c>
      <c r="D13" s="411">
        <v>593384543.70909452</v>
      </c>
      <c r="E13" s="389">
        <v>613748135.31210589</v>
      </c>
      <c r="F13" s="389">
        <v>548321574.24178576</v>
      </c>
      <c r="G13" s="389">
        <v>556509924.25294054</v>
      </c>
      <c r="H13" s="389">
        <v>548452786.80514741</v>
      </c>
      <c r="I13" s="389">
        <v>589623821.8991946</v>
      </c>
      <c r="J13" s="389">
        <v>617848370.43163753</v>
      </c>
      <c r="K13" s="389">
        <v>555845880.66999996</v>
      </c>
      <c r="L13" s="389">
        <v>573509763.38</v>
      </c>
      <c r="M13" s="389">
        <v>585781624.24000001</v>
      </c>
      <c r="N13" s="389">
        <v>376864632.0919584</v>
      </c>
      <c r="O13" s="246"/>
      <c r="P13" s="222"/>
      <c r="Q13" s="222"/>
    </row>
    <row r="14" spans="1:20" x14ac:dyDescent="0.2">
      <c r="A14" s="391">
        <v>6</v>
      </c>
      <c r="B14" s="392" t="s">
        <v>204</v>
      </c>
      <c r="C14" s="397">
        <v>2.4187E-2</v>
      </c>
      <c r="D14" s="397">
        <v>2.4187E-2</v>
      </c>
      <c r="E14" s="397">
        <v>2.4187E-2</v>
      </c>
      <c r="F14" s="397">
        <v>2.4187E-2</v>
      </c>
      <c r="G14" s="397">
        <v>2.5144E-2</v>
      </c>
      <c r="H14" s="397">
        <v>2.5144E-2</v>
      </c>
      <c r="I14" s="397">
        <v>2.5144E-2</v>
      </c>
      <c r="J14" s="397">
        <v>2.5144E-2</v>
      </c>
      <c r="K14" s="397">
        <v>2.5144E-2</v>
      </c>
      <c r="L14" s="397">
        <v>2.5144E-2</v>
      </c>
      <c r="M14" s="397">
        <v>2.5144E-2</v>
      </c>
      <c r="N14" s="397">
        <v>2.5144E-2</v>
      </c>
      <c r="O14" s="28"/>
      <c r="P14" s="398"/>
      <c r="Q14" s="398"/>
    </row>
    <row r="15" spans="1:20" x14ac:dyDescent="0.2">
      <c r="A15" s="10">
        <v>7</v>
      </c>
      <c r="B15" s="246" t="s">
        <v>565</v>
      </c>
      <c r="C15" s="18">
        <f>C13*C14</f>
        <v>16479000.735119907</v>
      </c>
      <c r="D15" s="18">
        <f t="shared" ref="D15:N15" si="2">D13*D14</f>
        <v>14352191.958691869</v>
      </c>
      <c r="E15" s="18">
        <f t="shared" si="2"/>
        <v>14844726.148793906</v>
      </c>
      <c r="F15" s="18">
        <f t="shared" si="2"/>
        <v>13262253.916186072</v>
      </c>
      <c r="G15" s="18">
        <f t="shared" si="2"/>
        <v>13992885.535415936</v>
      </c>
      <c r="H15" s="18">
        <f t="shared" si="2"/>
        <v>13790296.871428626</v>
      </c>
      <c r="I15" s="18">
        <f t="shared" si="2"/>
        <v>14825501.37783335</v>
      </c>
      <c r="J15" s="18">
        <f t="shared" si="2"/>
        <v>15535179.426133094</v>
      </c>
      <c r="K15" s="18">
        <f t="shared" si="2"/>
        <v>13976188.82356648</v>
      </c>
      <c r="L15" s="18">
        <f t="shared" si="2"/>
        <v>14420329.490426719</v>
      </c>
      <c r="M15" s="18">
        <f t="shared" si="2"/>
        <v>14728893.15989056</v>
      </c>
      <c r="N15" s="18">
        <f t="shared" si="2"/>
        <v>9475884.3093202021</v>
      </c>
      <c r="O15" s="18">
        <f>SUM(C15:N15)</f>
        <v>169683331.75280675</v>
      </c>
      <c r="P15" s="396"/>
      <c r="Q15" s="396"/>
    </row>
    <row r="16" spans="1:20" x14ac:dyDescent="0.2">
      <c r="A16" s="10">
        <v>8</v>
      </c>
      <c r="B16" s="246"/>
      <c r="C16" s="246"/>
      <c r="D16" s="246"/>
      <c r="E16" s="246"/>
      <c r="F16" s="246"/>
      <c r="G16" s="246"/>
      <c r="H16" s="246"/>
      <c r="I16" s="246"/>
      <c r="J16" s="246"/>
      <c r="K16" s="246"/>
      <c r="L16" s="246"/>
      <c r="M16" s="246"/>
      <c r="N16" s="246"/>
      <c r="O16" s="18"/>
    </row>
    <row r="17" spans="1:17" x14ac:dyDescent="0.2">
      <c r="A17" s="387">
        <v>9</v>
      </c>
      <c r="B17" s="388" t="s">
        <v>566</v>
      </c>
      <c r="C17" s="389">
        <v>0</v>
      </c>
      <c r="D17" s="389">
        <v>0</v>
      </c>
      <c r="E17" s="389">
        <v>0</v>
      </c>
      <c r="F17" s="389"/>
      <c r="G17" s="389">
        <v>-5749937.706711797</v>
      </c>
      <c r="H17" s="389">
        <v>7234329.0859999992</v>
      </c>
      <c r="I17" s="389"/>
      <c r="J17" s="389"/>
      <c r="K17" s="389"/>
      <c r="L17" s="389"/>
      <c r="M17" s="389"/>
      <c r="N17" s="389"/>
      <c r="O17" s="18"/>
    </row>
    <row r="18" spans="1:17" x14ac:dyDescent="0.2">
      <c r="A18" s="391">
        <v>10</v>
      </c>
      <c r="B18" s="392" t="s">
        <v>204</v>
      </c>
      <c r="C18" s="397">
        <v>2.3872000000000001E-2</v>
      </c>
      <c r="D18" s="397">
        <v>0</v>
      </c>
      <c r="E18" s="397">
        <v>0</v>
      </c>
      <c r="F18" s="397"/>
      <c r="G18" s="397">
        <f>$F$14</f>
        <v>2.4187E-2</v>
      </c>
      <c r="H18" s="397">
        <f t="shared" ref="H18:I18" si="3">$F$14</f>
        <v>2.4187E-2</v>
      </c>
      <c r="I18" s="397">
        <f t="shared" si="3"/>
        <v>2.4187E-2</v>
      </c>
      <c r="J18" s="397"/>
      <c r="K18" s="397"/>
      <c r="L18" s="397"/>
      <c r="M18" s="397"/>
      <c r="N18" s="397"/>
      <c r="O18" s="18"/>
    </row>
    <row r="19" spans="1:17" x14ac:dyDescent="0.2">
      <c r="A19" s="10">
        <v>11</v>
      </c>
      <c r="B19" s="246" t="s">
        <v>565</v>
      </c>
      <c r="C19" s="18">
        <f t="shared" ref="C19:N19" si="4">C17*C18</f>
        <v>0</v>
      </c>
      <c r="D19" s="18">
        <f t="shared" si="4"/>
        <v>0</v>
      </c>
      <c r="E19" s="18">
        <f t="shared" si="4"/>
        <v>0</v>
      </c>
      <c r="F19" s="18">
        <f t="shared" si="4"/>
        <v>0</v>
      </c>
      <c r="G19" s="18">
        <f t="shared" si="4"/>
        <v>-139073.74331223825</v>
      </c>
      <c r="H19" s="18">
        <f t="shared" si="4"/>
        <v>174976.71760308198</v>
      </c>
      <c r="I19" s="18">
        <f t="shared" si="4"/>
        <v>0</v>
      </c>
      <c r="J19" s="18">
        <f t="shared" si="4"/>
        <v>0</v>
      </c>
      <c r="K19" s="18">
        <f t="shared" si="4"/>
        <v>0</v>
      </c>
      <c r="L19" s="18">
        <f t="shared" si="4"/>
        <v>0</v>
      </c>
      <c r="M19" s="18">
        <f t="shared" si="4"/>
        <v>0</v>
      </c>
      <c r="N19" s="18">
        <f t="shared" si="4"/>
        <v>0</v>
      </c>
      <c r="O19" s="18">
        <f>SUM(C19:N19)</f>
        <v>35902.974290843733</v>
      </c>
    </row>
    <row r="20" spans="1:17" x14ac:dyDescent="0.2">
      <c r="A20" s="10">
        <v>12</v>
      </c>
      <c r="B20" s="246"/>
      <c r="C20" s="246"/>
      <c r="D20" s="246"/>
      <c r="E20" s="246"/>
      <c r="F20" s="246"/>
      <c r="G20" s="246"/>
      <c r="H20" s="246"/>
      <c r="I20" s="246"/>
      <c r="J20" s="246"/>
      <c r="K20" s="246"/>
      <c r="L20" s="246"/>
      <c r="M20" s="246"/>
      <c r="N20" s="246"/>
      <c r="O20" s="18"/>
    </row>
    <row r="21" spans="1:17" x14ac:dyDescent="0.2">
      <c r="A21" s="10">
        <v>13</v>
      </c>
      <c r="B21" s="246" t="s">
        <v>567</v>
      </c>
      <c r="C21" s="18">
        <f t="shared" ref="C21:N21" si="5">C15+C19</f>
        <v>16479000.735119907</v>
      </c>
      <c r="D21" s="18">
        <f t="shared" si="5"/>
        <v>14352191.958691869</v>
      </c>
      <c r="E21" s="18">
        <f t="shared" si="5"/>
        <v>14844726.148793906</v>
      </c>
      <c r="F21" s="18">
        <f t="shared" si="5"/>
        <v>13262253.916186072</v>
      </c>
      <c r="G21" s="18">
        <f t="shared" si="5"/>
        <v>13853811.792103698</v>
      </c>
      <c r="H21" s="18">
        <f t="shared" si="5"/>
        <v>13965273.589031707</v>
      </c>
      <c r="I21" s="18">
        <f t="shared" si="5"/>
        <v>14825501.37783335</v>
      </c>
      <c r="J21" s="18">
        <f t="shared" si="5"/>
        <v>15535179.426133094</v>
      </c>
      <c r="K21" s="18">
        <f t="shared" si="5"/>
        <v>13976188.82356648</v>
      </c>
      <c r="L21" s="18">
        <f t="shared" si="5"/>
        <v>14420329.490426719</v>
      </c>
      <c r="M21" s="18">
        <f t="shared" si="5"/>
        <v>14728893.15989056</v>
      </c>
      <c r="N21" s="18">
        <f t="shared" si="5"/>
        <v>9475884.3093202021</v>
      </c>
      <c r="O21" s="18">
        <f>SUM(C21:N21)</f>
        <v>169719234.7270976</v>
      </c>
    </row>
    <row r="22" spans="1:17" x14ac:dyDescent="0.2">
      <c r="A22" s="10">
        <v>14</v>
      </c>
      <c r="B22" s="246"/>
      <c r="C22" s="246"/>
      <c r="D22" s="246"/>
      <c r="E22" s="246"/>
      <c r="F22" s="246"/>
      <c r="G22" s="246"/>
      <c r="H22" s="246"/>
      <c r="I22" s="246"/>
      <c r="J22" s="246"/>
      <c r="K22" s="246"/>
      <c r="L22" s="246"/>
      <c r="M22" s="246"/>
      <c r="N22" s="246"/>
      <c r="O22" s="18"/>
    </row>
    <row r="23" spans="1:17" x14ac:dyDescent="0.2">
      <c r="A23" s="10">
        <v>15</v>
      </c>
      <c r="B23" s="246" t="s">
        <v>568</v>
      </c>
      <c r="C23" s="36">
        <f>C11-C21</f>
        <v>565024.24967594631</v>
      </c>
      <c r="D23" s="36">
        <f t="shared" ref="D23:N23" si="6">D11-D21</f>
        <v>2109542.4405416138</v>
      </c>
      <c r="E23" s="36">
        <f t="shared" si="6"/>
        <v>1720329.6855580416</v>
      </c>
      <c r="F23" s="36">
        <f t="shared" si="6"/>
        <v>2121627.6286144201</v>
      </c>
      <c r="G23" s="36">
        <f t="shared" si="6"/>
        <v>529265.71193885058</v>
      </c>
      <c r="H23" s="36">
        <f t="shared" si="6"/>
        <v>939198.98617935181</v>
      </c>
      <c r="I23" s="36">
        <f t="shared" si="6"/>
        <v>2389.3102319519967</v>
      </c>
      <c r="J23" s="36">
        <f t="shared" si="6"/>
        <v>-120966.01786701381</v>
      </c>
      <c r="K23" s="36">
        <f t="shared" si="6"/>
        <v>1702237.7378601953</v>
      </c>
      <c r="L23" s="36">
        <f t="shared" si="6"/>
        <v>626129.79573510215</v>
      </c>
      <c r="M23" s="36">
        <f t="shared" si="6"/>
        <v>1328211.4902711753</v>
      </c>
      <c r="N23" s="36">
        <f t="shared" si="6"/>
        <v>523225.16679838113</v>
      </c>
      <c r="O23" s="36">
        <f>SUM(C23:N23)</f>
        <v>12046216.185538016</v>
      </c>
      <c r="P23" s="396"/>
      <c r="Q23" s="396"/>
    </row>
    <row r="24" spans="1:17" x14ac:dyDescent="0.2">
      <c r="A24" s="10">
        <v>16</v>
      </c>
      <c r="B24" s="246"/>
      <c r="C24" s="246"/>
      <c r="D24" s="246"/>
      <c r="E24" s="246"/>
      <c r="F24" s="246"/>
      <c r="G24" s="246"/>
      <c r="H24" s="246"/>
      <c r="I24" s="246"/>
      <c r="J24" s="246"/>
      <c r="K24" s="246"/>
      <c r="L24" s="246"/>
      <c r="M24" s="246"/>
      <c r="N24" s="246"/>
      <c r="O24" s="18"/>
    </row>
    <row r="25" spans="1:17" x14ac:dyDescent="0.2">
      <c r="A25" s="10">
        <v>17</v>
      </c>
      <c r="B25" s="246" t="s">
        <v>569</v>
      </c>
      <c r="C25" s="36">
        <v>39908.76</v>
      </c>
      <c r="D25" s="36">
        <v>42889.25</v>
      </c>
      <c r="E25" s="36">
        <v>47517.03</v>
      </c>
      <c r="F25" s="36">
        <v>55319.12</v>
      </c>
      <c r="G25" s="36">
        <v>52651.674330049362</v>
      </c>
      <c r="H25" s="36">
        <v>47543.511765878444</v>
      </c>
      <c r="I25" s="36">
        <v>49943.899761688306</v>
      </c>
      <c r="J25" s="36">
        <v>47337.004886959425</v>
      </c>
      <c r="K25" s="36">
        <v>47474.606462277057</v>
      </c>
      <c r="L25" s="36">
        <v>51963.251598421157</v>
      </c>
      <c r="M25" s="36">
        <v>52764.801287463633</v>
      </c>
      <c r="N25" s="36">
        <v>53813.09803457724</v>
      </c>
      <c r="O25" s="36">
        <f>SUM(C25:N25)</f>
        <v>589126.00812731462</v>
      </c>
      <c r="P25" s="399"/>
      <c r="Q25" s="399"/>
    </row>
    <row r="26" spans="1:17" x14ac:dyDescent="0.2">
      <c r="A26" s="10">
        <v>18</v>
      </c>
      <c r="B26" s="246"/>
      <c r="C26" s="246"/>
      <c r="D26" s="246"/>
      <c r="E26" s="246"/>
      <c r="F26" s="246"/>
      <c r="G26" s="246"/>
      <c r="H26" s="246"/>
      <c r="I26" s="246"/>
      <c r="J26" s="246"/>
      <c r="K26" s="246"/>
      <c r="L26" s="246"/>
      <c r="M26" s="246"/>
      <c r="N26" s="246"/>
      <c r="O26" s="18"/>
    </row>
    <row r="27" spans="1:17" s="246" customFormat="1" x14ac:dyDescent="0.2">
      <c r="A27" s="10">
        <v>19</v>
      </c>
      <c r="B27" s="246" t="s">
        <v>570</v>
      </c>
      <c r="C27" s="412">
        <v>26027828.759368371</v>
      </c>
      <c r="D27" s="18">
        <f t="shared" ref="D27:N27" si="7">C27+D51+D25</f>
        <v>28084021.009368371</v>
      </c>
      <c r="E27" s="18">
        <f t="shared" si="7"/>
        <v>29773384.559368372</v>
      </c>
      <c r="F27" s="18">
        <f t="shared" si="7"/>
        <v>31853540.529368374</v>
      </c>
      <c r="G27" s="18">
        <f t="shared" si="7"/>
        <v>32411312.284592912</v>
      </c>
      <c r="H27" s="18">
        <f t="shared" si="7"/>
        <v>33355207.585589655</v>
      </c>
      <c r="I27" s="18">
        <f t="shared" si="7"/>
        <v>33407431.792861205</v>
      </c>
      <c r="J27" s="18">
        <f t="shared" si="7"/>
        <v>33339321.37058226</v>
      </c>
      <c r="K27" s="18">
        <f t="shared" si="7"/>
        <v>35011375.927065812</v>
      </c>
      <c r="L27" s="18">
        <f>K27+L51+L25</f>
        <v>35660904.306988098</v>
      </c>
      <c r="M27" s="18">
        <f>L27+M51+M25</f>
        <v>36981286.262149073</v>
      </c>
      <c r="N27" s="18">
        <f t="shared" si="7"/>
        <v>37534454.471647523</v>
      </c>
      <c r="O27" s="18"/>
    </row>
    <row r="28" spans="1:17" x14ac:dyDescent="0.2">
      <c r="A28" s="10">
        <v>20</v>
      </c>
      <c r="B28" s="246"/>
      <c r="C28" s="246"/>
      <c r="D28" s="246"/>
      <c r="E28" s="246"/>
      <c r="F28" s="246"/>
      <c r="G28" s="246"/>
      <c r="H28" s="246"/>
      <c r="I28" s="246"/>
      <c r="J28" s="246"/>
      <c r="K28" s="246"/>
      <c r="L28" s="246"/>
      <c r="M28" s="246"/>
      <c r="N28" s="246"/>
      <c r="O28" s="18"/>
    </row>
    <row r="29" spans="1:17" x14ac:dyDescent="0.2">
      <c r="A29" s="10">
        <v>21</v>
      </c>
      <c r="B29" s="246" t="s">
        <v>571</v>
      </c>
      <c r="C29" s="27">
        <v>4.6200000000000001E-4</v>
      </c>
      <c r="D29" s="27">
        <v>4.6200000000000001E-4</v>
      </c>
      <c r="E29" s="27">
        <v>4.6200000000000001E-4</v>
      </c>
      <c r="F29" s="27">
        <v>4.6200000000000001E-4</v>
      </c>
      <c r="G29" s="27">
        <v>1.335E-3</v>
      </c>
      <c r="H29" s="27">
        <v>1.335E-3</v>
      </c>
      <c r="I29" s="27">
        <v>1.335E-3</v>
      </c>
      <c r="J29" s="27">
        <v>1.335E-3</v>
      </c>
      <c r="K29" s="27">
        <v>1.335E-3</v>
      </c>
      <c r="L29" s="27">
        <v>1.335E-3</v>
      </c>
      <c r="M29" s="27">
        <v>1.335E-3</v>
      </c>
      <c r="N29" s="27">
        <v>1.335E-3</v>
      </c>
      <c r="O29" s="18"/>
    </row>
    <row r="30" spans="1:17" x14ac:dyDescent="0.2">
      <c r="A30" s="10">
        <v>22</v>
      </c>
      <c r="B30" s="246"/>
      <c r="C30" s="27"/>
      <c r="D30" s="27"/>
      <c r="E30" s="27"/>
      <c r="F30" s="27"/>
      <c r="G30" s="27"/>
      <c r="H30" s="27"/>
      <c r="I30" s="27"/>
      <c r="J30" s="27"/>
      <c r="K30" s="27"/>
      <c r="L30" s="27"/>
      <c r="M30" s="27"/>
      <c r="N30" s="27"/>
      <c r="O30" s="18"/>
    </row>
    <row r="31" spans="1:17" x14ac:dyDescent="0.2">
      <c r="A31" s="10">
        <v>23</v>
      </c>
      <c r="B31" s="246" t="s">
        <v>572</v>
      </c>
      <c r="C31" s="27"/>
      <c r="D31" s="27"/>
      <c r="E31" s="27"/>
      <c r="F31" s="27"/>
      <c r="G31" s="27">
        <f>$F$29</f>
        <v>4.6200000000000001E-4</v>
      </c>
      <c r="H31" s="27">
        <f t="shared" ref="H31:I31" si="8">$F$29</f>
        <v>4.6200000000000001E-4</v>
      </c>
      <c r="I31" s="27">
        <f t="shared" si="8"/>
        <v>4.6200000000000001E-4</v>
      </c>
      <c r="J31" s="27"/>
      <c r="K31" s="27"/>
      <c r="L31" s="27"/>
      <c r="M31" s="27"/>
      <c r="N31" s="27"/>
      <c r="O31" s="18"/>
    </row>
    <row r="32" spans="1:17" x14ac:dyDescent="0.2">
      <c r="A32" s="10">
        <v>24</v>
      </c>
      <c r="B32" s="246"/>
      <c r="C32" s="18"/>
      <c r="D32" s="18"/>
      <c r="E32" s="18"/>
      <c r="F32" s="18"/>
      <c r="G32" s="18"/>
      <c r="H32" s="18"/>
      <c r="I32" s="18"/>
      <c r="J32" s="18"/>
      <c r="K32" s="18"/>
      <c r="L32" s="18"/>
      <c r="M32" s="18"/>
      <c r="N32" s="18"/>
      <c r="O32" s="18"/>
    </row>
    <row r="33" spans="1:15" x14ac:dyDescent="0.2">
      <c r="A33" s="10">
        <v>25</v>
      </c>
      <c r="B33" s="246" t="s">
        <v>292</v>
      </c>
      <c r="C33" s="36">
        <f>(C13*C29)+(C17*C31)</f>
        <v>314768.19529604318</v>
      </c>
      <c r="D33" s="36">
        <f t="shared" ref="D33:N33" si="9">(D13*D29)+(D17*D31)</f>
        <v>274143.65919360169</v>
      </c>
      <c r="E33" s="36">
        <f t="shared" si="9"/>
        <v>283551.63851419295</v>
      </c>
      <c r="F33" s="36">
        <f t="shared" si="9"/>
        <v>253324.56729970503</v>
      </c>
      <c r="G33" s="36">
        <f t="shared" si="9"/>
        <v>740284.27765717474</v>
      </c>
      <c r="H33" s="36">
        <f t="shared" si="9"/>
        <v>735526.73042260378</v>
      </c>
      <c r="I33" s="36">
        <f t="shared" si="9"/>
        <v>787147.80223542475</v>
      </c>
      <c r="J33" s="36">
        <f t="shared" si="9"/>
        <v>824827.57452623616</v>
      </c>
      <c r="K33" s="36">
        <f t="shared" si="9"/>
        <v>742054.25069444999</v>
      </c>
      <c r="L33" s="36">
        <f t="shared" si="9"/>
        <v>765635.53411230003</v>
      </c>
      <c r="M33" s="36">
        <f t="shared" si="9"/>
        <v>782018.46836040006</v>
      </c>
      <c r="N33" s="36">
        <f t="shared" si="9"/>
        <v>503114.2838427645</v>
      </c>
      <c r="O33" s="36">
        <f>SUM(C33:N33)</f>
        <v>7006396.9821548965</v>
      </c>
    </row>
    <row r="34" spans="1:15" x14ac:dyDescent="0.2">
      <c r="A34" s="10">
        <v>26</v>
      </c>
      <c r="B34" s="246"/>
      <c r="C34" s="18"/>
      <c r="D34" s="18"/>
      <c r="E34" s="18"/>
      <c r="F34" s="18"/>
      <c r="G34" s="18"/>
      <c r="H34" s="18"/>
      <c r="I34" s="18"/>
      <c r="J34" s="18"/>
      <c r="K34" s="18"/>
      <c r="L34" s="18"/>
      <c r="M34" s="18"/>
      <c r="N34" s="18"/>
      <c r="O34" s="18"/>
    </row>
    <row r="35" spans="1:15" x14ac:dyDescent="0.2">
      <c r="A35" s="10">
        <v>27</v>
      </c>
      <c r="B35" s="246" t="s">
        <v>573</v>
      </c>
      <c r="C35" s="412">
        <v>18345208.472807556</v>
      </c>
      <c r="D35" s="18">
        <f t="shared" ref="D35:N35" si="10">C35+D51+D25-D53</f>
        <v>20139763.772807557</v>
      </c>
      <c r="E35" s="18">
        <f t="shared" si="10"/>
        <v>21558511.592807557</v>
      </c>
      <c r="F35" s="18">
        <f t="shared" si="10"/>
        <v>23396899.912807561</v>
      </c>
      <c r="G35" s="18">
        <f t="shared" si="10"/>
        <v>23248159.899405923</v>
      </c>
      <c r="H35" s="18">
        <f t="shared" si="10"/>
        <v>23490083.934948672</v>
      </c>
      <c r="I35" s="18">
        <f t="shared" si="10"/>
        <v>22791070.809870578</v>
      </c>
      <c r="J35" s="18">
        <f t="shared" si="10"/>
        <v>21935762.27184286</v>
      </c>
      <c r="K35" s="18">
        <f t="shared" si="10"/>
        <v>22899615.834602892</v>
      </c>
      <c r="L35" s="18">
        <f t="shared" si="10"/>
        <v>22818437.739114624</v>
      </c>
      <c r="M35" s="18">
        <f t="shared" si="10"/>
        <v>23392477.690460272</v>
      </c>
      <c r="N35" s="18">
        <f t="shared" si="10"/>
        <v>23465484.192859143</v>
      </c>
      <c r="O35" s="18"/>
    </row>
    <row r="36" spans="1:15" x14ac:dyDescent="0.2">
      <c r="A36" s="10">
        <v>28</v>
      </c>
      <c r="B36" s="246"/>
      <c r="C36" s="18"/>
      <c r="D36" s="18"/>
      <c r="E36" s="18"/>
      <c r="F36" s="18"/>
      <c r="G36" s="18"/>
      <c r="H36" s="18"/>
      <c r="I36" s="18"/>
      <c r="J36" s="18"/>
      <c r="K36" s="18"/>
      <c r="L36" s="18"/>
      <c r="M36" s="18"/>
      <c r="N36" s="18"/>
      <c r="O36" s="18"/>
    </row>
    <row r="37" spans="1:15" x14ac:dyDescent="0.2">
      <c r="A37" s="10">
        <v>29</v>
      </c>
      <c r="B37" s="54" t="s">
        <v>574</v>
      </c>
      <c r="C37" s="27">
        <v>3.3240000000000006E-3</v>
      </c>
      <c r="D37" s="27">
        <v>3.3240000000000006E-3</v>
      </c>
      <c r="E37" s="27">
        <v>3.3240000000000006E-3</v>
      </c>
      <c r="F37" s="27">
        <v>3.3240000000000006E-3</v>
      </c>
      <c r="G37" s="27">
        <v>5.1560000000000009E-3</v>
      </c>
      <c r="H37" s="27">
        <v>5.1560000000000009E-3</v>
      </c>
      <c r="I37" s="27">
        <v>5.1560000000000009E-3</v>
      </c>
      <c r="J37" s="27">
        <v>5.1560000000000009E-3</v>
      </c>
      <c r="K37" s="27">
        <v>5.1560000000000009E-3</v>
      </c>
      <c r="L37" s="27">
        <v>5.1560000000000009E-3</v>
      </c>
      <c r="M37" s="27">
        <v>5.1560000000000009E-3</v>
      </c>
      <c r="N37" s="27">
        <v>5.1560000000000009E-3</v>
      </c>
    </row>
    <row r="38" spans="1:15" x14ac:dyDescent="0.2">
      <c r="A38" s="10">
        <v>30</v>
      </c>
      <c r="C38" s="27"/>
      <c r="D38" s="27"/>
      <c r="E38" s="27"/>
      <c r="F38" s="27"/>
      <c r="G38" s="27"/>
      <c r="H38" s="27"/>
      <c r="I38" s="27"/>
      <c r="J38" s="27"/>
      <c r="K38" s="27"/>
      <c r="L38" s="27"/>
      <c r="M38" s="27"/>
      <c r="N38" s="27"/>
    </row>
    <row r="39" spans="1:15" x14ac:dyDescent="0.2">
      <c r="A39" s="10">
        <v>31</v>
      </c>
      <c r="B39" s="54" t="s">
        <v>575</v>
      </c>
      <c r="C39" s="27"/>
      <c r="D39" s="27"/>
      <c r="E39" s="27"/>
      <c r="F39" s="27"/>
      <c r="G39" s="27">
        <f>$F$37</f>
        <v>3.3240000000000006E-3</v>
      </c>
      <c r="H39" s="27">
        <f t="shared" ref="H39:I39" si="11">$F$37</f>
        <v>3.3240000000000006E-3</v>
      </c>
      <c r="I39" s="27">
        <f t="shared" si="11"/>
        <v>3.3240000000000006E-3</v>
      </c>
      <c r="J39" s="27"/>
      <c r="K39" s="27"/>
      <c r="L39" s="27"/>
      <c r="M39" s="27"/>
      <c r="N39" s="27"/>
    </row>
    <row r="40" spans="1:15" x14ac:dyDescent="0.2">
      <c r="A40" s="10">
        <v>32</v>
      </c>
    </row>
    <row r="41" spans="1:15" x14ac:dyDescent="0.2">
      <c r="A41" s="10">
        <v>33</v>
      </c>
      <c r="B41" s="54" t="s">
        <v>576</v>
      </c>
      <c r="C41" s="36">
        <f>(C13*C37)+(C17*C39)</f>
        <v>2264695.8466754281</v>
      </c>
      <c r="D41" s="36">
        <f t="shared" ref="D41:N41" si="12">(D13*D37)+(D17*D39)</f>
        <v>1972410.2232890306</v>
      </c>
      <c r="E41" s="36">
        <f t="shared" si="12"/>
        <v>2040098.8017774404</v>
      </c>
      <c r="F41" s="36">
        <f t="shared" si="12"/>
        <v>1822620.9127796963</v>
      </c>
      <c r="G41" s="36">
        <f t="shared" si="12"/>
        <v>2850252.3765110518</v>
      </c>
      <c r="H41" s="36">
        <f t="shared" si="12"/>
        <v>2851869.4786492046</v>
      </c>
      <c r="I41" s="36">
        <f t="shared" si="12"/>
        <v>3040100.4257122478</v>
      </c>
      <c r="J41" s="36">
        <f t="shared" si="12"/>
        <v>3185626.1979455235</v>
      </c>
      <c r="K41" s="36">
        <f t="shared" si="12"/>
        <v>2865941.3607345205</v>
      </c>
      <c r="L41" s="36">
        <f t="shared" si="12"/>
        <v>2957016.3399872803</v>
      </c>
      <c r="M41" s="36">
        <f t="shared" si="12"/>
        <v>3020290.0545814405</v>
      </c>
      <c r="N41" s="36">
        <f t="shared" si="12"/>
        <v>1943114.0430661379</v>
      </c>
      <c r="O41" s="399">
        <f>SUM(C41:N41)</f>
        <v>30814036.061709005</v>
      </c>
    </row>
    <row r="42" spans="1:15" x14ac:dyDescent="0.2">
      <c r="A42" s="10">
        <v>34</v>
      </c>
    </row>
    <row r="43" spans="1:15" x14ac:dyDescent="0.2">
      <c r="A43" s="10">
        <v>35</v>
      </c>
      <c r="F43" s="413"/>
    </row>
    <row r="44" spans="1:15" x14ac:dyDescent="0.2">
      <c r="A44" s="387">
        <v>36</v>
      </c>
      <c r="B44" s="388" t="s">
        <v>583</v>
      </c>
      <c r="C44" s="388"/>
      <c r="D44" s="388"/>
      <c r="E44" s="388"/>
      <c r="F44" s="388"/>
      <c r="G44" s="388"/>
      <c r="H44" s="388"/>
      <c r="I44" s="388"/>
      <c r="J44" s="388"/>
      <c r="K44" s="388"/>
      <c r="L44" s="388"/>
      <c r="M44" s="388"/>
      <c r="N44" s="388"/>
    </row>
    <row r="45" spans="1:15" x14ac:dyDescent="0.2">
      <c r="A45" s="391">
        <v>37</v>
      </c>
      <c r="B45" s="392" t="s">
        <v>578</v>
      </c>
      <c r="C45" s="392"/>
      <c r="D45" s="392"/>
      <c r="E45" s="392"/>
      <c r="F45" s="392"/>
      <c r="G45" s="392"/>
      <c r="H45" s="392"/>
      <c r="I45" s="392"/>
      <c r="J45" s="392"/>
      <c r="K45" s="392"/>
      <c r="L45" s="392"/>
      <c r="M45" s="392"/>
      <c r="N45" s="392"/>
    </row>
    <row r="46" spans="1:15" x14ac:dyDescent="0.2">
      <c r="A46" s="391">
        <v>38</v>
      </c>
      <c r="B46" s="392" t="s">
        <v>579</v>
      </c>
      <c r="C46" s="392"/>
      <c r="D46" s="392"/>
      <c r="E46" s="392"/>
      <c r="F46" s="392"/>
      <c r="G46" s="392"/>
      <c r="H46" s="392"/>
      <c r="I46" s="392"/>
      <c r="J46" s="392"/>
      <c r="K46" s="392"/>
      <c r="L46" s="392"/>
      <c r="M46" s="392"/>
      <c r="N46" s="392"/>
    </row>
    <row r="47" spans="1:15" x14ac:dyDescent="0.2">
      <c r="A47" s="400">
        <v>39</v>
      </c>
      <c r="B47" s="401" t="s">
        <v>580</v>
      </c>
      <c r="C47" s="401"/>
      <c r="D47" s="401"/>
      <c r="E47" s="401"/>
      <c r="F47" s="401"/>
      <c r="G47" s="401"/>
      <c r="H47" s="401"/>
      <c r="I47" s="401"/>
      <c r="J47" s="401"/>
      <c r="K47" s="401"/>
      <c r="L47" s="401"/>
      <c r="M47" s="401"/>
      <c r="N47" s="401"/>
    </row>
    <row r="48" spans="1:15" x14ac:dyDescent="0.2">
      <c r="A48" s="10">
        <v>40</v>
      </c>
    </row>
    <row r="49" spans="1:15" x14ac:dyDescent="0.2">
      <c r="A49" s="400">
        <v>41</v>
      </c>
      <c r="B49" s="401" t="s">
        <v>175</v>
      </c>
      <c r="C49" s="402">
        <v>0.95437899999999998</v>
      </c>
      <c r="D49" s="402">
        <f>$C$49</f>
        <v>0.95437899999999998</v>
      </c>
      <c r="E49" s="402">
        <f t="shared" ref="E49:N49" si="13">$C$49</f>
        <v>0.95437899999999998</v>
      </c>
      <c r="F49" s="402">
        <f t="shared" si="13"/>
        <v>0.95437899999999998</v>
      </c>
      <c r="G49" s="402">
        <f t="shared" si="13"/>
        <v>0.95437899999999998</v>
      </c>
      <c r="H49" s="402">
        <f t="shared" si="13"/>
        <v>0.95437899999999998</v>
      </c>
      <c r="I49" s="402">
        <f t="shared" si="13"/>
        <v>0.95437899999999998</v>
      </c>
      <c r="J49" s="402">
        <f t="shared" si="13"/>
        <v>0.95437899999999998</v>
      </c>
      <c r="K49" s="402">
        <f t="shared" si="13"/>
        <v>0.95437899999999998</v>
      </c>
      <c r="L49" s="402">
        <f t="shared" si="13"/>
        <v>0.95437899999999998</v>
      </c>
      <c r="M49" s="402">
        <f t="shared" si="13"/>
        <v>0.95437899999999998</v>
      </c>
      <c r="N49" s="402">
        <f t="shared" si="13"/>
        <v>0.95437899999999998</v>
      </c>
    </row>
    <row r="50" spans="1:15" ht="13.5" thickBot="1" x14ac:dyDescent="0.25">
      <c r="A50" s="10">
        <v>42</v>
      </c>
    </row>
    <row r="51" spans="1:15" ht="13.5" thickBot="1" x14ac:dyDescent="0.25">
      <c r="A51" s="403">
        <v>43</v>
      </c>
      <c r="B51" s="404" t="s">
        <v>581</v>
      </c>
      <c r="C51" s="405">
        <f>ROUND(C49*C23,2)</f>
        <v>539247.28</v>
      </c>
      <c r="D51" s="405">
        <f>ROUND(D49*D23,2)</f>
        <v>2013303</v>
      </c>
      <c r="E51" s="405">
        <f>ROUND(E49*E23,2)</f>
        <v>1641846.52</v>
      </c>
      <c r="F51" s="405">
        <f>ROUND(F49*F23,2)</f>
        <v>2024836.85</v>
      </c>
      <c r="G51" s="405">
        <f t="shared" ref="G51:N51" si="14">G49*G23</f>
        <v>505120.08089448826</v>
      </c>
      <c r="H51" s="405">
        <f t="shared" si="14"/>
        <v>896351.78923086356</v>
      </c>
      <c r="I51" s="405">
        <f t="shared" si="14"/>
        <v>2280.3075098601148</v>
      </c>
      <c r="J51" s="405">
        <f t="shared" si="14"/>
        <v>-115447.42716590277</v>
      </c>
      <c r="K51" s="405">
        <f t="shared" si="14"/>
        <v>1624579.9500212753</v>
      </c>
      <c r="L51" s="405">
        <f t="shared" si="14"/>
        <v>597565.12832387106</v>
      </c>
      <c r="M51" s="405">
        <f t="shared" si="14"/>
        <v>1267617.1538735139</v>
      </c>
      <c r="N51" s="407">
        <f t="shared" si="14"/>
        <v>499355.11146387219</v>
      </c>
      <c r="O51" s="399">
        <f>SUM(C51:N51)</f>
        <v>11496655.744151844</v>
      </c>
    </row>
    <row r="52" spans="1:15" ht="13.5" thickBot="1" x14ac:dyDescent="0.25">
      <c r="A52" s="414">
        <v>44</v>
      </c>
      <c r="B52" s="56"/>
      <c r="C52" s="37"/>
      <c r="D52" s="37"/>
      <c r="E52" s="37"/>
      <c r="F52" s="37"/>
      <c r="G52" s="37"/>
      <c r="H52" s="37"/>
      <c r="I52" s="37"/>
      <c r="J52" s="37"/>
      <c r="K52" s="37"/>
      <c r="L52" s="37"/>
      <c r="M52" s="37"/>
      <c r="N52" s="37"/>
      <c r="O52" s="399"/>
    </row>
    <row r="53" spans="1:15" ht="13.5" thickBot="1" x14ac:dyDescent="0.25">
      <c r="A53" s="403">
        <v>45</v>
      </c>
      <c r="B53" s="404" t="s">
        <v>292</v>
      </c>
      <c r="C53" s="405">
        <f>ROUND(C33*C49,2)</f>
        <v>300408.15999999997</v>
      </c>
      <c r="D53" s="405">
        <f>ROUND(D33*D49,2)</f>
        <v>261636.95</v>
      </c>
      <c r="E53" s="405">
        <f>ROUND(E33*E49,2)</f>
        <v>270615.73</v>
      </c>
      <c r="F53" s="405">
        <f>ROUND(F33*F49,2)</f>
        <v>241767.65</v>
      </c>
      <c r="G53" s="405">
        <f t="shared" ref="G53:N53" si="15">G33*G49</f>
        <v>706511.76862617675</v>
      </c>
      <c r="H53" s="405">
        <f t="shared" si="15"/>
        <v>701971.26545399416</v>
      </c>
      <c r="I53" s="405">
        <f t="shared" si="15"/>
        <v>751237.33234964241</v>
      </c>
      <c r="J53" s="405">
        <f t="shared" si="15"/>
        <v>787198.11574877473</v>
      </c>
      <c r="K53" s="405">
        <f t="shared" si="15"/>
        <v>708200.99372351845</v>
      </c>
      <c r="L53" s="405">
        <f t="shared" si="15"/>
        <v>730706.47541056282</v>
      </c>
      <c r="M53" s="405">
        <f t="shared" si="15"/>
        <v>746342.00381533022</v>
      </c>
      <c r="N53" s="407">
        <f t="shared" si="15"/>
        <v>480161.70709957374</v>
      </c>
      <c r="O53" s="399">
        <f>SUM(C53:N53)</f>
        <v>6686758.152227574</v>
      </c>
    </row>
    <row r="54" spans="1:15" x14ac:dyDescent="0.2">
      <c r="A54" s="414"/>
      <c r="B54" s="56"/>
      <c r="C54" s="12"/>
      <c r="D54" s="12"/>
      <c r="E54" s="12"/>
      <c r="F54" s="12"/>
      <c r="G54" s="12"/>
      <c r="H54" s="12"/>
      <c r="I54" s="12"/>
      <c r="J54" s="12"/>
      <c r="K54" s="12"/>
      <c r="L54" s="12"/>
      <c r="M54" s="12"/>
      <c r="N54" s="12"/>
      <c r="O54" s="413"/>
    </row>
    <row r="55" spans="1:15" x14ac:dyDescent="0.2">
      <c r="A55" s="414"/>
      <c r="B55" s="415"/>
      <c r="C55" s="12"/>
      <c r="D55" s="12"/>
      <c r="E55" s="12"/>
      <c r="F55" s="12"/>
      <c r="G55" s="12"/>
      <c r="H55" s="12"/>
      <c r="I55" s="12"/>
      <c r="J55" s="12"/>
      <c r="K55" s="12"/>
      <c r="L55" s="12"/>
      <c r="M55" s="12"/>
      <c r="N55" s="12"/>
      <c r="O55" s="413"/>
    </row>
    <row r="56" spans="1:15" x14ac:dyDescent="0.2">
      <c r="B56" s="416"/>
      <c r="C56" s="416"/>
      <c r="D56" s="416"/>
      <c r="E56" s="416"/>
      <c r="F56" s="416"/>
      <c r="G56" s="416"/>
      <c r="H56" s="416"/>
      <c r="I56" s="416"/>
      <c r="J56" s="416"/>
      <c r="K56" s="416"/>
    </row>
    <row r="57" spans="1:15" x14ac:dyDescent="0.2">
      <c r="B57" s="416"/>
      <c r="C57" s="416"/>
      <c r="D57" s="416"/>
      <c r="E57" s="417"/>
      <c r="G57" s="418"/>
      <c r="H57" s="416"/>
      <c r="I57" s="416"/>
      <c r="J57" s="416"/>
      <c r="K57" s="416"/>
    </row>
    <row r="58" spans="1:15" x14ac:dyDescent="0.2">
      <c r="B58" s="419"/>
      <c r="C58" s="420"/>
      <c r="D58" s="420"/>
      <c r="E58" s="417"/>
      <c r="F58" s="417"/>
      <c r="G58" s="416"/>
      <c r="H58" s="416"/>
      <c r="I58" s="416"/>
      <c r="J58" s="416"/>
      <c r="K58" s="416"/>
    </row>
    <row r="59" spans="1:15" x14ac:dyDescent="0.2">
      <c r="B59" s="421"/>
      <c r="C59" s="422"/>
      <c r="D59" s="422"/>
      <c r="E59" s="422"/>
      <c r="F59" s="422"/>
      <c r="G59" s="416"/>
      <c r="H59" s="416"/>
      <c r="I59" s="416"/>
      <c r="J59" s="416"/>
      <c r="K59" s="416"/>
    </row>
    <row r="60" spans="1:15" x14ac:dyDescent="0.2">
      <c r="B60" s="419"/>
      <c r="C60" s="420"/>
      <c r="D60" s="420"/>
      <c r="E60" s="420"/>
      <c r="F60" s="420"/>
      <c r="G60" s="423"/>
      <c r="H60" s="416"/>
      <c r="I60" s="416"/>
      <c r="J60" s="416"/>
      <c r="K60" s="416"/>
    </row>
    <row r="61" spans="1:15" x14ac:dyDescent="0.2">
      <c r="B61" s="419"/>
      <c r="C61" s="420"/>
      <c r="D61" s="420"/>
      <c r="E61" s="420"/>
      <c r="F61" s="418"/>
      <c r="G61" s="416"/>
      <c r="H61" s="416"/>
      <c r="I61" s="416"/>
      <c r="J61" s="416"/>
      <c r="K61" s="416"/>
    </row>
    <row r="62" spans="1:15" x14ac:dyDescent="0.2">
      <c r="B62" s="421"/>
      <c r="C62" s="422"/>
      <c r="D62" s="422"/>
      <c r="E62" s="422"/>
      <c r="F62" s="418"/>
      <c r="G62" s="416"/>
      <c r="H62" s="416"/>
      <c r="I62" s="416"/>
      <c r="J62" s="416"/>
      <c r="K62" s="416"/>
    </row>
    <row r="63" spans="1:15" x14ac:dyDescent="0.2">
      <c r="B63" s="419"/>
      <c r="C63" s="420"/>
      <c r="D63" s="420"/>
      <c r="E63" s="420"/>
      <c r="F63" s="416"/>
      <c r="G63" s="423"/>
      <c r="H63" s="416"/>
      <c r="I63" s="416"/>
      <c r="J63" s="416"/>
      <c r="K63" s="416"/>
    </row>
    <row r="64" spans="1:15" x14ac:dyDescent="0.2">
      <c r="B64" s="419"/>
      <c r="C64" s="420"/>
      <c r="D64" s="420"/>
      <c r="E64" s="420"/>
      <c r="F64" s="418"/>
      <c r="G64" s="416"/>
      <c r="H64" s="416"/>
      <c r="I64" s="416"/>
      <c r="J64" s="416"/>
      <c r="K64" s="416"/>
    </row>
    <row r="65" spans="2:11" x14ac:dyDescent="0.2">
      <c r="B65" s="421"/>
      <c r="C65" s="422"/>
      <c r="D65" s="422"/>
      <c r="E65" s="422"/>
      <c r="F65" s="418"/>
      <c r="G65" s="416"/>
      <c r="H65" s="416"/>
      <c r="I65" s="416"/>
      <c r="J65" s="416"/>
      <c r="K65" s="416"/>
    </row>
    <row r="66" spans="2:11" x14ac:dyDescent="0.2">
      <c r="B66" s="419"/>
      <c r="C66" s="420"/>
      <c r="D66" s="420"/>
      <c r="E66" s="420"/>
      <c r="F66" s="416"/>
      <c r="G66" s="423"/>
      <c r="H66" s="416"/>
      <c r="I66" s="416"/>
      <c r="J66" s="416"/>
      <c r="K66" s="416"/>
    </row>
  </sheetData>
  <mergeCells count="4">
    <mergeCell ref="A1:O1"/>
    <mergeCell ref="A2:O2"/>
    <mergeCell ref="A3:O3"/>
    <mergeCell ref="A4:O4"/>
  </mergeCells>
  <printOptions horizontalCentered="1"/>
  <pageMargins left="0.45" right="0.45" top="0.75" bottom="0.75" header="0.3" footer="0.3"/>
  <pageSetup scale="55" orientation="landscape" blackAndWhite="1" r:id="rId1"/>
  <headerFooter>
    <oddHeader>&amp;RAdvice No. 2018-xx
Workpaper No. 2</oddHeader>
    <oddFooter>&amp;L&amp;F
&amp;A&amp;R&amp;D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40625" defaultRowHeight="12.75" x14ac:dyDescent="0.2"/>
  <cols>
    <col min="1" max="1" width="3.7109375" style="246" customWidth="1"/>
    <col min="2" max="2" width="41" style="54" customWidth="1"/>
    <col min="3" max="13" width="13.7109375" style="54" customWidth="1"/>
    <col min="14" max="14" width="14.7109375" style="54" customWidth="1"/>
    <col min="15" max="15" width="16.5703125" style="54" bestFit="1" customWidth="1"/>
    <col min="16" max="17" width="12.28515625" style="54" customWidth="1"/>
    <col min="18" max="31" width="9.140625" style="54"/>
    <col min="32" max="32" width="9.140625" style="54" customWidth="1"/>
    <col min="33" max="16384" width="9.140625" style="54"/>
  </cols>
  <sheetData>
    <row r="1" spans="1:20" x14ac:dyDescent="0.2">
      <c r="A1" s="506" t="s">
        <v>0</v>
      </c>
      <c r="B1" s="506"/>
      <c r="C1" s="506"/>
      <c r="D1" s="506"/>
      <c r="E1" s="506"/>
      <c r="F1" s="506"/>
      <c r="G1" s="506"/>
      <c r="H1" s="506"/>
      <c r="I1" s="506"/>
      <c r="J1" s="506"/>
      <c r="K1" s="506"/>
      <c r="L1" s="506"/>
      <c r="M1" s="506"/>
      <c r="N1" s="506"/>
      <c r="O1" s="506"/>
    </row>
    <row r="2" spans="1:20" x14ac:dyDescent="0.2">
      <c r="A2" s="506" t="s">
        <v>559</v>
      </c>
      <c r="B2" s="506"/>
      <c r="C2" s="506"/>
      <c r="D2" s="506"/>
      <c r="E2" s="506"/>
      <c r="F2" s="506"/>
      <c r="G2" s="506"/>
      <c r="H2" s="506"/>
      <c r="I2" s="506"/>
      <c r="J2" s="506"/>
      <c r="K2" s="506"/>
      <c r="L2" s="506"/>
      <c r="M2" s="506"/>
      <c r="N2" s="506"/>
      <c r="O2" s="506"/>
    </row>
    <row r="3" spans="1:20" x14ac:dyDescent="0.2">
      <c r="A3" s="506" t="s">
        <v>584</v>
      </c>
      <c r="B3" s="506"/>
      <c r="C3" s="506"/>
      <c r="D3" s="506"/>
      <c r="E3" s="506"/>
      <c r="F3" s="506"/>
      <c r="G3" s="506"/>
      <c r="H3" s="506"/>
      <c r="I3" s="506"/>
      <c r="J3" s="506"/>
      <c r="K3" s="506"/>
      <c r="L3" s="506"/>
      <c r="M3" s="506"/>
      <c r="N3" s="506"/>
      <c r="O3" s="506"/>
    </row>
    <row r="4" spans="1:20" x14ac:dyDescent="0.2">
      <c r="A4" s="506" t="s">
        <v>561</v>
      </c>
      <c r="B4" s="506"/>
      <c r="C4" s="506"/>
      <c r="D4" s="506"/>
      <c r="E4" s="506"/>
      <c r="F4" s="506"/>
      <c r="G4" s="506"/>
      <c r="H4" s="506"/>
      <c r="I4" s="506"/>
      <c r="J4" s="506"/>
      <c r="K4" s="506"/>
      <c r="L4" s="506"/>
      <c r="M4" s="506"/>
      <c r="N4" s="506"/>
      <c r="O4" s="506"/>
    </row>
    <row r="5" spans="1:20" x14ac:dyDescent="0.2">
      <c r="A5" s="10"/>
      <c r="B5" s="10"/>
      <c r="C5" s="10"/>
      <c r="D5" s="10"/>
      <c r="E5" s="10"/>
      <c r="F5" s="10"/>
      <c r="G5" s="10"/>
      <c r="H5" s="10"/>
      <c r="I5" s="10"/>
      <c r="J5" s="10"/>
      <c r="K5" s="10"/>
      <c r="L5" s="10"/>
      <c r="M5" s="10"/>
      <c r="N5" s="10"/>
      <c r="O5" s="246"/>
    </row>
    <row r="6" spans="1:20" x14ac:dyDescent="0.2">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
      <c r="A8" s="10"/>
      <c r="B8" s="10"/>
      <c r="C8" s="10"/>
      <c r="D8" s="10"/>
      <c r="E8" s="10"/>
      <c r="F8" s="10"/>
      <c r="G8" s="10"/>
      <c r="H8" s="10"/>
      <c r="I8" s="10"/>
      <c r="J8" s="10"/>
      <c r="K8" s="10"/>
      <c r="L8" s="10"/>
      <c r="M8" s="10"/>
      <c r="N8" s="10"/>
      <c r="O8" s="246"/>
    </row>
    <row r="9" spans="1:20" x14ac:dyDescent="0.2">
      <c r="A9" s="10">
        <v>1</v>
      </c>
      <c r="B9" s="388" t="s">
        <v>86</v>
      </c>
      <c r="C9" s="389">
        <v>787</v>
      </c>
      <c r="D9" s="389">
        <v>791</v>
      </c>
      <c r="E9" s="389">
        <v>790</v>
      </c>
      <c r="F9" s="389">
        <v>789</v>
      </c>
      <c r="G9" s="389">
        <v>792</v>
      </c>
      <c r="H9" s="389">
        <v>793</v>
      </c>
      <c r="I9" s="389">
        <v>794</v>
      </c>
      <c r="J9" s="389">
        <v>798</v>
      </c>
      <c r="K9" s="389">
        <v>796</v>
      </c>
      <c r="L9" s="389">
        <v>797</v>
      </c>
      <c r="M9" s="389">
        <v>800</v>
      </c>
      <c r="N9" s="389">
        <v>800</v>
      </c>
      <c r="O9" s="390"/>
      <c r="P9" s="222"/>
      <c r="Q9" s="222"/>
    </row>
    <row r="10" spans="1:20" x14ac:dyDescent="0.2">
      <c r="A10" s="10">
        <v>2</v>
      </c>
      <c r="B10" s="392" t="s">
        <v>562</v>
      </c>
      <c r="C10" s="393">
        <v>4990.5353035757553</v>
      </c>
      <c r="D10" s="393">
        <v>4939.621975658999</v>
      </c>
      <c r="E10" s="393">
        <v>4981.8785673585926</v>
      </c>
      <c r="F10" s="393">
        <v>3217.8098149341713</v>
      </c>
      <c r="G10" s="393">
        <v>3410.320138692919</v>
      </c>
      <c r="H10" s="393">
        <v>3333.2934739289135</v>
      </c>
      <c r="I10" s="393">
        <v>3450.1977431362088</v>
      </c>
      <c r="J10" s="393">
        <v>3452.1386636685352</v>
      </c>
      <c r="K10" s="393">
        <v>3593.1142014773382</v>
      </c>
      <c r="L10" s="393">
        <v>5340.2053801676975</v>
      </c>
      <c r="M10" s="393">
        <v>5184.98556456181</v>
      </c>
      <c r="N10" s="393">
        <v>3018.913068100097</v>
      </c>
      <c r="O10" s="394"/>
      <c r="P10" s="395"/>
      <c r="Q10" s="395"/>
    </row>
    <row r="11" spans="1:20" x14ac:dyDescent="0.2">
      <c r="A11" s="10">
        <v>3</v>
      </c>
      <c r="B11" s="246" t="s">
        <v>563</v>
      </c>
      <c r="C11" s="18">
        <f t="shared" ref="C11:N11" si="1">C9*C10</f>
        <v>3927551.2839141195</v>
      </c>
      <c r="D11" s="18">
        <f t="shared" si="1"/>
        <v>3907240.9827462682</v>
      </c>
      <c r="E11" s="18">
        <f t="shared" si="1"/>
        <v>3935684.0682132882</v>
      </c>
      <c r="F11" s="18">
        <f t="shared" si="1"/>
        <v>2538851.9439830612</v>
      </c>
      <c r="G11" s="18">
        <f t="shared" si="1"/>
        <v>2700973.5498447921</v>
      </c>
      <c r="H11" s="18">
        <f t="shared" si="1"/>
        <v>2643301.7248256286</v>
      </c>
      <c r="I11" s="18">
        <f t="shared" si="1"/>
        <v>2739457.0080501498</v>
      </c>
      <c r="J11" s="18">
        <f t="shared" si="1"/>
        <v>2754806.6536074909</v>
      </c>
      <c r="K11" s="18">
        <f t="shared" si="1"/>
        <v>2860118.9043759611</v>
      </c>
      <c r="L11" s="18">
        <f t="shared" si="1"/>
        <v>4256143.687993655</v>
      </c>
      <c r="M11" s="18">
        <f t="shared" si="1"/>
        <v>4147988.4516494479</v>
      </c>
      <c r="N11" s="18">
        <f t="shared" si="1"/>
        <v>2415130.4544800776</v>
      </c>
      <c r="O11" s="18">
        <f>SUM(C11:N11)</f>
        <v>38827248.71368394</v>
      </c>
      <c r="P11" s="396"/>
      <c r="Q11" s="396"/>
    </row>
    <row r="12" spans="1:20" x14ac:dyDescent="0.2">
      <c r="A12" s="10">
        <v>4</v>
      </c>
      <c r="B12" s="246"/>
      <c r="C12" s="246"/>
      <c r="D12" s="246"/>
      <c r="E12" s="246"/>
      <c r="F12" s="246"/>
      <c r="G12" s="246"/>
      <c r="H12" s="246"/>
      <c r="I12" s="246"/>
      <c r="J12" s="246"/>
      <c r="K12" s="246"/>
      <c r="L12" s="246"/>
      <c r="M12" s="246"/>
      <c r="N12" s="246"/>
      <c r="O12" s="246"/>
      <c r="P12" s="221"/>
      <c r="Q12" s="221"/>
    </row>
    <row r="13" spans="1:20" x14ac:dyDescent="0.2">
      <c r="A13" s="10">
        <v>5</v>
      </c>
      <c r="B13" s="388" t="s">
        <v>585</v>
      </c>
      <c r="C13" s="389">
        <v>373761.73</v>
      </c>
      <c r="D13" s="389">
        <v>376717.75</v>
      </c>
      <c r="E13" s="389">
        <v>376111.87</v>
      </c>
      <c r="F13" s="389">
        <v>359607.85</v>
      </c>
      <c r="G13" s="389">
        <v>170100.07883369332</v>
      </c>
      <c r="H13" s="389">
        <v>379176.31857451407</v>
      </c>
      <c r="I13" s="389">
        <v>386545.16954643629</v>
      </c>
      <c r="J13" s="389">
        <v>401997.97192224622</v>
      </c>
      <c r="K13" s="389">
        <v>403267.68935994105</v>
      </c>
      <c r="L13" s="389">
        <v>387256.03972637863</v>
      </c>
      <c r="M13" s="389">
        <v>368835.86163556197</v>
      </c>
      <c r="N13" s="389">
        <v>354776.01</v>
      </c>
      <c r="O13" s="246"/>
      <c r="P13" s="222"/>
      <c r="Q13" s="222"/>
    </row>
    <row r="14" spans="1:20" x14ac:dyDescent="0.2">
      <c r="A14" s="10">
        <v>6</v>
      </c>
      <c r="B14" s="392" t="s">
        <v>586</v>
      </c>
      <c r="C14" s="393">
        <v>10.24</v>
      </c>
      <c r="D14" s="393">
        <v>10.24</v>
      </c>
      <c r="E14" s="393">
        <v>10.24</v>
      </c>
      <c r="F14" s="393">
        <v>7.2200000000000006</v>
      </c>
      <c r="G14" s="393">
        <v>7.3599999999999994</v>
      </c>
      <c r="H14" s="393">
        <v>7.3599999999999994</v>
      </c>
      <c r="I14" s="393">
        <v>7.3599999999999994</v>
      </c>
      <c r="J14" s="393">
        <v>7.3599999999999994</v>
      </c>
      <c r="K14" s="393">
        <v>7.3599999999999994</v>
      </c>
      <c r="L14" s="393">
        <v>10.379999999999999</v>
      </c>
      <c r="M14" s="393">
        <v>10.379999999999999</v>
      </c>
      <c r="N14" s="393">
        <v>10.379999999999999</v>
      </c>
      <c r="O14" s="28"/>
      <c r="P14" s="398"/>
      <c r="Q14" s="398"/>
    </row>
    <row r="15" spans="1:20" x14ac:dyDescent="0.2">
      <c r="A15" s="10">
        <v>7</v>
      </c>
      <c r="B15" s="246" t="s">
        <v>565</v>
      </c>
      <c r="C15" s="18">
        <f t="shared" ref="C15:N15" si="2">C13*C14</f>
        <v>3827320.1151999999</v>
      </c>
      <c r="D15" s="18">
        <f t="shared" si="2"/>
        <v>3857589.7600000002</v>
      </c>
      <c r="E15" s="18">
        <f t="shared" si="2"/>
        <v>3851385.5488</v>
      </c>
      <c r="F15" s="18">
        <f t="shared" si="2"/>
        <v>2596368.6770000001</v>
      </c>
      <c r="G15" s="18">
        <f t="shared" si="2"/>
        <v>1251936.5802159826</v>
      </c>
      <c r="H15" s="18">
        <f>H13*H14</f>
        <v>2790737.7047084235</v>
      </c>
      <c r="I15" s="18">
        <f t="shared" si="2"/>
        <v>2844972.4478617706</v>
      </c>
      <c r="J15" s="18">
        <f t="shared" si="2"/>
        <v>2958705.073347732</v>
      </c>
      <c r="K15" s="18">
        <f t="shared" si="2"/>
        <v>2968050.1936891661</v>
      </c>
      <c r="L15" s="18">
        <f t="shared" si="2"/>
        <v>4019717.6923598098</v>
      </c>
      <c r="M15" s="18">
        <f t="shared" si="2"/>
        <v>3828516.2437771331</v>
      </c>
      <c r="N15" s="18">
        <f t="shared" si="2"/>
        <v>3682574.9837999996</v>
      </c>
      <c r="O15" s="18">
        <f>SUM(C15:N15)</f>
        <v>38477875.020760022</v>
      </c>
      <c r="P15" s="396"/>
      <c r="Q15" s="396"/>
    </row>
    <row r="16" spans="1:20" x14ac:dyDescent="0.2">
      <c r="A16" s="10">
        <v>8</v>
      </c>
      <c r="B16" s="246"/>
      <c r="C16" s="246"/>
      <c r="D16" s="246"/>
      <c r="E16" s="246"/>
      <c r="F16" s="246"/>
      <c r="G16" s="246"/>
      <c r="H16" s="246"/>
      <c r="I16" s="246"/>
      <c r="J16" s="246"/>
      <c r="K16" s="246"/>
      <c r="L16" s="246"/>
      <c r="M16" s="246"/>
      <c r="N16" s="246"/>
      <c r="O16" s="18"/>
    </row>
    <row r="17" spans="1:17" x14ac:dyDescent="0.2">
      <c r="A17" s="10">
        <v>9</v>
      </c>
      <c r="B17" s="388" t="s">
        <v>587</v>
      </c>
      <c r="C17" s="389"/>
      <c r="D17" s="389"/>
      <c r="E17" s="389"/>
      <c r="F17" s="389">
        <v>0</v>
      </c>
      <c r="G17" s="389">
        <v>202372.43782520885</v>
      </c>
      <c r="H17" s="389">
        <v>4593.592979186632</v>
      </c>
      <c r="I17" s="389">
        <v>0</v>
      </c>
      <c r="J17" s="389"/>
      <c r="K17" s="389"/>
      <c r="L17" s="389"/>
      <c r="M17" s="389"/>
      <c r="N17" s="389"/>
      <c r="O17" s="18"/>
    </row>
    <row r="18" spans="1:17" x14ac:dyDescent="0.2">
      <c r="A18" s="10">
        <v>10</v>
      </c>
      <c r="B18" s="392" t="s">
        <v>586</v>
      </c>
      <c r="C18" s="393"/>
      <c r="D18" s="393"/>
      <c r="E18" s="393"/>
      <c r="F18" s="393"/>
      <c r="G18" s="393">
        <f>$F$14</f>
        <v>7.2200000000000006</v>
      </c>
      <c r="H18" s="393">
        <f>$F$14</f>
        <v>7.2200000000000006</v>
      </c>
      <c r="I18" s="393"/>
      <c r="J18" s="393"/>
      <c r="K18" s="393"/>
      <c r="L18" s="393"/>
      <c r="M18" s="393"/>
      <c r="N18" s="393"/>
      <c r="O18" s="18"/>
    </row>
    <row r="19" spans="1:17" x14ac:dyDescent="0.2">
      <c r="A19" s="10">
        <v>11</v>
      </c>
      <c r="B19" s="246" t="s">
        <v>565</v>
      </c>
      <c r="C19" s="18">
        <f t="shared" ref="C19:N19" si="3">C17*C18</f>
        <v>0</v>
      </c>
      <c r="D19" s="18">
        <f t="shared" si="3"/>
        <v>0</v>
      </c>
      <c r="E19" s="18">
        <f t="shared" si="3"/>
        <v>0</v>
      </c>
      <c r="F19" s="18">
        <f t="shared" si="3"/>
        <v>0</v>
      </c>
      <c r="G19" s="18">
        <f t="shared" si="3"/>
        <v>1461129.0010980081</v>
      </c>
      <c r="H19" s="18">
        <f t="shared" si="3"/>
        <v>33165.741309727484</v>
      </c>
      <c r="I19" s="18">
        <f t="shared" si="3"/>
        <v>0</v>
      </c>
      <c r="J19" s="18">
        <f t="shared" si="3"/>
        <v>0</v>
      </c>
      <c r="K19" s="18">
        <f t="shared" si="3"/>
        <v>0</v>
      </c>
      <c r="L19" s="18">
        <f t="shared" si="3"/>
        <v>0</v>
      </c>
      <c r="M19" s="18">
        <f t="shared" si="3"/>
        <v>0</v>
      </c>
      <c r="N19" s="18">
        <f t="shared" si="3"/>
        <v>0</v>
      </c>
      <c r="O19" s="18">
        <f>SUM(C19:N19)</f>
        <v>1494294.7424077357</v>
      </c>
    </row>
    <row r="20" spans="1:17" x14ac:dyDescent="0.2">
      <c r="A20" s="10">
        <v>12</v>
      </c>
      <c r="B20" s="246"/>
      <c r="C20" s="246"/>
      <c r="D20" s="246"/>
      <c r="E20" s="246"/>
      <c r="F20" s="246"/>
      <c r="G20" s="246"/>
      <c r="H20" s="246"/>
      <c r="I20" s="246"/>
      <c r="J20" s="246"/>
      <c r="K20" s="246"/>
      <c r="L20" s="246"/>
      <c r="M20" s="246"/>
      <c r="N20" s="246"/>
      <c r="O20" s="18"/>
    </row>
    <row r="21" spans="1:17" x14ac:dyDescent="0.2">
      <c r="A21" s="10">
        <v>13</v>
      </c>
      <c r="B21" s="388" t="s">
        <v>588</v>
      </c>
      <c r="C21" s="389">
        <v>2998.1</v>
      </c>
      <c r="D21" s="389">
        <v>2994</v>
      </c>
      <c r="E21" s="389">
        <v>2900</v>
      </c>
      <c r="F21" s="389">
        <v>2656.6</v>
      </c>
      <c r="G21" s="389">
        <v>1722.5218855218855</v>
      </c>
      <c r="H21" s="389">
        <v>2051.399551066218</v>
      </c>
      <c r="I21" s="389">
        <v>2010.3007856341187</v>
      </c>
      <c r="J21" s="389">
        <v>2221.3000000000002</v>
      </c>
      <c r="K21" s="389">
        <v>2384.800224466891</v>
      </c>
      <c r="L21" s="389">
        <v>2563.5994668911335</v>
      </c>
      <c r="M21" s="389">
        <v>2843.5</v>
      </c>
      <c r="N21" s="389">
        <v>2654.75</v>
      </c>
      <c r="O21" s="18"/>
    </row>
    <row r="22" spans="1:17" x14ac:dyDescent="0.2">
      <c r="A22" s="10">
        <v>14</v>
      </c>
      <c r="B22" s="392" t="s">
        <v>586</v>
      </c>
      <c r="C22" s="393">
        <v>9.89</v>
      </c>
      <c r="D22" s="393">
        <v>9.89</v>
      </c>
      <c r="E22" s="393">
        <v>9.89</v>
      </c>
      <c r="F22" s="393">
        <v>6.870000000000001</v>
      </c>
      <c r="G22" s="393">
        <v>7.01</v>
      </c>
      <c r="H22" s="393">
        <v>7.01</v>
      </c>
      <c r="I22" s="393">
        <v>7.01</v>
      </c>
      <c r="J22" s="393">
        <v>7.01</v>
      </c>
      <c r="K22" s="393">
        <v>7.01</v>
      </c>
      <c r="L22" s="393">
        <v>10.029999999999999</v>
      </c>
      <c r="M22" s="393">
        <v>10.029999999999999</v>
      </c>
      <c r="N22" s="393">
        <v>10.029999999999999</v>
      </c>
      <c r="O22" s="18"/>
    </row>
    <row r="23" spans="1:17" x14ac:dyDescent="0.2">
      <c r="A23" s="10">
        <v>15</v>
      </c>
      <c r="B23" s="246" t="s">
        <v>565</v>
      </c>
      <c r="C23" s="18">
        <f t="shared" ref="C23:N23" si="4">C21*C22</f>
        <v>29651.209000000003</v>
      </c>
      <c r="D23" s="18">
        <f t="shared" si="4"/>
        <v>29610.660000000003</v>
      </c>
      <c r="E23" s="18">
        <f t="shared" si="4"/>
        <v>28681</v>
      </c>
      <c r="F23" s="18">
        <f t="shared" si="4"/>
        <v>18250.842000000001</v>
      </c>
      <c r="G23" s="18">
        <f t="shared" si="4"/>
        <v>12074.878417508417</v>
      </c>
      <c r="H23" s="18">
        <f t="shared" si="4"/>
        <v>14380.310852974188</v>
      </c>
      <c r="I23" s="18">
        <f t="shared" si="4"/>
        <v>14092.208507295172</v>
      </c>
      <c r="J23" s="18">
        <f t="shared" si="4"/>
        <v>15571.313</v>
      </c>
      <c r="K23" s="18">
        <f t="shared" si="4"/>
        <v>16717.449573512906</v>
      </c>
      <c r="L23" s="18">
        <f t="shared" si="4"/>
        <v>25712.902652918066</v>
      </c>
      <c r="M23" s="18">
        <f t="shared" si="4"/>
        <v>28520.304999999997</v>
      </c>
      <c r="N23" s="18">
        <f t="shared" si="4"/>
        <v>26627.142499999998</v>
      </c>
      <c r="O23" s="18">
        <f>SUM(C23:N23)</f>
        <v>259890.22150420875</v>
      </c>
    </row>
    <row r="24" spans="1:17" x14ac:dyDescent="0.2">
      <c r="A24" s="10">
        <v>16</v>
      </c>
      <c r="B24" s="246"/>
      <c r="C24" s="246"/>
      <c r="D24" s="246"/>
      <c r="E24" s="246"/>
      <c r="F24" s="246"/>
      <c r="G24" s="246"/>
      <c r="H24" s="246"/>
      <c r="I24" s="246"/>
      <c r="J24" s="246"/>
      <c r="K24" s="246"/>
      <c r="L24" s="246"/>
      <c r="M24" s="246"/>
      <c r="N24" s="246"/>
      <c r="O24" s="18"/>
    </row>
    <row r="25" spans="1:17" x14ac:dyDescent="0.2">
      <c r="A25" s="10">
        <v>17</v>
      </c>
      <c r="B25" s="388" t="s">
        <v>589</v>
      </c>
      <c r="C25" s="389"/>
      <c r="D25" s="389"/>
      <c r="E25" s="389">
        <v>0</v>
      </c>
      <c r="F25" s="389">
        <v>0</v>
      </c>
      <c r="G25" s="389">
        <v>759.27790178571422</v>
      </c>
      <c r="H25" s="389">
        <v>0</v>
      </c>
      <c r="I25" s="389">
        <v>0</v>
      </c>
      <c r="J25" s="389"/>
      <c r="K25" s="389">
        <v>0</v>
      </c>
      <c r="L25" s="389"/>
      <c r="M25" s="389"/>
      <c r="N25" s="389"/>
      <c r="O25" s="18"/>
    </row>
    <row r="26" spans="1:17" x14ac:dyDescent="0.2">
      <c r="A26" s="10">
        <v>18</v>
      </c>
      <c r="B26" s="392" t="s">
        <v>586</v>
      </c>
      <c r="C26" s="393"/>
      <c r="D26" s="393"/>
      <c r="E26" s="393"/>
      <c r="F26" s="393"/>
      <c r="G26" s="393">
        <f>$F$22</f>
        <v>6.870000000000001</v>
      </c>
      <c r="H26" s="393">
        <f>$F$22</f>
        <v>6.870000000000001</v>
      </c>
      <c r="I26" s="393"/>
      <c r="J26" s="393"/>
      <c r="K26" s="393"/>
      <c r="L26" s="393"/>
      <c r="M26" s="393"/>
      <c r="N26" s="393"/>
      <c r="O26" s="18"/>
    </row>
    <row r="27" spans="1:17" x14ac:dyDescent="0.2">
      <c r="A27" s="10">
        <v>19</v>
      </c>
      <c r="B27" s="246" t="s">
        <v>565</v>
      </c>
      <c r="C27" s="18">
        <f t="shared" ref="C27:N27" si="5">C25*C26</f>
        <v>0</v>
      </c>
      <c r="D27" s="18">
        <f t="shared" si="5"/>
        <v>0</v>
      </c>
      <c r="E27" s="18">
        <f t="shared" si="5"/>
        <v>0</v>
      </c>
      <c r="F27" s="18">
        <f t="shared" si="5"/>
        <v>0</v>
      </c>
      <c r="G27" s="18">
        <f t="shared" si="5"/>
        <v>5216.2391852678575</v>
      </c>
      <c r="H27" s="18">
        <f t="shared" si="5"/>
        <v>0</v>
      </c>
      <c r="I27" s="18">
        <f t="shared" si="5"/>
        <v>0</v>
      </c>
      <c r="J27" s="18">
        <f t="shared" si="5"/>
        <v>0</v>
      </c>
      <c r="K27" s="18">
        <f t="shared" si="5"/>
        <v>0</v>
      </c>
      <c r="L27" s="18">
        <f t="shared" si="5"/>
        <v>0</v>
      </c>
      <c r="M27" s="18">
        <f t="shared" si="5"/>
        <v>0</v>
      </c>
      <c r="N27" s="18">
        <f t="shared" si="5"/>
        <v>0</v>
      </c>
      <c r="O27" s="18">
        <f>SUM(C27:N27)</f>
        <v>5216.2391852678575</v>
      </c>
    </row>
    <row r="28" spans="1:17" x14ac:dyDescent="0.2">
      <c r="A28" s="10">
        <v>20</v>
      </c>
      <c r="B28" s="246"/>
      <c r="C28" s="246"/>
      <c r="D28" s="246"/>
      <c r="E28" s="246"/>
      <c r="F28" s="246"/>
      <c r="G28" s="246"/>
      <c r="H28" s="246"/>
      <c r="I28" s="246"/>
      <c r="J28" s="246"/>
      <c r="K28" s="246"/>
      <c r="L28" s="246"/>
      <c r="M28" s="246"/>
      <c r="N28" s="246"/>
      <c r="O28" s="18"/>
    </row>
    <row r="29" spans="1:17" x14ac:dyDescent="0.2">
      <c r="A29" s="10">
        <v>21</v>
      </c>
      <c r="B29" s="246" t="s">
        <v>567</v>
      </c>
      <c r="C29" s="18">
        <f>C15+C19+C23+C27</f>
        <v>3856971.3241999997</v>
      </c>
      <c r="D29" s="18">
        <f t="shared" ref="D29:N29" si="6">D15+D19+D23+D27</f>
        <v>3887200.4200000004</v>
      </c>
      <c r="E29" s="18">
        <f t="shared" si="6"/>
        <v>3880066.5488</v>
      </c>
      <c r="F29" s="18">
        <f>F15+F19+F23+F27</f>
        <v>2614619.5190000003</v>
      </c>
      <c r="G29" s="18">
        <f t="shared" si="6"/>
        <v>2730356.6989167673</v>
      </c>
      <c r="H29" s="18">
        <f t="shared" si="6"/>
        <v>2838283.7568711252</v>
      </c>
      <c r="I29" s="18">
        <f t="shared" si="6"/>
        <v>2859064.6563690659</v>
      </c>
      <c r="J29" s="18">
        <f t="shared" si="6"/>
        <v>2974276.386347732</v>
      </c>
      <c r="K29" s="18">
        <f>K15+K19+K23+K27</f>
        <v>2984767.6432626792</v>
      </c>
      <c r="L29" s="18">
        <f t="shared" si="6"/>
        <v>4045430.5950127277</v>
      </c>
      <c r="M29" s="18">
        <f t="shared" si="6"/>
        <v>3857036.5487771332</v>
      </c>
      <c r="N29" s="18">
        <f t="shared" si="6"/>
        <v>3709202.1262999997</v>
      </c>
      <c r="O29" s="18">
        <f>SUM(C29:N29)</f>
        <v>40237276.223857239</v>
      </c>
    </row>
    <row r="30" spans="1:17" x14ac:dyDescent="0.2">
      <c r="A30" s="10">
        <v>22</v>
      </c>
      <c r="B30" s="246"/>
      <c r="C30" s="246"/>
      <c r="D30" s="246"/>
      <c r="E30" s="246"/>
      <c r="F30" s="246"/>
      <c r="G30" s="246"/>
      <c r="H30" s="246"/>
      <c r="I30" s="246"/>
      <c r="J30" s="246"/>
      <c r="K30" s="246"/>
      <c r="L30" s="246"/>
      <c r="M30" s="246"/>
      <c r="N30" s="246"/>
      <c r="O30" s="18"/>
    </row>
    <row r="31" spans="1:17" x14ac:dyDescent="0.2">
      <c r="A31" s="10">
        <v>23</v>
      </c>
      <c r="B31" s="246" t="s">
        <v>568</v>
      </c>
      <c r="C31" s="36">
        <f>C11-C29</f>
        <v>70579.959714119788</v>
      </c>
      <c r="D31" s="36">
        <f t="shared" ref="D31:N31" si="7">D11-D29</f>
        <v>20040.562746267766</v>
      </c>
      <c r="E31" s="36">
        <f t="shared" si="7"/>
        <v>55617.519413288217</v>
      </c>
      <c r="F31" s="36">
        <f t="shared" si="7"/>
        <v>-75767.575016939081</v>
      </c>
      <c r="G31" s="36">
        <f t="shared" si="7"/>
        <v>-29383.149071975145</v>
      </c>
      <c r="H31" s="36">
        <f t="shared" si="7"/>
        <v>-194982.03204549663</v>
      </c>
      <c r="I31" s="36">
        <f t="shared" si="7"/>
        <v>-119607.64831891609</v>
      </c>
      <c r="J31" s="36">
        <f t="shared" si="7"/>
        <v>-219469.7327402411</v>
      </c>
      <c r="K31" s="36">
        <f>K11-K29</f>
        <v>-124648.73888671817</v>
      </c>
      <c r="L31" s="36">
        <f t="shared" si="7"/>
        <v>210713.09298092732</v>
      </c>
      <c r="M31" s="36">
        <f t="shared" si="7"/>
        <v>290951.90287231468</v>
      </c>
      <c r="N31" s="36">
        <f t="shared" si="7"/>
        <v>-1294071.671819922</v>
      </c>
      <c r="O31" s="36">
        <f>SUM(C31:N31)</f>
        <v>-1410027.5101732905</v>
      </c>
      <c r="P31" s="396"/>
      <c r="Q31" s="396"/>
    </row>
    <row r="32" spans="1:17" x14ac:dyDescent="0.2">
      <c r="A32" s="10">
        <v>24</v>
      </c>
      <c r="B32" s="246"/>
      <c r="C32" s="246"/>
      <c r="D32" s="246"/>
      <c r="E32" s="246"/>
      <c r="F32" s="246"/>
      <c r="G32" s="246"/>
      <c r="H32" s="246"/>
      <c r="I32" s="246"/>
      <c r="J32" s="246"/>
      <c r="K32" s="246"/>
      <c r="L32" s="246"/>
      <c r="M32" s="246"/>
      <c r="N32" s="246"/>
      <c r="O32" s="18"/>
    </row>
    <row r="33" spans="1:17" x14ac:dyDescent="0.2">
      <c r="A33" s="10">
        <v>25</v>
      </c>
      <c r="B33" s="246" t="s">
        <v>569</v>
      </c>
      <c r="C33" s="36">
        <v>-72.099999999999994</v>
      </c>
      <c r="D33" s="36">
        <v>43.25</v>
      </c>
      <c r="E33" s="36">
        <v>137.75</v>
      </c>
      <c r="F33" s="36">
        <v>105.09</v>
      </c>
      <c r="G33" s="36">
        <v>-1012.390166753849</v>
      </c>
      <c r="H33" s="36">
        <v>-2200.4066447225346</v>
      </c>
      <c r="I33" s="36">
        <v>-2628.6590586522184</v>
      </c>
      <c r="J33" s="36">
        <v>-2940.6076794343567</v>
      </c>
      <c r="K33" s="36">
        <v>-3255.7068517376042</v>
      </c>
      <c r="L33" s="36">
        <v>-3080.3364838285856</v>
      </c>
      <c r="M33" s="36">
        <v>-2013.7697645803937</v>
      </c>
      <c r="N33" s="36"/>
      <c r="O33" s="36">
        <f>SUM(C33:N33)</f>
        <v>-16917.886649709544</v>
      </c>
      <c r="P33" s="399"/>
      <c r="Q33" s="399"/>
    </row>
    <row r="34" spans="1:17" x14ac:dyDescent="0.2">
      <c r="A34" s="10">
        <v>26</v>
      </c>
      <c r="B34" s="246"/>
      <c r="C34" s="246"/>
      <c r="D34" s="246"/>
      <c r="E34" s="246"/>
      <c r="F34" s="246"/>
      <c r="G34" s="246"/>
      <c r="H34" s="246"/>
      <c r="I34" s="246"/>
      <c r="J34" s="246"/>
      <c r="K34" s="246"/>
      <c r="L34" s="246"/>
      <c r="M34" s="246"/>
      <c r="N34" s="246"/>
      <c r="O34" s="18"/>
    </row>
    <row r="35" spans="1:17" x14ac:dyDescent="0.2">
      <c r="A35" s="10">
        <v>27</v>
      </c>
      <c r="B35" s="246" t="s">
        <v>570</v>
      </c>
      <c r="C35" s="18">
        <v>2165264.8912412431</v>
      </c>
      <c r="D35" s="18">
        <f t="shared" ref="D35:N35" si="8">C35+D59+D33</f>
        <v>2184434.4312412431</v>
      </c>
      <c r="E35" s="18">
        <f t="shared" si="8"/>
        <v>2237652.3712412431</v>
      </c>
      <c r="F35" s="18">
        <f t="shared" si="8"/>
        <v>2165446.481241243</v>
      </c>
      <c r="G35" s="18">
        <f t="shared" si="8"/>
        <v>2136391.4310744889</v>
      </c>
      <c r="H35" s="18">
        <f t="shared" si="8"/>
        <v>1948104.2644297665</v>
      </c>
      <c r="I35" s="18">
        <f t="shared" si="8"/>
        <v>1831324.5753711143</v>
      </c>
      <c r="J35" s="18">
        <f t="shared" si="8"/>
        <v>1618926.6676916799</v>
      </c>
      <c r="K35" s="18">
        <f t="shared" si="8"/>
        <v>1496708.8208399424</v>
      </c>
      <c r="L35" s="18">
        <f t="shared" si="8"/>
        <v>1694728.6343561138</v>
      </c>
      <c r="M35" s="18">
        <f t="shared" si="8"/>
        <v>1970393.2545915334</v>
      </c>
      <c r="N35" s="18">
        <f t="shared" si="8"/>
        <v>735358.42459153337</v>
      </c>
      <c r="O35" s="18"/>
    </row>
    <row r="36" spans="1:17" x14ac:dyDescent="0.2">
      <c r="A36" s="10">
        <v>28</v>
      </c>
      <c r="B36" s="246"/>
      <c r="C36" s="246"/>
      <c r="D36" s="246"/>
      <c r="E36" s="246"/>
      <c r="F36" s="246"/>
      <c r="G36" s="246"/>
      <c r="H36" s="246"/>
      <c r="I36" s="246"/>
      <c r="J36" s="246"/>
      <c r="K36" s="246"/>
      <c r="L36" s="246"/>
      <c r="M36" s="246"/>
      <c r="N36" s="246"/>
      <c r="O36" s="18"/>
    </row>
    <row r="37" spans="1:17" x14ac:dyDescent="0.2">
      <c r="A37" s="10">
        <v>29</v>
      </c>
      <c r="B37" s="246" t="s">
        <v>590</v>
      </c>
      <c r="C37" s="36">
        <v>0.02</v>
      </c>
      <c r="D37" s="36">
        <v>0.02</v>
      </c>
      <c r="E37" s="36">
        <v>0.02</v>
      </c>
      <c r="F37" s="36">
        <v>0.02</v>
      </c>
      <c r="G37" s="36">
        <v>-0.17</v>
      </c>
      <c r="H37" s="36">
        <v>-0.17</v>
      </c>
      <c r="I37" s="36">
        <v>-0.17</v>
      </c>
      <c r="J37" s="36">
        <v>-0.17</v>
      </c>
      <c r="K37" s="36">
        <v>-0.17</v>
      </c>
      <c r="L37" s="36">
        <v>-0.17</v>
      </c>
      <c r="M37" s="36">
        <v>-0.17</v>
      </c>
      <c r="N37" s="36">
        <v>-0.17</v>
      </c>
      <c r="O37" s="18"/>
    </row>
    <row r="38" spans="1:17" x14ac:dyDescent="0.2">
      <c r="A38" s="10">
        <v>30</v>
      </c>
      <c r="B38" s="246"/>
      <c r="C38" s="36"/>
      <c r="D38" s="36"/>
      <c r="E38" s="36"/>
      <c r="F38" s="36"/>
      <c r="G38" s="36"/>
      <c r="H38" s="36"/>
      <c r="I38" s="36"/>
      <c r="J38" s="36"/>
      <c r="K38" s="36"/>
      <c r="L38" s="36"/>
      <c r="M38" s="36"/>
      <c r="N38" s="36"/>
      <c r="O38" s="18"/>
    </row>
    <row r="39" spans="1:17" x14ac:dyDescent="0.2">
      <c r="A39" s="10">
        <v>31</v>
      </c>
      <c r="B39" s="246" t="s">
        <v>591</v>
      </c>
      <c r="C39" s="36"/>
      <c r="D39" s="36"/>
      <c r="E39" s="36"/>
      <c r="F39" s="36"/>
      <c r="G39" s="36">
        <f>$F$37</f>
        <v>0.02</v>
      </c>
      <c r="H39" s="36">
        <f>$F$37</f>
        <v>0.02</v>
      </c>
      <c r="I39" s="36"/>
      <c r="J39" s="36"/>
      <c r="K39" s="36"/>
      <c r="L39" s="36"/>
      <c r="M39" s="36"/>
      <c r="N39" s="36"/>
      <c r="O39" s="18"/>
    </row>
    <row r="40" spans="1:17" x14ac:dyDescent="0.2">
      <c r="A40" s="10">
        <v>32</v>
      </c>
      <c r="B40" s="246"/>
      <c r="C40" s="18"/>
      <c r="D40" s="18"/>
      <c r="E40" s="18"/>
      <c r="F40" s="18"/>
      <c r="G40" s="18"/>
      <c r="H40" s="18"/>
      <c r="I40" s="18"/>
      <c r="J40" s="18"/>
      <c r="K40" s="18"/>
      <c r="L40" s="18"/>
      <c r="M40" s="18"/>
      <c r="N40" s="18"/>
      <c r="O40" s="18"/>
    </row>
    <row r="41" spans="1:17" x14ac:dyDescent="0.2">
      <c r="A41" s="10">
        <v>33</v>
      </c>
      <c r="B41" s="246" t="s">
        <v>292</v>
      </c>
      <c r="C41" s="36">
        <f>((C13+C21)*C37)+((C17+C25)*C39)</f>
        <v>7535.1965999999993</v>
      </c>
      <c r="D41" s="36">
        <f t="shared" ref="D41:N41" si="9">((D13+D21)*D37)+((D17+D25)*D39)</f>
        <v>7594.2350000000006</v>
      </c>
      <c r="E41" s="36">
        <f t="shared" si="9"/>
        <v>7580.2374</v>
      </c>
      <c r="F41" s="36">
        <f t="shared" si="9"/>
        <v>7245.2889999999989</v>
      </c>
      <c r="G41" s="36">
        <f t="shared" si="9"/>
        <v>-25147.207807726692</v>
      </c>
      <c r="H41" s="36">
        <f t="shared" si="9"/>
        <v>-64716.84022176492</v>
      </c>
      <c r="I41" s="36">
        <f t="shared" si="9"/>
        <v>-66054.429956451975</v>
      </c>
      <c r="J41" s="36">
        <f t="shared" si="9"/>
        <v>-68717.276226781862</v>
      </c>
      <c r="K41" s="36">
        <f t="shared" si="9"/>
        <v>-68960.923229349355</v>
      </c>
      <c r="L41" s="36">
        <f t="shared" si="9"/>
        <v>-66269.338662855866</v>
      </c>
      <c r="M41" s="36">
        <f t="shared" si="9"/>
        <v>-63185.491478045544</v>
      </c>
      <c r="N41" s="36">
        <f t="shared" si="9"/>
        <v>-60763.229200000009</v>
      </c>
      <c r="O41" s="36">
        <f>SUM(C41:N41)</f>
        <v>-453859.77878297621</v>
      </c>
    </row>
    <row r="42" spans="1:17" x14ac:dyDescent="0.2">
      <c r="A42" s="10">
        <v>34</v>
      </c>
      <c r="B42" s="246"/>
      <c r="C42" s="18"/>
      <c r="D42" s="18"/>
      <c r="E42" s="18"/>
      <c r="F42" s="18"/>
      <c r="G42" s="18"/>
      <c r="H42" s="18"/>
      <c r="I42" s="18"/>
      <c r="J42" s="18"/>
      <c r="K42" s="18"/>
      <c r="L42" s="18"/>
      <c r="M42" s="18"/>
      <c r="N42" s="18"/>
      <c r="O42" s="18"/>
    </row>
    <row r="43" spans="1:17" x14ac:dyDescent="0.2">
      <c r="A43" s="10">
        <v>35</v>
      </c>
      <c r="B43" s="246" t="s">
        <v>573</v>
      </c>
      <c r="C43" s="18">
        <v>1089879.1172495887</v>
      </c>
      <c r="D43" s="18">
        <f t="shared" ref="D43:N43" si="10">C43+D59+D33-D61</f>
        <v>1101800.8772495887</v>
      </c>
      <c r="E43" s="18">
        <f t="shared" si="10"/>
        <v>1147784.3972495887</v>
      </c>
      <c r="F43" s="18">
        <f t="shared" si="10"/>
        <v>1068663.7572495888</v>
      </c>
      <c r="G43" s="18">
        <f t="shared" si="10"/>
        <v>1063608.677082835</v>
      </c>
      <c r="H43" s="18">
        <f t="shared" si="10"/>
        <v>937085.90043811244</v>
      </c>
      <c r="I43" s="18">
        <f t="shared" si="10"/>
        <v>883347.17137946014</v>
      </c>
      <c r="J43" s="18">
        <f t="shared" si="10"/>
        <v>736531.59370002581</v>
      </c>
      <c r="K43" s="18">
        <f t="shared" si="10"/>
        <v>680128.60684828821</v>
      </c>
      <c r="L43" s="18">
        <f t="shared" si="10"/>
        <v>941394.49036445958</v>
      </c>
      <c r="M43" s="18">
        <f t="shared" si="10"/>
        <v>1277362.0205998791</v>
      </c>
      <c r="N43" s="18">
        <f t="shared" si="10"/>
        <v>100318.34059987901</v>
      </c>
      <c r="O43" s="18"/>
    </row>
    <row r="44" spans="1:17" x14ac:dyDescent="0.2">
      <c r="A44" s="10">
        <v>36</v>
      </c>
      <c r="B44" s="246"/>
      <c r="C44" s="18"/>
      <c r="D44" s="18"/>
      <c r="E44" s="18"/>
      <c r="F44" s="18"/>
      <c r="G44" s="18"/>
      <c r="H44" s="18"/>
      <c r="I44" s="18"/>
      <c r="J44" s="18"/>
      <c r="K44" s="18"/>
      <c r="L44" s="18"/>
      <c r="M44" s="18"/>
      <c r="N44" s="18"/>
      <c r="O44" s="18"/>
    </row>
    <row r="45" spans="1:17" x14ac:dyDescent="0.2">
      <c r="A45" s="10">
        <v>37</v>
      </c>
      <c r="B45" s="54" t="s">
        <v>592</v>
      </c>
      <c r="C45" s="36">
        <v>1.2200000000000006</v>
      </c>
      <c r="D45" s="36">
        <v>1.2200000000000006</v>
      </c>
      <c r="E45" s="36">
        <v>1.2200000000000006</v>
      </c>
      <c r="F45" s="36">
        <v>1.2200000000000006</v>
      </c>
      <c r="G45" s="36">
        <v>1.17</v>
      </c>
      <c r="H45" s="36">
        <v>1.17</v>
      </c>
      <c r="I45" s="36">
        <v>1.17</v>
      </c>
      <c r="J45" s="36">
        <v>1.17</v>
      </c>
      <c r="K45" s="36">
        <v>1.17</v>
      </c>
      <c r="L45" s="36">
        <v>1.17</v>
      </c>
      <c r="M45" s="36">
        <v>1.17</v>
      </c>
      <c r="N45" s="36">
        <v>1.17</v>
      </c>
    </row>
    <row r="46" spans="1:17" x14ac:dyDescent="0.2">
      <c r="A46" s="10">
        <v>38</v>
      </c>
      <c r="C46" s="36"/>
      <c r="D46" s="36"/>
      <c r="E46" s="36"/>
      <c r="F46" s="36"/>
      <c r="G46" s="36"/>
      <c r="H46" s="36"/>
      <c r="I46" s="36"/>
      <c r="J46" s="36"/>
      <c r="K46" s="36"/>
      <c r="L46" s="36"/>
      <c r="M46" s="36"/>
      <c r="N46" s="36"/>
    </row>
    <row r="47" spans="1:17" x14ac:dyDescent="0.2">
      <c r="A47" s="10">
        <v>39</v>
      </c>
      <c r="B47" s="54" t="s">
        <v>593</v>
      </c>
      <c r="C47" s="36"/>
      <c r="D47" s="36"/>
      <c r="E47" s="36"/>
      <c r="F47" s="36"/>
      <c r="G47" s="36">
        <f>$F$45</f>
        <v>1.2200000000000006</v>
      </c>
      <c r="H47" s="36">
        <f>$F$45</f>
        <v>1.2200000000000006</v>
      </c>
      <c r="I47" s="36"/>
      <c r="J47" s="36"/>
      <c r="K47" s="36"/>
      <c r="L47" s="36"/>
      <c r="M47" s="36"/>
      <c r="N47" s="36"/>
    </row>
    <row r="48" spans="1:17" x14ac:dyDescent="0.2">
      <c r="A48" s="10">
        <v>40</v>
      </c>
    </row>
    <row r="49" spans="1:15" x14ac:dyDescent="0.2">
      <c r="A49" s="10">
        <v>41</v>
      </c>
      <c r="B49" s="54" t="s">
        <v>576</v>
      </c>
      <c r="C49" s="36">
        <f>((C13+C21)*C45)+((C17+C25)*C47)</f>
        <v>459646.99260000017</v>
      </c>
      <c r="D49" s="36">
        <f t="shared" ref="D49:N49" si="11">((D13+D21)*D45)+((D17+D25)*D47)</f>
        <v>463248.33500000025</v>
      </c>
      <c r="E49" s="36">
        <f t="shared" si="11"/>
        <v>462394.48140000022</v>
      </c>
      <c r="F49" s="36">
        <f t="shared" si="11"/>
        <v>441962.62900000019</v>
      </c>
      <c r="G49" s="36">
        <f t="shared" si="11"/>
        <v>448853.13602841529</v>
      </c>
      <c r="H49" s="36">
        <f t="shared" si="11"/>
        <v>451640.61364153662</v>
      </c>
      <c r="I49" s="36">
        <f t="shared" si="11"/>
        <v>454609.90028852236</v>
      </c>
      <c r="J49" s="36">
        <f t="shared" si="11"/>
        <v>472936.54814902804</v>
      </c>
      <c r="K49" s="36">
        <f t="shared" si="11"/>
        <v>474613.41281375726</v>
      </c>
      <c r="L49" s="36">
        <f t="shared" si="11"/>
        <v>456088.97785612562</v>
      </c>
      <c r="M49" s="36">
        <f t="shared" si="11"/>
        <v>434864.8531136075</v>
      </c>
      <c r="N49" s="36">
        <f t="shared" si="11"/>
        <v>418193.98920000001</v>
      </c>
      <c r="O49" s="399">
        <f>SUM(C49:N49)</f>
        <v>5439053.869090993</v>
      </c>
    </row>
    <row r="50" spans="1:15" x14ac:dyDescent="0.2">
      <c r="A50" s="10">
        <v>42</v>
      </c>
    </row>
    <row r="51" spans="1:15" x14ac:dyDescent="0.2">
      <c r="A51" s="10">
        <v>43</v>
      </c>
    </row>
    <row r="52" spans="1:15" x14ac:dyDescent="0.2">
      <c r="A52" s="10">
        <v>44</v>
      </c>
      <c r="B52" s="388" t="s">
        <v>583</v>
      </c>
      <c r="C52" s="388"/>
      <c r="D52" s="388"/>
      <c r="E52" s="388"/>
      <c r="F52" s="388"/>
      <c r="G52" s="388"/>
      <c r="H52" s="388"/>
      <c r="I52" s="388"/>
      <c r="J52" s="388"/>
      <c r="K52" s="388"/>
      <c r="L52" s="388"/>
      <c r="M52" s="388"/>
      <c r="N52" s="388"/>
    </row>
    <row r="53" spans="1:15" x14ac:dyDescent="0.2">
      <c r="A53" s="10">
        <v>45</v>
      </c>
      <c r="B53" s="392" t="s">
        <v>578</v>
      </c>
      <c r="C53" s="392"/>
      <c r="D53" s="392"/>
      <c r="E53" s="392"/>
      <c r="F53" s="392"/>
      <c r="G53" s="392"/>
      <c r="H53" s="392"/>
      <c r="I53" s="392"/>
      <c r="J53" s="392"/>
      <c r="K53" s="392"/>
      <c r="L53" s="392"/>
      <c r="M53" s="392"/>
      <c r="N53" s="392"/>
    </row>
    <row r="54" spans="1:15" x14ac:dyDescent="0.2">
      <c r="A54" s="10">
        <v>46</v>
      </c>
      <c r="B54" s="392" t="s">
        <v>579</v>
      </c>
      <c r="C54" s="392"/>
      <c r="D54" s="392"/>
      <c r="E54" s="392"/>
      <c r="F54" s="392"/>
      <c r="G54" s="392"/>
      <c r="H54" s="392"/>
      <c r="I54" s="392"/>
      <c r="J54" s="392"/>
      <c r="K54" s="392"/>
      <c r="L54" s="392"/>
      <c r="M54" s="392"/>
      <c r="N54" s="392"/>
    </row>
    <row r="55" spans="1:15" x14ac:dyDescent="0.2">
      <c r="A55" s="10">
        <v>47</v>
      </c>
      <c r="B55" s="401" t="s">
        <v>580</v>
      </c>
      <c r="C55" s="401"/>
      <c r="D55" s="401"/>
      <c r="E55" s="401"/>
      <c r="F55" s="401"/>
      <c r="G55" s="401"/>
      <c r="H55" s="401"/>
      <c r="I55" s="401"/>
      <c r="J55" s="401"/>
      <c r="K55" s="401"/>
      <c r="L55" s="401"/>
      <c r="M55" s="401"/>
      <c r="N55" s="401"/>
    </row>
    <row r="56" spans="1:15" x14ac:dyDescent="0.2">
      <c r="A56" s="10">
        <v>48</v>
      </c>
    </row>
    <row r="57" spans="1:15" x14ac:dyDescent="0.2">
      <c r="A57" s="10">
        <v>49</v>
      </c>
      <c r="B57" s="401" t="s">
        <v>175</v>
      </c>
      <c r="C57" s="402">
        <v>0.95437899999999998</v>
      </c>
      <c r="D57" s="402">
        <f>$C$57</f>
        <v>0.95437899999999998</v>
      </c>
      <c r="E57" s="402">
        <f t="shared" ref="E57:N57" si="12">$C$57</f>
        <v>0.95437899999999998</v>
      </c>
      <c r="F57" s="402">
        <f t="shared" si="12"/>
        <v>0.95437899999999998</v>
      </c>
      <c r="G57" s="402">
        <f t="shared" si="12"/>
        <v>0.95437899999999998</v>
      </c>
      <c r="H57" s="402">
        <f t="shared" si="12"/>
        <v>0.95437899999999998</v>
      </c>
      <c r="I57" s="402">
        <f t="shared" si="12"/>
        <v>0.95437899999999998</v>
      </c>
      <c r="J57" s="402">
        <f t="shared" si="12"/>
        <v>0.95437899999999998</v>
      </c>
      <c r="K57" s="402">
        <f t="shared" si="12"/>
        <v>0.95437899999999998</v>
      </c>
      <c r="L57" s="402">
        <f t="shared" si="12"/>
        <v>0.95437899999999998</v>
      </c>
      <c r="M57" s="402">
        <f t="shared" si="12"/>
        <v>0.95437899999999998</v>
      </c>
      <c r="N57" s="402">
        <f t="shared" si="12"/>
        <v>0.95437899999999998</v>
      </c>
    </row>
    <row r="58" spans="1:15" ht="13.5" thickBot="1" x14ac:dyDescent="0.25">
      <c r="A58" s="10">
        <v>50</v>
      </c>
    </row>
    <row r="59" spans="1:15" ht="13.5" thickBot="1" x14ac:dyDescent="0.25">
      <c r="A59" s="403">
        <v>51</v>
      </c>
      <c r="B59" s="404" t="s">
        <v>594</v>
      </c>
      <c r="C59" s="405">
        <f>ROUND(C57*C31,2)</f>
        <v>67360.03</v>
      </c>
      <c r="D59" s="405">
        <f>ROUND(D57*D31,2)</f>
        <v>19126.29</v>
      </c>
      <c r="E59" s="405">
        <f>ROUND(E57*E31,2)</f>
        <v>53080.19</v>
      </c>
      <c r="F59" s="405">
        <f>ROUND(F57*F31,2)</f>
        <v>-72310.98</v>
      </c>
      <c r="G59" s="405">
        <f t="shared" ref="G59:N59" si="13">ROUND(G57*G31,2)</f>
        <v>-28042.66</v>
      </c>
      <c r="H59" s="405">
        <f t="shared" si="13"/>
        <v>-186086.76</v>
      </c>
      <c r="I59" s="405">
        <f t="shared" si="13"/>
        <v>-114151.03</v>
      </c>
      <c r="J59" s="405">
        <f t="shared" si="13"/>
        <v>-209457.3</v>
      </c>
      <c r="K59" s="405">
        <f>ROUND(K57*K31,2)</f>
        <v>-118962.14</v>
      </c>
      <c r="L59" s="405">
        <f t="shared" si="13"/>
        <v>201100.15</v>
      </c>
      <c r="M59" s="405">
        <f>ROUND(M57*M31,2)</f>
        <v>277678.39</v>
      </c>
      <c r="N59" s="405">
        <f t="shared" si="13"/>
        <v>-1235034.83</v>
      </c>
      <c r="O59" s="399">
        <f>SUM(C59:N59)</f>
        <v>-1345700.65</v>
      </c>
    </row>
    <row r="60" spans="1:15" ht="13.5" thickBot="1" x14ac:dyDescent="0.25">
      <c r="A60" s="10">
        <v>52</v>
      </c>
      <c r="C60" s="399"/>
      <c r="D60" s="399"/>
      <c r="E60" s="399"/>
      <c r="F60" s="399"/>
      <c r="G60" s="399"/>
      <c r="H60" s="399"/>
      <c r="I60" s="399"/>
      <c r="J60" s="399"/>
      <c r="K60" s="399"/>
      <c r="L60" s="399"/>
      <c r="M60" s="399"/>
      <c r="N60" s="399"/>
      <c r="O60" s="399"/>
    </row>
    <row r="61" spans="1:15" ht="13.5" thickBot="1" x14ac:dyDescent="0.25">
      <c r="A61" s="403">
        <v>53</v>
      </c>
      <c r="B61" s="404" t="s">
        <v>292</v>
      </c>
      <c r="C61" s="405">
        <f>ROUND(C41*C57,2)</f>
        <v>7191.43</v>
      </c>
      <c r="D61" s="405">
        <f>ROUND(D41*D57,2)</f>
        <v>7247.78</v>
      </c>
      <c r="E61" s="405">
        <f>ROUND(E41*E57,2)</f>
        <v>7234.42</v>
      </c>
      <c r="F61" s="405">
        <f>ROUND(F41*F57,2)</f>
        <v>6914.75</v>
      </c>
      <c r="G61" s="405">
        <f t="shared" ref="G61:N61" si="14">ROUND(G41*G57,2)</f>
        <v>-23999.97</v>
      </c>
      <c r="H61" s="405">
        <f t="shared" si="14"/>
        <v>-61764.39</v>
      </c>
      <c r="I61" s="405">
        <f t="shared" si="14"/>
        <v>-63040.959999999999</v>
      </c>
      <c r="J61" s="405">
        <f t="shared" si="14"/>
        <v>-65582.33</v>
      </c>
      <c r="K61" s="405">
        <f t="shared" si="14"/>
        <v>-65814.86</v>
      </c>
      <c r="L61" s="405">
        <f t="shared" si="14"/>
        <v>-63246.07</v>
      </c>
      <c r="M61" s="405">
        <f t="shared" si="14"/>
        <v>-60302.91</v>
      </c>
      <c r="N61" s="405">
        <f t="shared" si="14"/>
        <v>-57991.15</v>
      </c>
      <c r="O61" s="399">
        <f>SUM(C61:N61)</f>
        <v>-433154.26</v>
      </c>
    </row>
    <row r="62" spans="1:15" x14ac:dyDescent="0.2">
      <c r="A62" s="10"/>
    </row>
    <row r="63" spans="1:15" x14ac:dyDescent="0.2">
      <c r="B63" s="415"/>
      <c r="C63" s="416"/>
      <c r="D63" s="416"/>
      <c r="E63" s="416"/>
      <c r="F63" s="416"/>
      <c r="G63" s="416"/>
      <c r="H63" s="416"/>
    </row>
    <row r="64" spans="1:15" x14ac:dyDescent="0.2">
      <c r="B64" s="416"/>
      <c r="C64" s="416"/>
      <c r="D64" s="416"/>
      <c r="E64" s="417"/>
      <c r="F64" s="416"/>
      <c r="G64" s="416"/>
      <c r="H64" s="416"/>
    </row>
    <row r="65" spans="2:8" x14ac:dyDescent="0.2">
      <c r="B65" s="416"/>
      <c r="C65" s="416"/>
      <c r="D65" s="416"/>
      <c r="E65" s="424"/>
      <c r="F65" s="416"/>
      <c r="G65" s="416"/>
      <c r="H65" s="416"/>
    </row>
    <row r="66" spans="2:8" x14ac:dyDescent="0.2">
      <c r="B66" s="415"/>
      <c r="C66" s="416"/>
      <c r="D66" s="416"/>
      <c r="E66" s="416"/>
      <c r="F66" s="416"/>
      <c r="G66" s="416"/>
      <c r="H66" s="416"/>
    </row>
    <row r="67" spans="2:8" x14ac:dyDescent="0.2">
      <c r="B67" s="416"/>
      <c r="C67" s="416"/>
      <c r="D67" s="416"/>
      <c r="E67" s="416"/>
      <c r="F67" s="416"/>
      <c r="G67" s="416"/>
      <c r="H67" s="416"/>
    </row>
    <row r="68" spans="2:8" x14ac:dyDescent="0.2">
      <c r="B68" s="416"/>
      <c r="C68" s="416"/>
      <c r="D68" s="416"/>
      <c r="E68" s="416"/>
      <c r="F68" s="416"/>
      <c r="G68" s="418"/>
      <c r="H68" s="416"/>
    </row>
    <row r="69" spans="2:8" x14ac:dyDescent="0.2">
      <c r="B69" s="419"/>
      <c r="C69" s="420"/>
      <c r="D69" s="420"/>
      <c r="E69" s="420"/>
      <c r="F69" s="425"/>
      <c r="G69" s="416"/>
      <c r="H69" s="416"/>
    </row>
    <row r="70" spans="2:8" x14ac:dyDescent="0.2">
      <c r="B70" s="421"/>
      <c r="C70" s="422"/>
      <c r="D70" s="422"/>
      <c r="E70" s="422"/>
      <c r="F70" s="422"/>
      <c r="G70" s="416"/>
      <c r="H70" s="416"/>
    </row>
    <row r="71" spans="2:8" x14ac:dyDescent="0.2">
      <c r="B71" s="419"/>
      <c r="C71" s="420"/>
      <c r="D71" s="420"/>
      <c r="E71" s="420"/>
      <c r="F71" s="420"/>
      <c r="G71" s="426"/>
      <c r="H71" s="416"/>
    </row>
    <row r="72" spans="2:8" x14ac:dyDescent="0.2">
      <c r="B72" s="416"/>
      <c r="C72" s="416"/>
      <c r="D72" s="416"/>
      <c r="E72" s="416"/>
      <c r="F72" s="416"/>
      <c r="G72" s="416"/>
      <c r="H72" s="416"/>
    </row>
  </sheetData>
  <mergeCells count="4">
    <mergeCell ref="A1:O1"/>
    <mergeCell ref="A2:O2"/>
    <mergeCell ref="A3:O3"/>
    <mergeCell ref="A4:O4"/>
  </mergeCells>
  <printOptions horizontalCentered="1"/>
  <pageMargins left="0.45" right="0.45" top="0.75" bottom="0.75" header="0.3" footer="0.3"/>
  <pageSetup scale="56" orientation="landscape" blackAndWhite="1" r:id="rId1"/>
  <headerFooter>
    <oddHeader>&amp;RAdvice No. 2018-xx
Workpaper No. 3</oddHeader>
    <oddFooter>&amp;L&amp;F
&amp;A&amp;R&amp;D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zoomScaleNormal="100" workbookViewId="0">
      <pane xSplit="2" ySplit="7" topLeftCell="C8" activePane="bottomRight" state="frozen"/>
      <selection activeCell="C48" sqref="C48"/>
      <selection pane="topRight" activeCell="C48" sqref="C48"/>
      <selection pane="bottomLeft" activeCell="C48" sqref="C48"/>
      <selection pane="bottomRight" activeCell="C48" sqref="C48"/>
    </sheetView>
  </sheetViews>
  <sheetFormatPr defaultColWidth="9.140625" defaultRowHeight="12.75" x14ac:dyDescent="0.2"/>
  <cols>
    <col min="1" max="1" width="3.7109375" style="54" customWidth="1"/>
    <col min="2" max="2" width="41" style="54" customWidth="1"/>
    <col min="3" max="14" width="12.7109375" style="54" customWidth="1"/>
    <col min="15" max="15" width="14.5703125" style="54" bestFit="1" customWidth="1"/>
    <col min="16" max="17" width="12.28515625" style="54" customWidth="1"/>
    <col min="18" max="31" width="9.140625" style="54"/>
    <col min="32" max="32" width="9.140625" style="54" customWidth="1"/>
    <col min="33" max="16384" width="9.140625" style="54"/>
  </cols>
  <sheetData>
    <row r="1" spans="1:20" x14ac:dyDescent="0.2">
      <c r="A1" s="506" t="s">
        <v>0</v>
      </c>
      <c r="B1" s="506"/>
      <c r="C1" s="506"/>
      <c r="D1" s="506"/>
      <c r="E1" s="506"/>
      <c r="F1" s="506"/>
      <c r="G1" s="506"/>
      <c r="H1" s="506"/>
      <c r="I1" s="506"/>
      <c r="J1" s="506"/>
      <c r="K1" s="506"/>
      <c r="L1" s="506"/>
      <c r="M1" s="506"/>
      <c r="N1" s="506"/>
      <c r="O1" s="506"/>
    </row>
    <row r="2" spans="1:20" x14ac:dyDescent="0.2">
      <c r="A2" s="506" t="s">
        <v>559</v>
      </c>
      <c r="B2" s="506"/>
      <c r="C2" s="506"/>
      <c r="D2" s="506"/>
      <c r="E2" s="506"/>
      <c r="F2" s="506"/>
      <c r="G2" s="506"/>
      <c r="H2" s="506"/>
      <c r="I2" s="506"/>
      <c r="J2" s="506"/>
      <c r="K2" s="506"/>
      <c r="L2" s="506"/>
      <c r="M2" s="506"/>
      <c r="N2" s="506"/>
      <c r="O2" s="506"/>
    </row>
    <row r="3" spans="1:20" x14ac:dyDescent="0.2">
      <c r="A3" s="506" t="s">
        <v>595</v>
      </c>
      <c r="B3" s="506"/>
      <c r="C3" s="506"/>
      <c r="D3" s="506"/>
      <c r="E3" s="506"/>
      <c r="F3" s="506"/>
      <c r="G3" s="506"/>
      <c r="H3" s="506"/>
      <c r="I3" s="506"/>
      <c r="J3" s="506"/>
      <c r="K3" s="506"/>
      <c r="L3" s="506"/>
      <c r="M3" s="506"/>
      <c r="N3" s="506"/>
      <c r="O3" s="506"/>
    </row>
    <row r="4" spans="1:20" x14ac:dyDescent="0.2">
      <c r="A4" s="506" t="s">
        <v>561</v>
      </c>
      <c r="B4" s="506"/>
      <c r="C4" s="506"/>
      <c r="D4" s="506"/>
      <c r="E4" s="506"/>
      <c r="F4" s="506"/>
      <c r="G4" s="506"/>
      <c r="H4" s="506"/>
      <c r="I4" s="506"/>
      <c r="J4" s="506"/>
      <c r="K4" s="506"/>
      <c r="L4" s="506"/>
      <c r="M4" s="506"/>
      <c r="N4" s="506"/>
      <c r="O4" s="506"/>
    </row>
    <row r="5" spans="1:20" x14ac:dyDescent="0.2">
      <c r="A5" s="10"/>
      <c r="B5" s="10"/>
      <c r="C5" s="10"/>
      <c r="D5" s="10"/>
      <c r="E5" s="10"/>
      <c r="F5" s="10"/>
      <c r="G5" s="10"/>
      <c r="H5" s="10"/>
      <c r="I5" s="10"/>
      <c r="J5" s="10"/>
      <c r="K5" s="10"/>
      <c r="L5" s="10"/>
      <c r="M5" s="10"/>
      <c r="N5" s="10"/>
      <c r="O5" s="246"/>
    </row>
    <row r="6" spans="1:20" x14ac:dyDescent="0.2">
      <c r="A6" s="246"/>
      <c r="B6" s="246"/>
      <c r="C6" s="246"/>
      <c r="D6" s="246"/>
      <c r="E6" s="246"/>
      <c r="F6" s="246"/>
      <c r="G6" s="246"/>
      <c r="H6" s="246"/>
      <c r="I6" s="246"/>
      <c r="J6" s="246"/>
      <c r="K6" s="246"/>
      <c r="L6" s="246"/>
      <c r="M6" s="246"/>
      <c r="N6" s="246"/>
      <c r="O6" s="246"/>
    </row>
    <row r="7" spans="1:20" ht="25.5" customHeight="1" x14ac:dyDescent="0.2">
      <c r="A7" s="382"/>
      <c r="B7" s="383"/>
      <c r="C7" s="384">
        <v>42736</v>
      </c>
      <c r="D7" s="384">
        <f t="shared" ref="D7:N7" si="0">EDATE(C7,1)</f>
        <v>42767</v>
      </c>
      <c r="E7" s="384">
        <f t="shared" si="0"/>
        <v>42795</v>
      </c>
      <c r="F7" s="384">
        <f t="shared" si="0"/>
        <v>42826</v>
      </c>
      <c r="G7" s="384">
        <f t="shared" si="0"/>
        <v>42856</v>
      </c>
      <c r="H7" s="384">
        <f t="shared" si="0"/>
        <v>42887</v>
      </c>
      <c r="I7" s="384">
        <f t="shared" si="0"/>
        <v>42917</v>
      </c>
      <c r="J7" s="384">
        <f t="shared" si="0"/>
        <v>42948</v>
      </c>
      <c r="K7" s="384">
        <f t="shared" si="0"/>
        <v>42979</v>
      </c>
      <c r="L7" s="384">
        <f t="shared" si="0"/>
        <v>43009</v>
      </c>
      <c r="M7" s="384">
        <f t="shared" si="0"/>
        <v>43040</v>
      </c>
      <c r="N7" s="384">
        <f t="shared" si="0"/>
        <v>43070</v>
      </c>
      <c r="O7" s="384" t="s">
        <v>84</v>
      </c>
      <c r="P7" s="385"/>
      <c r="Q7" s="385"/>
      <c r="R7" s="386"/>
      <c r="S7" s="386"/>
      <c r="T7" s="386"/>
    </row>
    <row r="8" spans="1:20" x14ac:dyDescent="0.2">
      <c r="A8" s="10"/>
      <c r="B8" s="10"/>
      <c r="C8" s="10"/>
      <c r="D8" s="10"/>
      <c r="E8" s="10"/>
      <c r="F8" s="10"/>
      <c r="G8" s="10"/>
      <c r="H8" s="10"/>
      <c r="I8" s="10"/>
      <c r="J8" s="10"/>
      <c r="K8" s="10"/>
      <c r="L8" s="10"/>
      <c r="M8" s="10"/>
      <c r="N8" s="10"/>
      <c r="O8" s="246"/>
    </row>
    <row r="9" spans="1:20" x14ac:dyDescent="0.2">
      <c r="A9" s="387">
        <v>1</v>
      </c>
      <c r="B9" s="388" t="s">
        <v>86</v>
      </c>
      <c r="C9" s="389">
        <v>480</v>
      </c>
      <c r="D9" s="389">
        <v>480</v>
      </c>
      <c r="E9" s="389">
        <v>480</v>
      </c>
      <c r="F9" s="389">
        <v>482</v>
      </c>
      <c r="G9" s="389">
        <v>481</v>
      </c>
      <c r="H9" s="389">
        <v>479</v>
      </c>
      <c r="I9" s="389">
        <v>480</v>
      </c>
      <c r="J9" s="389">
        <v>482</v>
      </c>
      <c r="K9" s="389">
        <v>481</v>
      </c>
      <c r="L9" s="389">
        <v>482</v>
      </c>
      <c r="M9" s="389">
        <v>480</v>
      </c>
      <c r="N9" s="389">
        <v>481</v>
      </c>
      <c r="O9" s="390"/>
      <c r="P9" s="222"/>
      <c r="Q9" s="222"/>
    </row>
    <row r="10" spans="1:20" x14ac:dyDescent="0.2">
      <c r="A10" s="391">
        <v>2</v>
      </c>
      <c r="B10" s="392" t="s">
        <v>562</v>
      </c>
      <c r="C10" s="393">
        <v>5898.3589248086391</v>
      </c>
      <c r="D10" s="393">
        <v>5986.4165964947861</v>
      </c>
      <c r="E10" s="393">
        <v>5952.1813678541694</v>
      </c>
      <c r="F10" s="393">
        <v>3862.8623401909163</v>
      </c>
      <c r="G10" s="393">
        <v>3951.783275957916</v>
      </c>
      <c r="H10" s="393">
        <v>3904.7533271483662</v>
      </c>
      <c r="I10" s="393">
        <v>4046.5921957326373</v>
      </c>
      <c r="J10" s="393">
        <v>4060.7227867838374</v>
      </c>
      <c r="K10" s="393">
        <v>4209.2164291353401</v>
      </c>
      <c r="L10" s="393">
        <v>6322.6932282769631</v>
      </c>
      <c r="M10" s="393">
        <v>6152.1160310339947</v>
      </c>
      <c r="N10" s="393">
        <v>3494.8239657575409</v>
      </c>
      <c r="O10" s="394"/>
      <c r="P10" s="395"/>
      <c r="Q10" s="395"/>
    </row>
    <row r="11" spans="1:20" x14ac:dyDescent="0.2">
      <c r="A11" s="10">
        <v>3</v>
      </c>
      <c r="B11" s="246" t="s">
        <v>563</v>
      </c>
      <c r="C11" s="18">
        <f t="shared" ref="C11:N11" si="1">C9*C10</f>
        <v>2831212.2839081469</v>
      </c>
      <c r="D11" s="18">
        <f t="shared" si="1"/>
        <v>2873479.9663174972</v>
      </c>
      <c r="E11" s="18">
        <f t="shared" si="1"/>
        <v>2857047.0565700014</v>
      </c>
      <c r="F11" s="18">
        <f t="shared" si="1"/>
        <v>1861899.6479720217</v>
      </c>
      <c r="G11" s="18">
        <f t="shared" si="1"/>
        <v>1900807.7557357575</v>
      </c>
      <c r="H11" s="18">
        <f t="shared" si="1"/>
        <v>1870376.8437040674</v>
      </c>
      <c r="I11" s="18">
        <f t="shared" si="1"/>
        <v>1942364.2539516659</v>
      </c>
      <c r="J11" s="18">
        <f t="shared" si="1"/>
        <v>1957268.3832298096</v>
      </c>
      <c r="K11" s="18">
        <f t="shared" si="1"/>
        <v>2024633.1024140986</v>
      </c>
      <c r="L11" s="18">
        <f t="shared" si="1"/>
        <v>3047538.1360294963</v>
      </c>
      <c r="M11" s="18">
        <f t="shared" si="1"/>
        <v>2953015.6948963176</v>
      </c>
      <c r="N11" s="18">
        <f t="shared" si="1"/>
        <v>1681010.3275293771</v>
      </c>
      <c r="O11" s="18">
        <f>SUM(C11:N11)</f>
        <v>27800653.452258259</v>
      </c>
      <c r="P11" s="396"/>
      <c r="Q11" s="396"/>
    </row>
    <row r="12" spans="1:20" x14ac:dyDescent="0.2">
      <c r="A12" s="10">
        <v>4</v>
      </c>
      <c r="B12" s="246"/>
      <c r="C12" s="246"/>
      <c r="D12" s="246"/>
      <c r="E12" s="246"/>
      <c r="F12" s="246"/>
      <c r="G12" s="246"/>
      <c r="H12" s="246"/>
      <c r="I12" s="246"/>
      <c r="J12" s="246"/>
      <c r="K12" s="246"/>
      <c r="L12" s="246"/>
      <c r="M12" s="246"/>
      <c r="N12" s="246"/>
      <c r="O12" s="246"/>
      <c r="P12" s="221"/>
      <c r="Q12" s="221"/>
    </row>
    <row r="13" spans="1:20" x14ac:dyDescent="0.2">
      <c r="A13" s="387">
        <v>5</v>
      </c>
      <c r="B13" s="388" t="s">
        <v>596</v>
      </c>
      <c r="C13" s="389">
        <v>262480.64000000001</v>
      </c>
      <c r="D13" s="389">
        <v>290254.74</v>
      </c>
      <c r="E13" s="389">
        <v>270217.75</v>
      </c>
      <c r="F13" s="389">
        <v>277196.28999999998</v>
      </c>
      <c r="G13" s="411">
        <v>107046.339643653</v>
      </c>
      <c r="H13" s="389">
        <v>273365.44097995549</v>
      </c>
      <c r="I13" s="389">
        <v>261866.34521158127</v>
      </c>
      <c r="J13" s="389">
        <v>301402.85640377732</v>
      </c>
      <c r="K13" s="389">
        <v>278372.22494432074</v>
      </c>
      <c r="L13" s="389">
        <v>288394.03154986957</v>
      </c>
      <c r="M13" s="389">
        <v>258418.31344590042</v>
      </c>
      <c r="N13" s="389">
        <v>255365.52</v>
      </c>
      <c r="O13" s="246"/>
      <c r="P13" s="222"/>
      <c r="Q13" s="222"/>
    </row>
    <row r="14" spans="1:20" x14ac:dyDescent="0.2">
      <c r="A14" s="391">
        <v>6</v>
      </c>
      <c r="B14" s="392" t="s">
        <v>586</v>
      </c>
      <c r="C14" s="393">
        <v>10.19</v>
      </c>
      <c r="D14" s="393">
        <v>10.19</v>
      </c>
      <c r="E14" s="393">
        <v>10.19</v>
      </c>
      <c r="F14" s="393">
        <v>7.13</v>
      </c>
      <c r="G14" s="393">
        <v>7.31</v>
      </c>
      <c r="H14" s="393">
        <v>7.31</v>
      </c>
      <c r="I14" s="393">
        <v>7.31</v>
      </c>
      <c r="J14" s="393">
        <v>7.31</v>
      </c>
      <c r="K14" s="393">
        <v>7.31</v>
      </c>
      <c r="L14" s="393">
        <v>10.37</v>
      </c>
      <c r="M14" s="393">
        <v>10.37</v>
      </c>
      <c r="N14" s="393">
        <v>10.37</v>
      </c>
      <c r="O14" s="28"/>
      <c r="P14" s="398"/>
      <c r="Q14" s="398"/>
    </row>
    <row r="15" spans="1:20" x14ac:dyDescent="0.2">
      <c r="A15" s="10">
        <v>7</v>
      </c>
      <c r="B15" s="246" t="s">
        <v>565</v>
      </c>
      <c r="C15" s="18">
        <f>C13*C14</f>
        <v>2674677.7215999998</v>
      </c>
      <c r="D15" s="18">
        <f t="shared" ref="D15:N15" si="2">D13*D14</f>
        <v>2957695.8005999997</v>
      </c>
      <c r="E15" s="18">
        <f t="shared" si="2"/>
        <v>2753518.8725000001</v>
      </c>
      <c r="F15" s="18">
        <f t="shared" si="2"/>
        <v>1976409.5476999998</v>
      </c>
      <c r="G15" s="18">
        <f t="shared" si="2"/>
        <v>782508.74279510335</v>
      </c>
      <c r="H15" s="18">
        <f t="shared" si="2"/>
        <v>1998301.3735634745</v>
      </c>
      <c r="I15" s="18">
        <f t="shared" si="2"/>
        <v>1914242.983496659</v>
      </c>
      <c r="J15" s="18">
        <f t="shared" si="2"/>
        <v>2203254.880311612</v>
      </c>
      <c r="K15" s="18">
        <f t="shared" si="2"/>
        <v>2034900.9643429846</v>
      </c>
      <c r="L15" s="18">
        <f t="shared" si="2"/>
        <v>2990646.1071721474</v>
      </c>
      <c r="M15" s="18">
        <f t="shared" si="2"/>
        <v>2679797.9104339872</v>
      </c>
      <c r="N15" s="18">
        <f t="shared" si="2"/>
        <v>2648140.4423999996</v>
      </c>
      <c r="O15" s="18">
        <f>SUM(C15:N15)</f>
        <v>27614095.346915968</v>
      </c>
      <c r="P15" s="396"/>
      <c r="Q15" s="396"/>
    </row>
    <row r="16" spans="1:20" x14ac:dyDescent="0.2">
      <c r="A16" s="10">
        <v>8</v>
      </c>
      <c r="B16" s="246"/>
      <c r="C16" s="246"/>
      <c r="D16" s="246"/>
      <c r="E16" s="246"/>
      <c r="F16" s="246"/>
      <c r="G16" s="246"/>
      <c r="H16" s="246"/>
      <c r="I16" s="246"/>
      <c r="J16" s="246"/>
      <c r="K16" s="246"/>
      <c r="L16" s="246"/>
      <c r="M16" s="246"/>
      <c r="N16" s="246"/>
      <c r="O16" s="18"/>
    </row>
    <row r="17" spans="1:17" x14ac:dyDescent="0.2">
      <c r="A17" s="10">
        <v>9</v>
      </c>
      <c r="B17" s="388" t="s">
        <v>597</v>
      </c>
      <c r="C17" s="389"/>
      <c r="D17" s="389"/>
      <c r="E17" s="389"/>
      <c r="F17" s="389"/>
      <c r="G17" s="389">
        <v>163379.22180166541</v>
      </c>
      <c r="H17" s="389">
        <v>6794.4781206787111</v>
      </c>
      <c r="I17" s="389">
        <v>0</v>
      </c>
      <c r="J17" s="389"/>
      <c r="K17" s="389"/>
      <c r="L17" s="389"/>
      <c r="M17" s="389"/>
      <c r="N17" s="389"/>
      <c r="O17" s="18"/>
    </row>
    <row r="18" spans="1:17" x14ac:dyDescent="0.2">
      <c r="A18" s="10">
        <v>10</v>
      </c>
      <c r="B18" s="392" t="s">
        <v>586</v>
      </c>
      <c r="C18" s="393"/>
      <c r="D18" s="393"/>
      <c r="E18" s="393"/>
      <c r="F18" s="393"/>
      <c r="G18" s="393">
        <f>$F$14</f>
        <v>7.13</v>
      </c>
      <c r="H18" s="393">
        <f>$F$14</f>
        <v>7.13</v>
      </c>
      <c r="I18" s="393"/>
      <c r="J18" s="393"/>
      <c r="K18" s="393"/>
      <c r="L18" s="393"/>
      <c r="M18" s="393"/>
      <c r="N18" s="393"/>
      <c r="O18" s="18"/>
    </row>
    <row r="19" spans="1:17" x14ac:dyDescent="0.2">
      <c r="A19" s="10">
        <v>11</v>
      </c>
      <c r="B19" s="246" t="s">
        <v>565</v>
      </c>
      <c r="C19" s="18">
        <f t="shared" ref="C19:N19" si="3">C17*C18</f>
        <v>0</v>
      </c>
      <c r="D19" s="18">
        <f t="shared" si="3"/>
        <v>0</v>
      </c>
      <c r="E19" s="18">
        <f t="shared" si="3"/>
        <v>0</v>
      </c>
      <c r="F19" s="18">
        <f t="shared" si="3"/>
        <v>0</v>
      </c>
      <c r="G19" s="18">
        <f t="shared" si="3"/>
        <v>1164893.8514458744</v>
      </c>
      <c r="H19" s="18">
        <f t="shared" si="3"/>
        <v>48444.629000439207</v>
      </c>
      <c r="I19" s="18">
        <f t="shared" si="3"/>
        <v>0</v>
      </c>
      <c r="J19" s="18">
        <f t="shared" si="3"/>
        <v>0</v>
      </c>
      <c r="K19" s="18">
        <f t="shared" si="3"/>
        <v>0</v>
      </c>
      <c r="L19" s="18">
        <f t="shared" si="3"/>
        <v>0</v>
      </c>
      <c r="M19" s="18">
        <f t="shared" si="3"/>
        <v>0</v>
      </c>
      <c r="N19" s="18">
        <f t="shared" si="3"/>
        <v>0</v>
      </c>
      <c r="O19" s="18">
        <f>SUM(C19:N19)</f>
        <v>1213338.4804463137</v>
      </c>
    </row>
    <row r="20" spans="1:17" x14ac:dyDescent="0.2">
      <c r="A20" s="10">
        <v>12</v>
      </c>
      <c r="B20" s="246"/>
      <c r="C20" s="246"/>
      <c r="D20" s="246"/>
      <c r="E20" s="246"/>
      <c r="F20" s="246"/>
      <c r="G20" s="246"/>
      <c r="H20" s="246"/>
      <c r="I20" s="246"/>
      <c r="J20" s="246"/>
      <c r="K20" s="246"/>
      <c r="L20" s="246"/>
      <c r="M20" s="246"/>
      <c r="N20" s="246"/>
      <c r="O20" s="18"/>
    </row>
    <row r="21" spans="1:17" x14ac:dyDescent="0.2">
      <c r="A21" s="10">
        <v>13</v>
      </c>
      <c r="B21" s="246" t="s">
        <v>567</v>
      </c>
      <c r="C21" s="18">
        <f t="shared" ref="C21:N21" si="4">C15+C19</f>
        <v>2674677.7215999998</v>
      </c>
      <c r="D21" s="18">
        <f t="shared" si="4"/>
        <v>2957695.8005999997</v>
      </c>
      <c r="E21" s="18">
        <f t="shared" si="4"/>
        <v>2753518.8725000001</v>
      </c>
      <c r="F21" s="18">
        <f t="shared" si="4"/>
        <v>1976409.5476999998</v>
      </c>
      <c r="G21" s="18">
        <f t="shared" si="4"/>
        <v>1947402.5942409779</v>
      </c>
      <c r="H21" s="18">
        <f t="shared" si="4"/>
        <v>2046746.0025639138</v>
      </c>
      <c r="I21" s="18">
        <f t="shared" si="4"/>
        <v>1914242.983496659</v>
      </c>
      <c r="J21" s="18">
        <f t="shared" si="4"/>
        <v>2203254.880311612</v>
      </c>
      <c r="K21" s="18">
        <f t="shared" si="4"/>
        <v>2034900.9643429846</v>
      </c>
      <c r="L21" s="18">
        <f t="shared" si="4"/>
        <v>2990646.1071721474</v>
      </c>
      <c r="M21" s="18">
        <f t="shared" si="4"/>
        <v>2679797.9104339872</v>
      </c>
      <c r="N21" s="18">
        <f t="shared" si="4"/>
        <v>2648140.4423999996</v>
      </c>
      <c r="O21" s="18">
        <f>SUM(C21:N21)</f>
        <v>28827433.827362284</v>
      </c>
    </row>
    <row r="22" spans="1:17" x14ac:dyDescent="0.2">
      <c r="A22" s="10">
        <v>14</v>
      </c>
      <c r="B22" s="246"/>
      <c r="C22" s="246"/>
      <c r="D22" s="246"/>
      <c r="E22" s="246"/>
      <c r="F22" s="246"/>
      <c r="G22" s="246"/>
      <c r="H22" s="246"/>
      <c r="I22" s="246"/>
      <c r="J22" s="246"/>
      <c r="K22" s="246"/>
      <c r="L22" s="246"/>
      <c r="M22" s="246"/>
      <c r="N22" s="246"/>
      <c r="O22" s="18"/>
    </row>
    <row r="23" spans="1:17" x14ac:dyDescent="0.2">
      <c r="A23" s="10">
        <v>15</v>
      </c>
      <c r="B23" s="246" t="s">
        <v>568</v>
      </c>
      <c r="C23" s="36">
        <f>C11-C21</f>
        <v>156534.56230814708</v>
      </c>
      <c r="D23" s="36">
        <f t="shared" ref="D23:N23" si="5">D11-D21</f>
        <v>-84215.834282502532</v>
      </c>
      <c r="E23" s="36">
        <f t="shared" si="5"/>
        <v>103528.18407000136</v>
      </c>
      <c r="F23" s="36">
        <f t="shared" si="5"/>
        <v>-114509.89972797805</v>
      </c>
      <c r="G23" s="36">
        <f>G11-G21</f>
        <v>-46594.838505220367</v>
      </c>
      <c r="H23" s="36">
        <f t="shared" si="5"/>
        <v>-176369.15885984641</v>
      </c>
      <c r="I23" s="36">
        <f t="shared" si="5"/>
        <v>28121.270455006976</v>
      </c>
      <c r="J23" s="36">
        <f t="shared" si="5"/>
        <v>-245986.49708180246</v>
      </c>
      <c r="K23" s="36">
        <f t="shared" si="5"/>
        <v>-10267.861928886035</v>
      </c>
      <c r="L23" s="36">
        <f t="shared" si="5"/>
        <v>56892.028857348952</v>
      </c>
      <c r="M23" s="36">
        <f t="shared" si="5"/>
        <v>273217.7844623304</v>
      </c>
      <c r="N23" s="36">
        <f t="shared" si="5"/>
        <v>-967130.11487062252</v>
      </c>
      <c r="O23" s="36">
        <f>SUM(C23:N23)</f>
        <v>-1026780.3751040236</v>
      </c>
      <c r="P23" s="396"/>
      <c r="Q23" s="396"/>
    </row>
    <row r="24" spans="1:17" x14ac:dyDescent="0.2">
      <c r="A24" s="10">
        <v>16</v>
      </c>
      <c r="B24" s="246"/>
      <c r="C24" s="246"/>
      <c r="D24" s="246"/>
      <c r="E24" s="246"/>
      <c r="F24" s="246"/>
      <c r="G24" s="246"/>
      <c r="H24" s="246"/>
      <c r="I24" s="246"/>
      <c r="J24" s="246"/>
      <c r="K24" s="246"/>
      <c r="L24" s="246"/>
      <c r="M24" s="246"/>
      <c r="N24" s="246"/>
      <c r="O24" s="18"/>
    </row>
    <row r="25" spans="1:17" x14ac:dyDescent="0.2">
      <c r="A25" s="10">
        <v>17</v>
      </c>
      <c r="B25" s="246" t="s">
        <v>569</v>
      </c>
      <c r="C25" s="36">
        <v>2175.5</v>
      </c>
      <c r="D25" s="36">
        <v>1949.03</v>
      </c>
      <c r="E25" s="36">
        <v>1644.2</v>
      </c>
      <c r="F25" s="36">
        <v>1383.23</v>
      </c>
      <c r="G25" s="36">
        <v>78.80101719667239</v>
      </c>
      <c r="H25" s="36">
        <v>-1126.2249986319882</v>
      </c>
      <c r="I25" s="36">
        <v>-1393.8628850619298</v>
      </c>
      <c r="J25" s="36">
        <v>-1685.7413044841144</v>
      </c>
      <c r="K25" s="36">
        <v>-2036.5717367774548</v>
      </c>
      <c r="L25" s="36">
        <v>-2032.3180936824381</v>
      </c>
      <c r="M25" s="36">
        <v>-1426.8266327300605</v>
      </c>
      <c r="N25" s="36"/>
      <c r="O25" s="36">
        <f>SUM(C25:N25)</f>
        <v>-2470.7846341713139</v>
      </c>
      <c r="P25" s="399"/>
      <c r="Q25" s="399"/>
    </row>
    <row r="26" spans="1:17" x14ac:dyDescent="0.2">
      <c r="A26" s="10">
        <v>18</v>
      </c>
      <c r="B26" s="246"/>
      <c r="C26" s="246"/>
      <c r="D26" s="246"/>
      <c r="E26" s="246"/>
      <c r="F26" s="246"/>
      <c r="G26" s="246"/>
      <c r="H26" s="246"/>
      <c r="I26" s="246"/>
      <c r="J26" s="246"/>
      <c r="K26" s="246"/>
      <c r="L26" s="246"/>
      <c r="M26" s="246"/>
      <c r="N26" s="246"/>
      <c r="O26" s="18"/>
    </row>
    <row r="27" spans="1:17" x14ac:dyDescent="0.2">
      <c r="A27" s="10">
        <v>19</v>
      </c>
      <c r="B27" s="246" t="s">
        <v>570</v>
      </c>
      <c r="C27" s="18">
        <v>3151814.6829205481</v>
      </c>
      <c r="D27" s="18">
        <f t="shared" ref="D27:N27" si="6">C27+D51+D25</f>
        <v>3073389.8929205481</v>
      </c>
      <c r="E27" s="18">
        <f t="shared" si="6"/>
        <v>3173839.2129205484</v>
      </c>
      <c r="F27" s="18">
        <f t="shared" si="6"/>
        <v>3065936.6029205485</v>
      </c>
      <c r="G27" s="18">
        <f t="shared" si="6"/>
        <v>3021546.2639377452</v>
      </c>
      <c r="H27" s="18">
        <f t="shared" si="6"/>
        <v>2852097.0189391132</v>
      </c>
      <c r="I27" s="18">
        <f t="shared" si="6"/>
        <v>2877541.5060540512</v>
      </c>
      <c r="J27" s="18">
        <f t="shared" si="6"/>
        <v>2641091.4147495669</v>
      </c>
      <c r="K27" s="18">
        <f t="shared" si="6"/>
        <v>2629255.4130127891</v>
      </c>
      <c r="L27" s="18">
        <f t="shared" si="6"/>
        <v>2681519.6549191065</v>
      </c>
      <c r="M27" s="18">
        <f t="shared" si="6"/>
        <v>2940846.1482863761</v>
      </c>
      <c r="N27" s="18">
        <f t="shared" si="6"/>
        <v>2017837.4782863762</v>
      </c>
      <c r="O27" s="18"/>
    </row>
    <row r="28" spans="1:17" x14ac:dyDescent="0.2">
      <c r="A28" s="10">
        <v>20</v>
      </c>
      <c r="B28" s="246"/>
      <c r="C28" s="246"/>
      <c r="D28" s="246"/>
      <c r="E28" s="246"/>
      <c r="F28" s="246"/>
      <c r="G28" s="246"/>
      <c r="H28" s="246"/>
      <c r="I28" s="246"/>
      <c r="J28" s="246"/>
      <c r="K28" s="246"/>
      <c r="L28" s="246"/>
      <c r="M28" s="246"/>
      <c r="N28" s="246"/>
      <c r="O28" s="18"/>
    </row>
    <row r="29" spans="1:17" x14ac:dyDescent="0.2">
      <c r="A29" s="10">
        <v>21</v>
      </c>
      <c r="B29" s="246" t="s">
        <v>590</v>
      </c>
      <c r="C29" s="36">
        <v>0.45</v>
      </c>
      <c r="D29" s="36">
        <v>0.45</v>
      </c>
      <c r="E29" s="36">
        <v>0.45</v>
      </c>
      <c r="F29" s="36">
        <v>0.45</v>
      </c>
      <c r="G29" s="36">
        <v>-0.04</v>
      </c>
      <c r="H29" s="36">
        <v>-0.04</v>
      </c>
      <c r="I29" s="36">
        <v>-0.04</v>
      </c>
      <c r="J29" s="36">
        <v>-0.04</v>
      </c>
      <c r="K29" s="36">
        <v>-0.04</v>
      </c>
      <c r="L29" s="36">
        <v>-0.04</v>
      </c>
      <c r="M29" s="36">
        <v>-0.04</v>
      </c>
      <c r="N29" s="36">
        <v>-0.04</v>
      </c>
      <c r="O29" s="18"/>
    </row>
    <row r="30" spans="1:17" x14ac:dyDescent="0.2">
      <c r="A30" s="10">
        <v>22</v>
      </c>
      <c r="B30" s="246"/>
      <c r="C30" s="36"/>
      <c r="D30" s="36"/>
      <c r="E30" s="36"/>
      <c r="F30" s="36"/>
      <c r="G30" s="36"/>
      <c r="H30" s="36"/>
      <c r="I30" s="36"/>
      <c r="J30" s="36"/>
      <c r="K30" s="36"/>
      <c r="L30" s="36"/>
      <c r="M30" s="36"/>
      <c r="N30" s="36"/>
      <c r="O30" s="18"/>
    </row>
    <row r="31" spans="1:17" x14ac:dyDescent="0.2">
      <c r="A31" s="10">
        <v>23</v>
      </c>
      <c r="B31" s="246" t="s">
        <v>591</v>
      </c>
      <c r="C31" s="36"/>
      <c r="D31" s="36"/>
      <c r="E31" s="36"/>
      <c r="F31" s="36"/>
      <c r="G31" s="36">
        <f>$F$29</f>
        <v>0.45</v>
      </c>
      <c r="H31" s="36">
        <f>$F$29</f>
        <v>0.45</v>
      </c>
      <c r="I31" s="36"/>
      <c r="J31" s="36"/>
      <c r="K31" s="36"/>
      <c r="L31" s="36"/>
      <c r="M31" s="36"/>
      <c r="N31" s="36"/>
      <c r="O31" s="18"/>
    </row>
    <row r="32" spans="1:17" x14ac:dyDescent="0.2">
      <c r="A32" s="10">
        <v>24</v>
      </c>
      <c r="B32" s="246"/>
      <c r="C32" s="18"/>
      <c r="D32" s="18"/>
      <c r="E32" s="18"/>
      <c r="F32" s="18"/>
      <c r="G32" s="36"/>
      <c r="H32" s="36"/>
      <c r="I32" s="36"/>
      <c r="J32" s="36"/>
      <c r="K32" s="36"/>
      <c r="L32" s="36"/>
      <c r="M32" s="36"/>
      <c r="N32" s="36"/>
      <c r="O32" s="18"/>
    </row>
    <row r="33" spans="1:15" x14ac:dyDescent="0.2">
      <c r="A33" s="10">
        <v>25</v>
      </c>
      <c r="B33" s="246" t="s">
        <v>292</v>
      </c>
      <c r="C33" s="36">
        <f>(C13*C29)+(C17*C31)</f>
        <v>118116.28800000002</v>
      </c>
      <c r="D33" s="36">
        <f t="shared" ref="D33:N33" si="7">(D13*D29)+(D17*D31)</f>
        <v>130614.633</v>
      </c>
      <c r="E33" s="36">
        <f t="shared" si="7"/>
        <v>121597.9875</v>
      </c>
      <c r="F33" s="36">
        <f t="shared" si="7"/>
        <v>124738.3305</v>
      </c>
      <c r="G33" s="36">
        <f t="shared" si="7"/>
        <v>69238.796225003316</v>
      </c>
      <c r="H33" s="36">
        <f t="shared" si="7"/>
        <v>-7877.1024848927991</v>
      </c>
      <c r="I33" s="36">
        <f t="shared" si="7"/>
        <v>-10474.65380846325</v>
      </c>
      <c r="J33" s="36">
        <f t="shared" si="7"/>
        <v>-12056.114256151093</v>
      </c>
      <c r="K33" s="36">
        <f t="shared" si="7"/>
        <v>-11134.88899777283</v>
      </c>
      <c r="L33" s="36">
        <f t="shared" si="7"/>
        <v>-11535.761261994783</v>
      </c>
      <c r="M33" s="36">
        <f t="shared" si="7"/>
        <v>-10336.732537836016</v>
      </c>
      <c r="N33" s="36">
        <f t="shared" si="7"/>
        <v>-10214.620800000001</v>
      </c>
      <c r="O33" s="36">
        <f>SUM(C33:N33)</f>
        <v>490676.16107789247</v>
      </c>
    </row>
    <row r="34" spans="1:15" x14ac:dyDescent="0.2">
      <c r="A34" s="10">
        <v>26</v>
      </c>
      <c r="B34" s="246"/>
      <c r="C34" s="18"/>
      <c r="D34" s="18"/>
      <c r="E34" s="18"/>
      <c r="F34" s="18"/>
      <c r="G34" s="18"/>
      <c r="H34" s="18"/>
      <c r="I34" s="18"/>
      <c r="J34" s="18"/>
      <c r="K34" s="18"/>
      <c r="L34" s="18"/>
      <c r="M34" s="18"/>
      <c r="N34" s="18"/>
      <c r="O34" s="18"/>
    </row>
    <row r="35" spans="1:15" x14ac:dyDescent="0.2">
      <c r="A35" s="10">
        <v>27</v>
      </c>
      <c r="B35" s="246" t="s">
        <v>573</v>
      </c>
      <c r="C35" s="18">
        <v>2297004.1588827092</v>
      </c>
      <c r="D35" s="18">
        <f t="shared" ref="D35:N35" si="8">C35+D51+D25-D53</f>
        <v>2093923.5088827091</v>
      </c>
      <c r="E35" s="18">
        <f t="shared" si="8"/>
        <v>2078322.2588827091</v>
      </c>
      <c r="F35" s="18">
        <f t="shared" si="8"/>
        <v>1851372.0088827091</v>
      </c>
      <c r="G35" s="18">
        <f t="shared" si="8"/>
        <v>1740901.6198999058</v>
      </c>
      <c r="H35" s="18">
        <f t="shared" si="8"/>
        <v>1578970.1149012737</v>
      </c>
      <c r="I35" s="18">
        <f t="shared" si="8"/>
        <v>1614411.392016212</v>
      </c>
      <c r="J35" s="18">
        <f t="shared" si="8"/>
        <v>1389467.4007117278</v>
      </c>
      <c r="K35" s="18">
        <f t="shared" si="8"/>
        <v>1388258.2989749503</v>
      </c>
      <c r="L35" s="18">
        <f t="shared" si="8"/>
        <v>1451532.030881268</v>
      </c>
      <c r="M35" s="18">
        <f t="shared" si="8"/>
        <v>1720723.684248538</v>
      </c>
      <c r="N35" s="18">
        <f t="shared" si="8"/>
        <v>807463.63424853794</v>
      </c>
      <c r="O35" s="18"/>
    </row>
    <row r="36" spans="1:15" x14ac:dyDescent="0.2">
      <c r="A36" s="10">
        <v>28</v>
      </c>
      <c r="B36" s="246"/>
      <c r="C36" s="18"/>
      <c r="D36" s="18"/>
      <c r="E36" s="18"/>
      <c r="F36" s="18"/>
      <c r="G36" s="18"/>
      <c r="H36" s="18"/>
      <c r="I36" s="18"/>
      <c r="J36" s="18"/>
      <c r="K36" s="18"/>
      <c r="L36" s="18"/>
      <c r="M36" s="18"/>
      <c r="N36" s="18"/>
      <c r="O36" s="18"/>
    </row>
    <row r="37" spans="1:15" x14ac:dyDescent="0.2">
      <c r="A37" s="10">
        <v>29</v>
      </c>
      <c r="B37" s="54" t="s">
        <v>592</v>
      </c>
      <c r="C37" s="36">
        <v>1.4399999999999995</v>
      </c>
      <c r="D37" s="36">
        <v>1.4399999999999995</v>
      </c>
      <c r="E37" s="36">
        <v>1.4399999999999995</v>
      </c>
      <c r="F37" s="36">
        <v>1.4399999999999995</v>
      </c>
      <c r="G37" s="36">
        <v>1.129999999999999</v>
      </c>
      <c r="H37" s="36">
        <v>1.129999999999999</v>
      </c>
      <c r="I37" s="36">
        <v>1.129999999999999</v>
      </c>
      <c r="J37" s="36">
        <v>1.129999999999999</v>
      </c>
      <c r="K37" s="36">
        <v>1.129999999999999</v>
      </c>
      <c r="L37" s="36">
        <v>1.129999999999999</v>
      </c>
      <c r="M37" s="36">
        <v>1.129999999999999</v>
      </c>
      <c r="N37" s="36">
        <v>1.129999999999999</v>
      </c>
    </row>
    <row r="38" spans="1:15" x14ac:dyDescent="0.2">
      <c r="A38" s="10">
        <v>30</v>
      </c>
      <c r="C38" s="36"/>
      <c r="D38" s="36"/>
      <c r="E38" s="36"/>
      <c r="F38" s="36"/>
      <c r="G38" s="36"/>
      <c r="H38" s="36"/>
      <c r="I38" s="36"/>
      <c r="J38" s="36"/>
      <c r="K38" s="36"/>
      <c r="L38" s="36"/>
      <c r="M38" s="36"/>
      <c r="N38" s="36"/>
    </row>
    <row r="39" spans="1:15" x14ac:dyDescent="0.2">
      <c r="A39" s="10">
        <v>31</v>
      </c>
      <c r="B39" s="54" t="s">
        <v>593</v>
      </c>
      <c r="C39" s="36"/>
      <c r="D39" s="36"/>
      <c r="E39" s="36"/>
      <c r="F39" s="36"/>
      <c r="G39" s="36">
        <f>$F$37</f>
        <v>1.4399999999999995</v>
      </c>
      <c r="H39" s="36">
        <f>$F$37</f>
        <v>1.4399999999999995</v>
      </c>
      <c r="I39" s="36"/>
      <c r="J39" s="36"/>
      <c r="K39" s="36"/>
      <c r="L39" s="36"/>
      <c r="M39" s="36"/>
      <c r="N39" s="36"/>
    </row>
    <row r="40" spans="1:15" x14ac:dyDescent="0.2">
      <c r="A40" s="10">
        <v>32</v>
      </c>
    </row>
    <row r="41" spans="1:15" x14ac:dyDescent="0.2">
      <c r="A41" s="10">
        <v>33</v>
      </c>
      <c r="B41" s="54" t="s">
        <v>576</v>
      </c>
      <c r="C41" s="36">
        <f>(C13*C37)+(C17*C39)</f>
        <v>377972.1215999999</v>
      </c>
      <c r="D41" s="36">
        <f t="shared" ref="D41:N41" si="9">(D13*D37)+(D17*D39)</f>
        <v>417966.82559999987</v>
      </c>
      <c r="E41" s="36">
        <f t="shared" si="9"/>
        <v>389113.55999999988</v>
      </c>
      <c r="F41" s="36">
        <f t="shared" si="9"/>
        <v>399162.65759999986</v>
      </c>
      <c r="G41" s="36">
        <f t="shared" si="9"/>
        <v>356228.44319172588</v>
      </c>
      <c r="H41" s="36">
        <f t="shared" si="9"/>
        <v>318686.99680112675</v>
      </c>
      <c r="I41" s="36">
        <f t="shared" si="9"/>
        <v>295908.97008908656</v>
      </c>
      <c r="J41" s="36">
        <f t="shared" si="9"/>
        <v>340585.22773626808</v>
      </c>
      <c r="K41" s="36">
        <f t="shared" si="9"/>
        <v>314560.61418708216</v>
      </c>
      <c r="L41" s="36">
        <f t="shared" si="9"/>
        <v>325885.25565135235</v>
      </c>
      <c r="M41" s="36">
        <f t="shared" si="9"/>
        <v>292012.69419386721</v>
      </c>
      <c r="N41" s="36">
        <f t="shared" si="9"/>
        <v>288563.03759999975</v>
      </c>
      <c r="O41" s="399">
        <f>SUM(C41:N41)</f>
        <v>4116646.4042505082</v>
      </c>
    </row>
    <row r="42" spans="1:15" x14ac:dyDescent="0.2">
      <c r="A42" s="10">
        <v>34</v>
      </c>
    </row>
    <row r="43" spans="1:15" x14ac:dyDescent="0.2">
      <c r="A43" s="10">
        <v>35</v>
      </c>
    </row>
    <row r="44" spans="1:15" x14ac:dyDescent="0.2">
      <c r="A44" s="387">
        <v>36</v>
      </c>
      <c r="B44" s="388" t="s">
        <v>583</v>
      </c>
      <c r="C44" s="388"/>
      <c r="D44" s="388"/>
      <c r="E44" s="388"/>
      <c r="F44" s="388"/>
      <c r="G44" s="388"/>
      <c r="H44" s="388"/>
      <c r="I44" s="388"/>
      <c r="J44" s="388"/>
      <c r="K44" s="388"/>
      <c r="L44" s="388"/>
      <c r="M44" s="388"/>
      <c r="N44" s="388"/>
    </row>
    <row r="45" spans="1:15" x14ac:dyDescent="0.2">
      <c r="A45" s="391">
        <v>37</v>
      </c>
      <c r="B45" s="392" t="s">
        <v>578</v>
      </c>
      <c r="C45" s="392"/>
      <c r="D45" s="392"/>
      <c r="E45" s="392"/>
      <c r="F45" s="392"/>
      <c r="G45" s="392"/>
      <c r="H45" s="392"/>
      <c r="I45" s="392"/>
      <c r="J45" s="392"/>
      <c r="K45" s="392"/>
      <c r="L45" s="392"/>
      <c r="M45" s="392"/>
      <c r="N45" s="392"/>
    </row>
    <row r="46" spans="1:15" x14ac:dyDescent="0.2">
      <c r="A46" s="391">
        <v>38</v>
      </c>
      <c r="B46" s="392" t="s">
        <v>579</v>
      </c>
      <c r="C46" s="392"/>
      <c r="D46" s="392"/>
      <c r="E46" s="392"/>
      <c r="F46" s="392"/>
      <c r="G46" s="392"/>
      <c r="H46" s="392"/>
      <c r="I46" s="392"/>
      <c r="J46" s="392"/>
      <c r="K46" s="392"/>
      <c r="L46" s="392"/>
      <c r="M46" s="392"/>
      <c r="N46" s="392"/>
    </row>
    <row r="47" spans="1:15" x14ac:dyDescent="0.2">
      <c r="A47" s="400">
        <v>39</v>
      </c>
      <c r="B47" s="401" t="s">
        <v>580</v>
      </c>
      <c r="C47" s="401"/>
      <c r="D47" s="401"/>
      <c r="E47" s="401"/>
      <c r="F47" s="401"/>
      <c r="G47" s="401"/>
      <c r="H47" s="401"/>
      <c r="I47" s="401"/>
      <c r="J47" s="401"/>
      <c r="K47" s="401"/>
      <c r="L47" s="401"/>
      <c r="M47" s="401"/>
      <c r="N47" s="401"/>
    </row>
    <row r="48" spans="1:15" x14ac:dyDescent="0.2">
      <c r="A48" s="10">
        <v>40</v>
      </c>
    </row>
    <row r="49" spans="1:15" x14ac:dyDescent="0.2">
      <c r="A49" s="400">
        <v>41</v>
      </c>
      <c r="B49" s="401" t="s">
        <v>175</v>
      </c>
      <c r="C49" s="402">
        <v>0.95437899999999998</v>
      </c>
      <c r="D49" s="402">
        <f>$C$49</f>
        <v>0.95437899999999998</v>
      </c>
      <c r="E49" s="402">
        <f t="shared" ref="E49:N49" si="10">$C$49</f>
        <v>0.95437899999999998</v>
      </c>
      <c r="F49" s="402">
        <f t="shared" si="10"/>
        <v>0.95437899999999998</v>
      </c>
      <c r="G49" s="402">
        <f t="shared" si="10"/>
        <v>0.95437899999999998</v>
      </c>
      <c r="H49" s="402">
        <f t="shared" si="10"/>
        <v>0.95437899999999998</v>
      </c>
      <c r="I49" s="402">
        <f t="shared" si="10"/>
        <v>0.95437899999999998</v>
      </c>
      <c r="J49" s="402">
        <f t="shared" si="10"/>
        <v>0.95437899999999998</v>
      </c>
      <c r="K49" s="402">
        <f t="shared" si="10"/>
        <v>0.95437899999999998</v>
      </c>
      <c r="L49" s="402">
        <f t="shared" si="10"/>
        <v>0.95437899999999998</v>
      </c>
      <c r="M49" s="402">
        <f t="shared" si="10"/>
        <v>0.95437899999999998</v>
      </c>
      <c r="N49" s="402">
        <f t="shared" si="10"/>
        <v>0.95437899999999998</v>
      </c>
    </row>
    <row r="50" spans="1:15" ht="13.5" thickBot="1" x14ac:dyDescent="0.25">
      <c r="A50" s="10">
        <v>42</v>
      </c>
    </row>
    <row r="51" spans="1:15" ht="13.5" thickBot="1" x14ac:dyDescent="0.25">
      <c r="A51" s="403">
        <v>43</v>
      </c>
      <c r="B51" s="404" t="s">
        <v>581</v>
      </c>
      <c r="C51" s="405">
        <f>ROUND(C49*C23,2)</f>
        <v>149393.29999999999</v>
      </c>
      <c r="D51" s="405">
        <f>ROUND(D49*D23,2)</f>
        <v>-80373.820000000007</v>
      </c>
      <c r="E51" s="405">
        <f t="shared" ref="E51:N51" si="11">ROUND(E49*E23,2)</f>
        <v>98805.119999999995</v>
      </c>
      <c r="F51" s="405">
        <f t="shared" si="11"/>
        <v>-109285.84</v>
      </c>
      <c r="G51" s="405">
        <f t="shared" si="11"/>
        <v>-44469.14</v>
      </c>
      <c r="H51" s="405">
        <f t="shared" si="11"/>
        <v>-168323.02</v>
      </c>
      <c r="I51" s="405">
        <f t="shared" si="11"/>
        <v>26838.35</v>
      </c>
      <c r="J51" s="405">
        <f t="shared" si="11"/>
        <v>-234764.35</v>
      </c>
      <c r="K51" s="405">
        <f t="shared" si="11"/>
        <v>-9799.43</v>
      </c>
      <c r="L51" s="405">
        <f t="shared" si="11"/>
        <v>54296.56</v>
      </c>
      <c r="M51" s="405">
        <f t="shared" si="11"/>
        <v>260753.32</v>
      </c>
      <c r="N51" s="407">
        <f t="shared" si="11"/>
        <v>-923008.67</v>
      </c>
      <c r="O51" s="399">
        <f>SUM(C51:N51)</f>
        <v>-979937.62000000011</v>
      </c>
    </row>
    <row r="52" spans="1:15" ht="13.5" thickBot="1" x14ac:dyDescent="0.25">
      <c r="A52" s="10">
        <v>44</v>
      </c>
      <c r="C52" s="399"/>
      <c r="D52" s="399"/>
      <c r="E52" s="399"/>
      <c r="F52" s="399"/>
      <c r="G52" s="399"/>
      <c r="H52" s="399"/>
      <c r="I52" s="399"/>
      <c r="J52" s="399"/>
      <c r="K52" s="399"/>
      <c r="L52" s="399"/>
      <c r="M52" s="399"/>
      <c r="N52" s="399"/>
      <c r="O52" s="399"/>
    </row>
    <row r="53" spans="1:15" ht="13.5" thickBot="1" x14ac:dyDescent="0.25">
      <c r="A53" s="403">
        <v>45</v>
      </c>
      <c r="B53" s="404" t="s">
        <v>292</v>
      </c>
      <c r="C53" s="405">
        <f>ROUND(C33*C49,2)</f>
        <v>112727.7</v>
      </c>
      <c r="D53" s="405">
        <f>ROUND(D33*D49,2)</f>
        <v>124655.86</v>
      </c>
      <c r="E53" s="405">
        <f t="shared" ref="E53:N53" si="12">ROUND(E33*E49,2)</f>
        <v>116050.57</v>
      </c>
      <c r="F53" s="405">
        <f t="shared" si="12"/>
        <v>119047.64</v>
      </c>
      <c r="G53" s="405">
        <f t="shared" si="12"/>
        <v>66080.05</v>
      </c>
      <c r="H53" s="405">
        <f t="shared" si="12"/>
        <v>-7517.74</v>
      </c>
      <c r="I53" s="405">
        <f t="shared" si="12"/>
        <v>-9996.7900000000009</v>
      </c>
      <c r="J53" s="405">
        <f t="shared" si="12"/>
        <v>-11506.1</v>
      </c>
      <c r="K53" s="405">
        <f t="shared" si="12"/>
        <v>-10626.9</v>
      </c>
      <c r="L53" s="405">
        <f t="shared" si="12"/>
        <v>-11009.49</v>
      </c>
      <c r="M53" s="405">
        <f t="shared" si="12"/>
        <v>-9865.16</v>
      </c>
      <c r="N53" s="407">
        <f t="shared" si="12"/>
        <v>-9748.6200000000008</v>
      </c>
      <c r="O53" s="399">
        <f>SUM(C53:N53)</f>
        <v>468291.02000000014</v>
      </c>
    </row>
    <row r="55" spans="1:15" x14ac:dyDescent="0.2">
      <c r="B55" s="415"/>
      <c r="C55" s="416"/>
      <c r="D55" s="416"/>
      <c r="E55" s="416"/>
      <c r="F55" s="416"/>
      <c r="G55" s="416"/>
    </row>
    <row r="56" spans="1:15" x14ac:dyDescent="0.2">
      <c r="B56" s="416"/>
      <c r="C56" s="416"/>
      <c r="D56" s="416"/>
      <c r="E56" s="416"/>
      <c r="F56" s="416"/>
      <c r="G56" s="416"/>
    </row>
    <row r="57" spans="1:15" x14ac:dyDescent="0.2">
      <c r="B57" s="416"/>
      <c r="C57" s="416"/>
      <c r="D57" s="416"/>
      <c r="E57" s="427"/>
      <c r="F57" s="416"/>
      <c r="G57" s="416"/>
    </row>
    <row r="58" spans="1:15" x14ac:dyDescent="0.2">
      <c r="B58" s="415"/>
      <c r="C58" s="416"/>
      <c r="D58" s="416"/>
      <c r="E58" s="416"/>
      <c r="F58" s="416"/>
      <c r="G58" s="416"/>
    </row>
    <row r="59" spans="1:15" x14ac:dyDescent="0.2">
      <c r="B59" s="416"/>
      <c r="C59" s="416"/>
      <c r="D59" s="416"/>
      <c r="E59" s="416"/>
      <c r="F59" s="416"/>
      <c r="G59" s="416"/>
    </row>
    <row r="60" spans="1:15" x14ac:dyDescent="0.2">
      <c r="B60" s="416"/>
      <c r="C60" s="416"/>
      <c r="D60" s="416"/>
      <c r="E60" s="416"/>
      <c r="F60" s="416"/>
      <c r="G60" s="418"/>
    </row>
    <row r="61" spans="1:15" x14ac:dyDescent="0.2">
      <c r="B61" s="419"/>
      <c r="C61" s="420"/>
      <c r="D61" s="420"/>
      <c r="E61" s="420"/>
      <c r="F61" s="420"/>
      <c r="G61" s="416"/>
    </row>
    <row r="62" spans="1:15" x14ac:dyDescent="0.2">
      <c r="B62" s="421"/>
      <c r="C62" s="422"/>
      <c r="D62" s="422"/>
      <c r="E62" s="422"/>
      <c r="F62" s="422"/>
      <c r="G62" s="416"/>
    </row>
    <row r="63" spans="1:15" x14ac:dyDescent="0.2">
      <c r="B63" s="419"/>
      <c r="C63" s="420"/>
      <c r="D63" s="420"/>
      <c r="E63" s="420"/>
      <c r="F63" s="420"/>
      <c r="G63" s="426"/>
    </row>
    <row r="64" spans="1:15" x14ac:dyDescent="0.2">
      <c r="B64" s="416"/>
      <c r="C64" s="416"/>
      <c r="D64" s="416"/>
      <c r="E64" s="416"/>
      <c r="F64" s="416"/>
      <c r="G64" s="416"/>
    </row>
    <row r="65" spans="2:7" x14ac:dyDescent="0.2">
      <c r="B65" s="416"/>
      <c r="C65" s="416"/>
      <c r="D65" s="416"/>
      <c r="E65" s="416"/>
      <c r="F65" s="416"/>
      <c r="G65" s="416"/>
    </row>
  </sheetData>
  <mergeCells count="4">
    <mergeCell ref="A1:O1"/>
    <mergeCell ref="A2:O2"/>
    <mergeCell ref="A3:O3"/>
    <mergeCell ref="A4:O4"/>
  </mergeCells>
  <printOptions horizontalCentered="1"/>
  <pageMargins left="0.45" right="0.45" top="0.75" bottom="0.75" header="0.3" footer="0.3"/>
  <pageSetup scale="60" orientation="landscape" blackAndWhite="1" r:id="rId1"/>
  <headerFooter>
    <oddHeader>&amp;RAdvice No. 2018-xx
Workpaper No. 4</oddHeader>
    <oddFooter>&amp;L&amp;F
&amp;A&amp;R&amp;D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599</v>
      </c>
      <c r="B4" s="275"/>
      <c r="C4" s="275"/>
      <c r="D4" s="275"/>
      <c r="E4" s="275"/>
      <c r="F4" s="275"/>
      <c r="G4" s="275"/>
      <c r="H4" s="275"/>
      <c r="I4" s="275"/>
      <c r="J4" s="275"/>
      <c r="K4" s="275"/>
      <c r="L4" s="275"/>
      <c r="M4" s="275"/>
      <c r="N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1003979</v>
      </c>
      <c r="D8" s="433"/>
      <c r="E8" s="433"/>
      <c r="F8" s="433"/>
      <c r="G8" s="433"/>
      <c r="H8" s="433"/>
      <c r="I8" s="433"/>
      <c r="J8" s="433"/>
      <c r="K8" s="433"/>
      <c r="L8" s="433"/>
      <c r="M8" s="433"/>
      <c r="N8" s="433"/>
      <c r="O8" s="433"/>
      <c r="P8" s="434"/>
    </row>
    <row r="9" spans="1:19" x14ac:dyDescent="0.2">
      <c r="A9" s="10">
        <f>A8+1</f>
        <v>2</v>
      </c>
      <c r="B9" s="246" t="s">
        <v>600</v>
      </c>
      <c r="C9" s="36">
        <v>17.750755848587264</v>
      </c>
      <c r="D9" s="36">
        <v>41.544478860085199</v>
      </c>
      <c r="E9" s="36">
        <v>35.210638143390902</v>
      </c>
      <c r="F9" s="36">
        <v>33.930175573776879</v>
      </c>
      <c r="G9" s="36">
        <v>26.973424521365576</v>
      </c>
      <c r="H9" s="36">
        <v>24.251405963789139</v>
      </c>
      <c r="I9" s="36">
        <v>20.967847554298341</v>
      </c>
      <c r="J9" s="36">
        <v>23.494686173939041</v>
      </c>
      <c r="K9" s="36">
        <v>22.769087374413111</v>
      </c>
      <c r="L9" s="36">
        <v>20.860109145417585</v>
      </c>
      <c r="M9" s="36">
        <v>26.719725911652013</v>
      </c>
      <c r="N9" s="36">
        <v>34.859695292779563</v>
      </c>
      <c r="O9" s="36">
        <v>42.328725485092704</v>
      </c>
      <c r="P9" s="36"/>
    </row>
    <row r="10" spans="1:19" x14ac:dyDescent="0.2">
      <c r="A10" s="10">
        <f t="shared" ref="A10:A46" si="1">A9+1</f>
        <v>3</v>
      </c>
      <c r="B10" s="246" t="s">
        <v>601</v>
      </c>
      <c r="C10" s="18">
        <f t="shared" ref="C10:O10" si="2">C8*C9</f>
        <v>17821386.106108792</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564</v>
      </c>
      <c r="C12" s="433">
        <v>571818087.43268919</v>
      </c>
      <c r="D12" s="433"/>
      <c r="E12" s="433"/>
      <c r="F12" s="433"/>
      <c r="G12" s="433"/>
      <c r="H12" s="433"/>
      <c r="I12" s="433"/>
      <c r="J12" s="433"/>
      <c r="K12" s="433"/>
      <c r="L12" s="433"/>
      <c r="M12" s="433"/>
      <c r="N12" s="433"/>
      <c r="O12" s="433"/>
      <c r="P12" s="434"/>
    </row>
    <row r="13" spans="1:19" x14ac:dyDescent="0.2">
      <c r="A13" s="10">
        <f t="shared" si="1"/>
        <v>6</v>
      </c>
      <c r="B13" s="246" t="s">
        <v>204</v>
      </c>
      <c r="C13" s="27">
        <v>3.3263000000000001E-2</v>
      </c>
      <c r="D13" s="27">
        <v>3.3263000000000001E-2</v>
      </c>
      <c r="E13" s="27">
        <v>3.3263000000000001E-2</v>
      </c>
      <c r="F13" s="27">
        <v>3.3263000000000001E-2</v>
      </c>
      <c r="G13" s="27">
        <v>3.3263000000000001E-2</v>
      </c>
      <c r="H13" s="27">
        <v>3.3263000000000001E-2</v>
      </c>
      <c r="I13" s="27">
        <v>3.3263000000000001E-2</v>
      </c>
      <c r="J13" s="27">
        <v>3.3263000000000001E-2</v>
      </c>
      <c r="K13" s="27">
        <v>3.3263000000000001E-2</v>
      </c>
      <c r="L13" s="27">
        <v>3.3263000000000001E-2</v>
      </c>
      <c r="M13" s="27">
        <v>3.3263000000000001E-2</v>
      </c>
      <c r="N13" s="27">
        <v>3.3263000000000001E-2</v>
      </c>
      <c r="O13" s="27">
        <v>3.3263000000000001E-2</v>
      </c>
      <c r="P13" s="28"/>
    </row>
    <row r="14" spans="1:19" x14ac:dyDescent="0.2">
      <c r="A14" s="10">
        <f t="shared" si="1"/>
        <v>7</v>
      </c>
      <c r="B14" s="246" t="s">
        <v>602</v>
      </c>
      <c r="C14" s="18">
        <f t="shared" ref="C14:O14" si="3">C12*C13</f>
        <v>19020385.04227354</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204</v>
      </c>
      <c r="C17" s="27">
        <v>3.3263000000000001E-2</v>
      </c>
      <c r="D17" s="27">
        <v>3.3263000000000001E-2</v>
      </c>
      <c r="E17" s="27">
        <v>3.3263000000000001E-2</v>
      </c>
      <c r="F17" s="27">
        <v>3.3263000000000001E-2</v>
      </c>
      <c r="G17" s="27">
        <v>3.3263000000000001E-2</v>
      </c>
      <c r="H17" s="27">
        <v>3.3263000000000001E-2</v>
      </c>
      <c r="I17" s="27">
        <v>3.3263000000000001E-2</v>
      </c>
      <c r="J17" s="27">
        <v>3.3263000000000001E-2</v>
      </c>
      <c r="K17" s="27">
        <v>3.3263000000000001E-2</v>
      </c>
      <c r="L17" s="27">
        <v>3.3263000000000001E-2</v>
      </c>
      <c r="M17" s="27">
        <v>3.3263000000000001E-2</v>
      </c>
      <c r="N17" s="27">
        <v>3.3263000000000001E-2</v>
      </c>
      <c r="O17" s="27">
        <v>3.3263000000000001E-2</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19020385.04227354</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-1198998.9361647479</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1388.2710053499641</v>
      </c>
      <c r="D24" s="18">
        <v>-6075.9398853995335</v>
      </c>
      <c r="E24" s="18">
        <v>-6075.9398853995335</v>
      </c>
      <c r="F24" s="18">
        <v>-6075.9398853995335</v>
      </c>
      <c r="G24" s="18">
        <v>-6075.9398853995335</v>
      </c>
      <c r="H24" s="18">
        <v>-6075.9398853995335</v>
      </c>
      <c r="I24" s="18">
        <v>-6075.9398853995335</v>
      </c>
      <c r="J24" s="18">
        <v>-6075.9398853995335</v>
      </c>
      <c r="K24" s="18">
        <v>-6075.9398853995335</v>
      </c>
      <c r="L24" s="18">
        <v>-6075.9398853995335</v>
      </c>
      <c r="M24" s="18">
        <v>-6075.9398853995335</v>
      </c>
      <c r="N24" s="18">
        <v>-6075.9398853995335</v>
      </c>
      <c r="O24" s="18">
        <v>-6075.9398853995335</v>
      </c>
      <c r="P24" s="36"/>
    </row>
    <row r="25" spans="1:16" x14ac:dyDescent="0.2">
      <c r="A25" s="10">
        <f t="shared" si="1"/>
        <v>18</v>
      </c>
    </row>
    <row r="26" spans="1:16" x14ac:dyDescent="0.2">
      <c r="A26" s="10">
        <f t="shared" si="1"/>
        <v>19</v>
      </c>
      <c r="B26" s="246" t="s">
        <v>604</v>
      </c>
      <c r="C26" s="18">
        <f>C22+C24</f>
        <v>-1197610.665159398</v>
      </c>
      <c r="D26" s="18">
        <f t="shared" ref="D26:O26" si="7">C26+D22+D24</f>
        <v>-1203686.6050447975</v>
      </c>
      <c r="E26" s="18">
        <f t="shared" si="7"/>
        <v>-1209762.5449301971</v>
      </c>
      <c r="F26" s="18">
        <f t="shared" si="7"/>
        <v>-1215838.4848155966</v>
      </c>
      <c r="G26" s="18">
        <f t="shared" si="7"/>
        <v>-1221914.4247009961</v>
      </c>
      <c r="H26" s="18">
        <f t="shared" si="7"/>
        <v>-1227990.3645863957</v>
      </c>
      <c r="I26" s="18">
        <f t="shared" si="7"/>
        <v>-1234066.3044717952</v>
      </c>
      <c r="J26" s="18">
        <f t="shared" si="7"/>
        <v>-1240142.2443571948</v>
      </c>
      <c r="K26" s="18">
        <f t="shared" si="7"/>
        <v>-1246218.1842425943</v>
      </c>
      <c r="L26" s="18">
        <f t="shared" si="7"/>
        <v>-1252294.1241279938</v>
      </c>
      <c r="M26" s="18">
        <f t="shared" si="7"/>
        <v>-1258370.0640133934</v>
      </c>
      <c r="N26" s="18">
        <f t="shared" si="7"/>
        <v>-1264446.0038987929</v>
      </c>
      <c r="O26" s="18">
        <f t="shared" si="7"/>
        <v>-1270521.9437841924</v>
      </c>
    </row>
    <row r="27" spans="1:16" x14ac:dyDescent="0.2">
      <c r="A27" s="10">
        <f t="shared" si="1"/>
        <v>20</v>
      </c>
    </row>
    <row r="28" spans="1:16" x14ac:dyDescent="0.2">
      <c r="A28" s="10">
        <f t="shared" si="1"/>
        <v>21</v>
      </c>
      <c r="B28" s="435" t="s">
        <v>571</v>
      </c>
      <c r="C28" s="436">
        <v>1.201E-3</v>
      </c>
      <c r="D28" s="436">
        <v>1.201E-3</v>
      </c>
      <c r="E28" s="436">
        <v>1.201E-3</v>
      </c>
      <c r="F28" s="436">
        <v>1.201E-3</v>
      </c>
      <c r="G28" s="436">
        <v>1.201E-3</v>
      </c>
      <c r="H28" s="436">
        <v>0</v>
      </c>
      <c r="I28" s="436">
        <v>0</v>
      </c>
      <c r="J28" s="436">
        <v>0</v>
      </c>
      <c r="K28" s="436">
        <v>0</v>
      </c>
      <c r="L28" s="436">
        <v>0</v>
      </c>
      <c r="M28" s="436">
        <v>0</v>
      </c>
      <c r="N28" s="436">
        <v>0</v>
      </c>
      <c r="O28" s="436">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686753.5230066597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-1884364.1881660577</v>
      </c>
      <c r="D34" s="18">
        <f>C34+D22+D24-D32</f>
        <v>-1890440.1280514572</v>
      </c>
      <c r="E34" s="18">
        <f t="shared" ref="E34:O34" si="9">D34+E22+E24-E32</f>
        <v>-1896516.0679368568</v>
      </c>
      <c r="F34" s="18">
        <f t="shared" si="9"/>
        <v>-1902592.0078222563</v>
      </c>
      <c r="G34" s="18">
        <f t="shared" si="9"/>
        <v>-1908667.9477076558</v>
      </c>
      <c r="H34" s="18">
        <f t="shared" si="9"/>
        <v>-1914743.8875930554</v>
      </c>
      <c r="I34" s="18">
        <f t="shared" si="9"/>
        <v>-1920819.8274784549</v>
      </c>
      <c r="J34" s="18">
        <f t="shared" si="9"/>
        <v>-1926895.7673638545</v>
      </c>
      <c r="K34" s="18">
        <f t="shared" si="9"/>
        <v>-1932971.707249254</v>
      </c>
      <c r="L34" s="18">
        <f t="shared" si="9"/>
        <v>-1939047.6471346535</v>
      </c>
      <c r="M34" s="18">
        <f t="shared" si="9"/>
        <v>-1945123.5870200531</v>
      </c>
      <c r="N34" s="18">
        <f t="shared" si="9"/>
        <v>-1951199.5269054526</v>
      </c>
      <c r="O34" s="18">
        <f t="shared" si="9"/>
        <v>-1957275.4667908521</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-1141909.8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655423.14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414"/>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5</oddHeader>
    <oddFooter>&amp;L&amp;F
&amp;A&amp;R&amp;D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111</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120997</v>
      </c>
      <c r="D8" s="433"/>
      <c r="E8" s="433"/>
      <c r="F8" s="433"/>
      <c r="G8" s="433"/>
      <c r="H8" s="433"/>
      <c r="I8" s="433"/>
      <c r="J8" s="433"/>
      <c r="K8" s="433"/>
      <c r="L8" s="433"/>
      <c r="M8" s="433"/>
      <c r="N8" s="433"/>
      <c r="O8" s="433"/>
      <c r="P8" s="434"/>
    </row>
    <row r="9" spans="1:19" x14ac:dyDescent="0.2">
      <c r="A9" s="10">
        <f>A8+1</f>
        <v>2</v>
      </c>
      <c r="B9" s="246" t="s">
        <v>600</v>
      </c>
      <c r="C9" s="36">
        <v>29.636145086482603</v>
      </c>
      <c r="D9" s="36">
        <v>73.943666383955005</v>
      </c>
      <c r="E9" s="36">
        <v>60.143431961253562</v>
      </c>
      <c r="F9" s="36">
        <v>66.551550329493466</v>
      </c>
      <c r="G9" s="36">
        <v>53.596717664522252</v>
      </c>
      <c r="H9" s="36">
        <v>57.79750681651435</v>
      </c>
      <c r="I9" s="36">
        <v>53.586370506005039</v>
      </c>
      <c r="J9" s="36">
        <v>59.168691484601418</v>
      </c>
      <c r="K9" s="36">
        <v>61.699927908402742</v>
      </c>
      <c r="L9" s="36">
        <v>56.707021144802297</v>
      </c>
      <c r="M9" s="36">
        <v>56.634004578990698</v>
      </c>
      <c r="N9" s="36">
        <v>61.370303707539065</v>
      </c>
      <c r="O9" s="36">
        <v>70.670807513920053</v>
      </c>
      <c r="P9" s="36"/>
    </row>
    <row r="10" spans="1:19" x14ac:dyDescent="0.2">
      <c r="A10" s="10">
        <f t="shared" ref="A10:A46" si="1">A9+1</f>
        <v>3</v>
      </c>
      <c r="B10" s="246" t="s">
        <v>601</v>
      </c>
      <c r="C10" s="18">
        <f t="shared" ref="C10:O10" si="2">C8*C9</f>
        <v>3585884.6470291354</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564</v>
      </c>
      <c r="C12" s="433">
        <v>120989947.11760621</v>
      </c>
      <c r="D12" s="433"/>
      <c r="E12" s="433"/>
      <c r="F12" s="433"/>
      <c r="G12" s="433"/>
      <c r="H12" s="433"/>
      <c r="I12" s="433"/>
      <c r="J12" s="433"/>
      <c r="K12" s="433"/>
      <c r="L12" s="433"/>
      <c r="M12" s="433"/>
      <c r="N12" s="433"/>
      <c r="O12" s="433"/>
      <c r="P12" s="434"/>
    </row>
    <row r="13" spans="1:19" x14ac:dyDescent="0.2">
      <c r="A13" s="10">
        <f t="shared" si="1"/>
        <v>6</v>
      </c>
      <c r="B13" s="246" t="s">
        <v>204</v>
      </c>
      <c r="C13" s="27">
        <v>3.0960999999999999E-2</v>
      </c>
      <c r="D13" s="27">
        <v>3.0960999999999999E-2</v>
      </c>
      <c r="E13" s="27">
        <v>3.0960999999999999E-2</v>
      </c>
      <c r="F13" s="27">
        <v>3.0960999999999999E-2</v>
      </c>
      <c r="G13" s="27">
        <v>3.0960999999999999E-2</v>
      </c>
      <c r="H13" s="27">
        <v>3.0960999999999999E-2</v>
      </c>
      <c r="I13" s="27">
        <v>3.0960999999999999E-2</v>
      </c>
      <c r="J13" s="27">
        <v>3.0960999999999999E-2</v>
      </c>
      <c r="K13" s="27">
        <v>3.0960999999999999E-2</v>
      </c>
      <c r="L13" s="27">
        <v>3.0960999999999999E-2</v>
      </c>
      <c r="M13" s="27">
        <v>3.0960999999999999E-2</v>
      </c>
      <c r="N13" s="27">
        <v>3.0960999999999999E-2</v>
      </c>
      <c r="O13" s="27">
        <v>3.0960999999999999E-2</v>
      </c>
      <c r="P13" s="28"/>
    </row>
    <row r="14" spans="1:19" x14ac:dyDescent="0.2">
      <c r="A14" s="10">
        <f t="shared" si="1"/>
        <v>7</v>
      </c>
      <c r="B14" s="246" t="s">
        <v>602</v>
      </c>
      <c r="C14" s="18">
        <f t="shared" ref="C14:O14" si="3">C12*C13</f>
        <v>3745969.7527082055</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204</v>
      </c>
      <c r="C17" s="27">
        <v>3.0960999999999999E-2</v>
      </c>
      <c r="D17" s="27">
        <v>3.0960999999999999E-2</v>
      </c>
      <c r="E17" s="27">
        <v>3.0960999999999999E-2</v>
      </c>
      <c r="F17" s="27">
        <v>3.0960999999999999E-2</v>
      </c>
      <c r="G17" s="27">
        <v>3.0960999999999999E-2</v>
      </c>
      <c r="H17" s="27">
        <v>3.0960999999999999E-2</v>
      </c>
      <c r="I17" s="27">
        <v>3.0960999999999999E-2</v>
      </c>
      <c r="J17" s="27">
        <v>3.0960999999999999E-2</v>
      </c>
      <c r="K17" s="27">
        <v>3.0960999999999999E-2</v>
      </c>
      <c r="L17" s="27">
        <v>3.0960999999999999E-2</v>
      </c>
      <c r="M17" s="27">
        <v>3.0960999999999999E-2</v>
      </c>
      <c r="N17" s="27">
        <v>3.0960999999999999E-2</v>
      </c>
      <c r="O17" s="27">
        <v>3.0960999999999999E-2</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3745969.7527082055</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-160085.10567907011</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-525.25815152602877</v>
      </c>
      <c r="D24" s="18">
        <v>-1060.4974555751176</v>
      </c>
      <c r="E24" s="18">
        <v>-1060.4974555751176</v>
      </c>
      <c r="F24" s="18">
        <v>-1060.4974555751176</v>
      </c>
      <c r="G24" s="18">
        <v>-1060.4974555751176</v>
      </c>
      <c r="H24" s="18">
        <v>-1060.4974555751176</v>
      </c>
      <c r="I24" s="18">
        <v>-1060.4974555751176</v>
      </c>
      <c r="J24" s="18">
        <v>-1060.4974555751176</v>
      </c>
      <c r="K24" s="18">
        <v>-1060.4974555751176</v>
      </c>
      <c r="L24" s="18">
        <v>-1060.4974555751176</v>
      </c>
      <c r="M24" s="18">
        <v>-1060.4974555751176</v>
      </c>
      <c r="N24" s="18">
        <v>-1060.4974555751176</v>
      </c>
      <c r="O24" s="18">
        <v>-1060.4974555751176</v>
      </c>
      <c r="P24" s="36"/>
    </row>
    <row r="25" spans="1:16" x14ac:dyDescent="0.2">
      <c r="A25" s="10">
        <f t="shared" si="1"/>
        <v>18</v>
      </c>
    </row>
    <row r="26" spans="1:16" x14ac:dyDescent="0.2">
      <c r="A26" s="10">
        <f t="shared" si="1"/>
        <v>19</v>
      </c>
      <c r="B26" s="246" t="s">
        <v>604</v>
      </c>
      <c r="C26" s="18">
        <f>C22+C24</f>
        <v>-160610.36383059615</v>
      </c>
      <c r="D26" s="18">
        <f t="shared" ref="D26:O26" si="7">C26+D22+D24</f>
        <v>-161670.86128617128</v>
      </c>
      <c r="E26" s="18">
        <f t="shared" si="7"/>
        <v>-162731.3587417464</v>
      </c>
      <c r="F26" s="18">
        <f t="shared" si="7"/>
        <v>-163791.85619732153</v>
      </c>
      <c r="G26" s="18">
        <f t="shared" si="7"/>
        <v>-164852.35365289665</v>
      </c>
      <c r="H26" s="18">
        <f t="shared" si="7"/>
        <v>-165912.85110847178</v>
      </c>
      <c r="I26" s="18">
        <f t="shared" si="7"/>
        <v>-166973.3485640469</v>
      </c>
      <c r="J26" s="18">
        <f t="shared" si="7"/>
        <v>-168033.84601962203</v>
      </c>
      <c r="K26" s="18">
        <f t="shared" si="7"/>
        <v>-169094.34347519715</v>
      </c>
      <c r="L26" s="18">
        <f t="shared" si="7"/>
        <v>-170154.84093077228</v>
      </c>
      <c r="M26" s="18">
        <f t="shared" si="7"/>
        <v>-171215.3383863474</v>
      </c>
      <c r="N26" s="18">
        <f t="shared" si="7"/>
        <v>-172275.83584192253</v>
      </c>
      <c r="O26" s="18">
        <f t="shared" si="7"/>
        <v>-173336.33329749765</v>
      </c>
    </row>
    <row r="27" spans="1:16" x14ac:dyDescent="0.2">
      <c r="A27" s="10">
        <f t="shared" si="1"/>
        <v>20</v>
      </c>
    </row>
    <row r="28" spans="1:16"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161521.57940200428</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-322131.94323260046</v>
      </c>
      <c r="D34" s="18">
        <f>C34+D22+D24-D32</f>
        <v>-323192.44068817556</v>
      </c>
      <c r="E34" s="18">
        <f t="shared" ref="E34:O34" si="9">D34+E22+E24-E32</f>
        <v>-324252.93814375065</v>
      </c>
      <c r="F34" s="18">
        <f t="shared" si="9"/>
        <v>-325313.43559932575</v>
      </c>
      <c r="G34" s="18">
        <f t="shared" si="9"/>
        <v>-326373.93305490084</v>
      </c>
      <c r="H34" s="18">
        <f t="shared" si="9"/>
        <v>-327434.43051047594</v>
      </c>
      <c r="I34" s="18">
        <f t="shared" si="9"/>
        <v>-328494.92796605104</v>
      </c>
      <c r="J34" s="18">
        <f t="shared" si="9"/>
        <v>-329555.42542162613</v>
      </c>
      <c r="K34" s="18">
        <f t="shared" si="9"/>
        <v>-330615.92287720123</v>
      </c>
      <c r="L34" s="18">
        <f t="shared" si="9"/>
        <v>-331676.42033277632</v>
      </c>
      <c r="M34" s="18">
        <f t="shared" si="9"/>
        <v>-332736.91778835142</v>
      </c>
      <c r="N34" s="18">
        <f t="shared" si="9"/>
        <v>-333797.41524392652</v>
      </c>
      <c r="O34" s="18">
        <f t="shared" si="9"/>
        <v>-334857.91269950161</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-152462.81</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154152.79999999999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414"/>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6</oddHeader>
    <oddFooter>&amp;L&amp;F
&amp;A&amp;R&amp;D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112</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7931</v>
      </c>
      <c r="D8" s="433"/>
      <c r="E8" s="433"/>
      <c r="F8" s="433"/>
      <c r="G8" s="433"/>
      <c r="H8" s="433"/>
      <c r="I8" s="433"/>
      <c r="J8" s="433"/>
      <c r="K8" s="433"/>
      <c r="L8" s="433"/>
      <c r="M8" s="433"/>
      <c r="N8" s="433"/>
      <c r="O8" s="433"/>
      <c r="P8" s="434"/>
    </row>
    <row r="9" spans="1:19" x14ac:dyDescent="0.2">
      <c r="A9" s="10">
        <f>A8+1</f>
        <v>2</v>
      </c>
      <c r="B9" s="246" t="s">
        <v>600</v>
      </c>
      <c r="C9" s="36">
        <v>467.42518127117881</v>
      </c>
      <c r="D9" s="36">
        <v>1059.1324362905571</v>
      </c>
      <c r="E9" s="36">
        <v>971.20698556083789</v>
      </c>
      <c r="F9" s="36">
        <v>1062.8999500086138</v>
      </c>
      <c r="G9" s="36">
        <v>846.40635669684934</v>
      </c>
      <c r="H9" s="36">
        <v>904.8165526333072</v>
      </c>
      <c r="I9" s="36">
        <v>963.64966145090727</v>
      </c>
      <c r="J9" s="36">
        <v>987.12127943093151</v>
      </c>
      <c r="K9" s="36">
        <v>940.23712631017042</v>
      </c>
      <c r="L9" s="36">
        <v>1003.3412951498276</v>
      </c>
      <c r="M9" s="36">
        <v>956.25282034214081</v>
      </c>
      <c r="N9" s="36">
        <v>975.92625770996824</v>
      </c>
      <c r="O9" s="36">
        <v>1114.6292784158879</v>
      </c>
      <c r="P9" s="36"/>
    </row>
    <row r="10" spans="1:19" x14ac:dyDescent="0.2">
      <c r="A10" s="10">
        <f t="shared" ref="A10:A46" si="1">A9+1</f>
        <v>3</v>
      </c>
      <c r="B10" s="246" t="s">
        <v>601</v>
      </c>
      <c r="C10" s="18">
        <f t="shared" ref="C10:O10" si="2">C8*C9</f>
        <v>3707149.1126617193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564</v>
      </c>
      <c r="C12" s="433">
        <v>119510423.71096371</v>
      </c>
      <c r="D12" s="433"/>
      <c r="E12" s="433"/>
      <c r="F12" s="433"/>
      <c r="G12" s="433"/>
      <c r="H12" s="433"/>
      <c r="I12" s="433"/>
      <c r="J12" s="433"/>
      <c r="K12" s="433"/>
      <c r="L12" s="433"/>
      <c r="M12" s="433"/>
      <c r="N12" s="433"/>
      <c r="O12" s="433"/>
      <c r="P12" s="434"/>
    </row>
    <row r="13" spans="1:19" x14ac:dyDescent="0.2">
      <c r="A13" s="10">
        <f t="shared" si="1"/>
        <v>6</v>
      </c>
      <c r="B13" s="246" t="s">
        <v>204</v>
      </c>
      <c r="C13" s="27">
        <v>3.0816E-2</v>
      </c>
      <c r="D13" s="27">
        <v>3.0816E-2</v>
      </c>
      <c r="E13" s="27">
        <v>3.0816E-2</v>
      </c>
      <c r="F13" s="27">
        <v>3.0816E-2</v>
      </c>
      <c r="G13" s="27">
        <v>3.0816E-2</v>
      </c>
      <c r="H13" s="27">
        <v>3.0816E-2</v>
      </c>
      <c r="I13" s="27">
        <v>3.0816E-2</v>
      </c>
      <c r="J13" s="27">
        <v>3.0816E-2</v>
      </c>
      <c r="K13" s="27">
        <v>3.0816E-2</v>
      </c>
      <c r="L13" s="27">
        <v>3.0816E-2</v>
      </c>
      <c r="M13" s="27">
        <v>3.0816E-2</v>
      </c>
      <c r="N13" s="27">
        <v>3.0816E-2</v>
      </c>
      <c r="O13" s="27">
        <v>3.0816E-2</v>
      </c>
      <c r="P13" s="28"/>
    </row>
    <row r="14" spans="1:19" x14ac:dyDescent="0.2">
      <c r="A14" s="10">
        <f t="shared" si="1"/>
        <v>7</v>
      </c>
      <c r="B14" s="246" t="s">
        <v>602</v>
      </c>
      <c r="C14" s="18">
        <f t="shared" ref="C14:O14" si="3">C12*C13</f>
        <v>3682833.2170770578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204</v>
      </c>
      <c r="C17" s="27">
        <v>3.0816E-2</v>
      </c>
      <c r="D17" s="27">
        <v>3.0816E-2</v>
      </c>
      <c r="E17" s="27">
        <v>3.0816E-2</v>
      </c>
      <c r="F17" s="27">
        <v>3.0816E-2</v>
      </c>
      <c r="G17" s="27">
        <v>3.0816E-2</v>
      </c>
      <c r="H17" s="27">
        <v>3.0816E-2</v>
      </c>
      <c r="I17" s="27">
        <v>3.0816E-2</v>
      </c>
      <c r="J17" s="27">
        <v>3.0816E-2</v>
      </c>
      <c r="K17" s="27">
        <v>3.0816E-2</v>
      </c>
      <c r="L17" s="27">
        <v>3.0816E-2</v>
      </c>
      <c r="M17" s="27">
        <v>3.0816E-2</v>
      </c>
      <c r="N17" s="27">
        <v>3.0816E-2</v>
      </c>
      <c r="O17" s="27">
        <v>3.0816E-2</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3682833.2170770578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24315.895584661514</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-214.03711678717517</v>
      </c>
      <c r="D24" s="18">
        <v>-432.14144719500928</v>
      </c>
      <c r="E24" s="18">
        <v>-432.14144719500928</v>
      </c>
      <c r="F24" s="18">
        <v>-432.14144719500928</v>
      </c>
      <c r="G24" s="18">
        <v>-432.14144719500928</v>
      </c>
      <c r="H24" s="18">
        <v>-432.14144719500928</v>
      </c>
      <c r="I24" s="18">
        <v>-432.14144719500928</v>
      </c>
      <c r="J24" s="18">
        <v>-432.14144719500928</v>
      </c>
      <c r="K24" s="18">
        <v>-432.14144719500928</v>
      </c>
      <c r="L24" s="18">
        <v>-432.14144719500928</v>
      </c>
      <c r="M24" s="18">
        <v>-432.14144719500928</v>
      </c>
      <c r="N24" s="18">
        <v>-432.14144719500928</v>
      </c>
      <c r="O24" s="18">
        <v>-432.14144719500928</v>
      </c>
      <c r="P24" s="36"/>
    </row>
    <row r="25" spans="1:16" x14ac:dyDescent="0.2">
      <c r="A25" s="10">
        <f t="shared" si="1"/>
        <v>18</v>
      </c>
    </row>
    <row r="26" spans="1:16" x14ac:dyDescent="0.2">
      <c r="A26" s="10">
        <f t="shared" si="1"/>
        <v>19</v>
      </c>
      <c r="B26" s="246" t="s">
        <v>604</v>
      </c>
      <c r="C26" s="18">
        <f>C22+C24</f>
        <v>24101.858467874339</v>
      </c>
      <c r="D26" s="18">
        <f t="shared" ref="D26:O26" si="7">C26+D22+D24</f>
        <v>23669.717020679331</v>
      </c>
      <c r="E26" s="18">
        <f t="shared" si="7"/>
        <v>23237.575573484322</v>
      </c>
      <c r="F26" s="18">
        <f t="shared" si="7"/>
        <v>22805.434126289314</v>
      </c>
      <c r="G26" s="18">
        <f t="shared" si="7"/>
        <v>22373.292679094306</v>
      </c>
      <c r="H26" s="18">
        <f t="shared" si="7"/>
        <v>21941.151231899297</v>
      </c>
      <c r="I26" s="18">
        <f t="shared" si="7"/>
        <v>21509.009784704289</v>
      </c>
      <c r="J26" s="18">
        <f t="shared" si="7"/>
        <v>21076.868337509281</v>
      </c>
      <c r="K26" s="18">
        <f t="shared" si="7"/>
        <v>20644.726890314272</v>
      </c>
      <c r="L26" s="18">
        <f t="shared" si="7"/>
        <v>20212.585443119264</v>
      </c>
      <c r="M26" s="18">
        <f t="shared" si="7"/>
        <v>19780.443995924255</v>
      </c>
      <c r="N26" s="18">
        <f t="shared" si="7"/>
        <v>19348.302548729247</v>
      </c>
      <c r="O26" s="18">
        <f t="shared" si="7"/>
        <v>18916.161101534239</v>
      </c>
    </row>
    <row r="27" spans="1:16" x14ac:dyDescent="0.2">
      <c r="A27" s="10">
        <f t="shared" si="1"/>
        <v>20</v>
      </c>
    </row>
    <row r="28" spans="1:16"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159546.41565413657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-135444.55718626222</v>
      </c>
      <c r="D34" s="18">
        <f>C34+D22+D24-D32</f>
        <v>-135876.69863345721</v>
      </c>
      <c r="E34" s="18">
        <f t="shared" ref="E34:O34" si="9">D34+E22+E24-E32</f>
        <v>-136308.84008065221</v>
      </c>
      <c r="F34" s="18">
        <f t="shared" si="9"/>
        <v>-136740.98152784721</v>
      </c>
      <c r="G34" s="18">
        <f t="shared" si="9"/>
        <v>-137173.12297504221</v>
      </c>
      <c r="H34" s="18">
        <f t="shared" si="9"/>
        <v>-137605.2644222372</v>
      </c>
      <c r="I34" s="18">
        <f t="shared" si="9"/>
        <v>-138037.4058694322</v>
      </c>
      <c r="J34" s="18">
        <f t="shared" si="9"/>
        <v>-138469.5473166272</v>
      </c>
      <c r="K34" s="18">
        <f t="shared" si="9"/>
        <v>-138901.6887638222</v>
      </c>
      <c r="L34" s="18">
        <f t="shared" si="9"/>
        <v>-139333.83021101719</v>
      </c>
      <c r="M34" s="18">
        <f t="shared" si="9"/>
        <v>-139765.97165821219</v>
      </c>
      <c r="N34" s="18">
        <f t="shared" si="9"/>
        <v>-140198.11310540719</v>
      </c>
      <c r="O34" s="18">
        <f t="shared" si="9"/>
        <v>-140630.25455260219</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23158.12</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152267.75</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414"/>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7</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389</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130</v>
      </c>
      <c r="D8" s="433"/>
      <c r="E8" s="433"/>
      <c r="F8" s="433"/>
      <c r="G8" s="433"/>
      <c r="H8" s="433"/>
      <c r="I8" s="433"/>
      <c r="J8" s="433"/>
      <c r="K8" s="433"/>
      <c r="L8" s="433"/>
      <c r="M8" s="433"/>
      <c r="N8" s="433"/>
      <c r="O8" s="433"/>
      <c r="P8" s="434"/>
    </row>
    <row r="9" spans="1:19" x14ac:dyDescent="0.2">
      <c r="A9" s="10">
        <f>A8+1</f>
        <v>2</v>
      </c>
      <c r="B9" s="246" t="s">
        <v>600</v>
      </c>
      <c r="C9" s="36">
        <v>3471.4009153009656</v>
      </c>
      <c r="D9" s="36">
        <v>8326.5232513282717</v>
      </c>
      <c r="E9" s="36">
        <v>6548.3708321400463</v>
      </c>
      <c r="F9" s="36">
        <v>6673.2385502899833</v>
      </c>
      <c r="G9" s="36">
        <v>6661.4268844285625</v>
      </c>
      <c r="H9" s="36">
        <v>8533.0178887833099</v>
      </c>
      <c r="I9" s="36">
        <v>7257.8795693219054</v>
      </c>
      <c r="J9" s="36">
        <v>7306.9627387873243</v>
      </c>
      <c r="K9" s="36">
        <v>9439.8372921680093</v>
      </c>
      <c r="L9" s="36">
        <v>6719.9138729908618</v>
      </c>
      <c r="M9" s="36">
        <v>7739.7688281872606</v>
      </c>
      <c r="N9" s="36">
        <v>7054.9442627798608</v>
      </c>
      <c r="O9" s="36">
        <v>8277.9560287946097</v>
      </c>
      <c r="P9" s="36"/>
    </row>
    <row r="10" spans="1:19" x14ac:dyDescent="0.2">
      <c r="A10" s="10">
        <f t="shared" ref="A10:A46" si="1">A9+1</f>
        <v>3</v>
      </c>
      <c r="B10" s="246" t="s">
        <v>601</v>
      </c>
      <c r="C10" s="18">
        <f t="shared" ref="C10:O10" si="2">C8*C9</f>
        <v>451282.11898912553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564</v>
      </c>
      <c r="C12" s="433">
        <v>18431024.893425465</v>
      </c>
      <c r="D12" s="433"/>
      <c r="E12" s="433"/>
      <c r="F12" s="433"/>
      <c r="G12" s="433"/>
      <c r="H12" s="433"/>
      <c r="I12" s="433"/>
      <c r="J12" s="433"/>
      <c r="K12" s="433"/>
      <c r="L12" s="433"/>
      <c r="M12" s="433"/>
      <c r="N12" s="433"/>
      <c r="O12" s="433"/>
      <c r="P12" s="434"/>
    </row>
    <row r="13" spans="1:19" x14ac:dyDescent="0.2">
      <c r="A13" s="10">
        <f t="shared" si="1"/>
        <v>6</v>
      </c>
      <c r="B13" s="246" t="s">
        <v>204</v>
      </c>
      <c r="C13" s="27">
        <v>1.9091E-2</v>
      </c>
      <c r="D13" s="27">
        <v>1.9091E-2</v>
      </c>
      <c r="E13" s="27">
        <v>1.9091E-2</v>
      </c>
      <c r="F13" s="27">
        <v>1.9091E-2</v>
      </c>
      <c r="G13" s="27">
        <v>1.9091E-2</v>
      </c>
      <c r="H13" s="27">
        <v>1.9091E-2</v>
      </c>
      <c r="I13" s="27">
        <v>1.9091E-2</v>
      </c>
      <c r="J13" s="27">
        <v>1.9091E-2</v>
      </c>
      <c r="K13" s="27">
        <v>1.9091E-2</v>
      </c>
      <c r="L13" s="27">
        <v>1.9091E-2</v>
      </c>
      <c r="M13" s="27">
        <v>1.9091E-2</v>
      </c>
      <c r="N13" s="27">
        <v>1.9091E-2</v>
      </c>
      <c r="O13" s="27">
        <v>1.9091E-2</v>
      </c>
      <c r="P13" s="28"/>
    </row>
    <row r="14" spans="1:19" x14ac:dyDescent="0.2">
      <c r="A14" s="10">
        <f t="shared" si="1"/>
        <v>7</v>
      </c>
      <c r="B14" s="246" t="s">
        <v>602</v>
      </c>
      <c r="C14" s="18">
        <f t="shared" ref="C14:O14" si="3">C12*C13</f>
        <v>351866.69624038553</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566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204</v>
      </c>
      <c r="C17" s="27">
        <v>1.9091E-2</v>
      </c>
      <c r="D17" s="27">
        <v>1.9091E-2</v>
      </c>
      <c r="E17" s="27">
        <v>1.9091E-2</v>
      </c>
      <c r="F17" s="27">
        <v>1.9091E-2</v>
      </c>
      <c r="G17" s="27">
        <v>1.9091E-2</v>
      </c>
      <c r="H17" s="27">
        <v>1.9091E-2</v>
      </c>
      <c r="I17" s="27">
        <v>1.9091E-2</v>
      </c>
      <c r="J17" s="27">
        <v>1.9091E-2</v>
      </c>
      <c r="K17" s="27">
        <v>1.9091E-2</v>
      </c>
      <c r="L17" s="27">
        <v>1.9091E-2</v>
      </c>
      <c r="M17" s="27">
        <v>1.9091E-2</v>
      </c>
      <c r="N17" s="27">
        <v>1.9091E-2</v>
      </c>
      <c r="O17" s="27">
        <v>1.9091E-2</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351866.69624038553</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99415.422748740006</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126.81378479105609</v>
      </c>
      <c r="D24" s="18">
        <v>256.03733271353371</v>
      </c>
      <c r="E24" s="18">
        <v>256.03733271353371</v>
      </c>
      <c r="F24" s="18">
        <v>256.03733271353371</v>
      </c>
      <c r="G24" s="18">
        <v>256.03733271353371</v>
      </c>
      <c r="H24" s="18">
        <v>256.03733271353371</v>
      </c>
      <c r="I24" s="18">
        <v>256.03733271353371</v>
      </c>
      <c r="J24" s="18">
        <v>256.03733271353371</v>
      </c>
      <c r="K24" s="18">
        <v>256.03733271353371</v>
      </c>
      <c r="L24" s="18">
        <v>256.03733271353371</v>
      </c>
      <c r="M24" s="18">
        <v>256.03733271353371</v>
      </c>
      <c r="N24" s="18">
        <v>256.03733271353371</v>
      </c>
      <c r="O24" s="18">
        <v>256.03733271353371</v>
      </c>
      <c r="P24" s="36"/>
    </row>
    <row r="25" spans="1:16" x14ac:dyDescent="0.2">
      <c r="A25" s="10">
        <f t="shared" si="1"/>
        <v>18</v>
      </c>
    </row>
    <row r="26" spans="1:16" x14ac:dyDescent="0.2">
      <c r="A26" s="10">
        <f t="shared" si="1"/>
        <v>19</v>
      </c>
      <c r="B26" s="246" t="s">
        <v>604</v>
      </c>
      <c r="C26" s="18">
        <f>C22+C24</f>
        <v>99542.236533531061</v>
      </c>
      <c r="D26" s="18">
        <f t="shared" ref="D26:O26" si="7">C26+D22+D24</f>
        <v>99798.273866244592</v>
      </c>
      <c r="E26" s="18">
        <f t="shared" si="7"/>
        <v>100054.31119895812</v>
      </c>
      <c r="F26" s="18">
        <f t="shared" si="7"/>
        <v>100310.34853167165</v>
      </c>
      <c r="G26" s="18">
        <f t="shared" si="7"/>
        <v>100566.38586438519</v>
      </c>
      <c r="H26" s="18">
        <f t="shared" si="7"/>
        <v>100822.42319709872</v>
      </c>
      <c r="I26" s="18">
        <f t="shared" si="7"/>
        <v>101078.46052981225</v>
      </c>
      <c r="J26" s="18">
        <f t="shared" si="7"/>
        <v>101334.49786252578</v>
      </c>
      <c r="K26" s="18">
        <f t="shared" si="7"/>
        <v>101590.53519523931</v>
      </c>
      <c r="L26" s="18">
        <f t="shared" si="7"/>
        <v>101846.57252795284</v>
      </c>
      <c r="M26" s="18">
        <f t="shared" si="7"/>
        <v>102102.60986066637</v>
      </c>
      <c r="N26" s="18">
        <f t="shared" si="7"/>
        <v>102358.6471933799</v>
      </c>
      <c r="O26" s="18">
        <f t="shared" si="7"/>
        <v>102614.68452609344</v>
      </c>
    </row>
    <row r="27" spans="1:16" x14ac:dyDescent="0.2">
      <c r="A27" s="10">
        <f t="shared" si="1"/>
        <v>20</v>
      </c>
    </row>
    <row r="28" spans="1:16" x14ac:dyDescent="0.2">
      <c r="A28" s="10">
        <f t="shared" si="1"/>
        <v>21</v>
      </c>
      <c r="B28" s="435" t="s">
        <v>571</v>
      </c>
      <c r="C28" s="436">
        <v>1.335E-3</v>
      </c>
      <c r="D28" s="436">
        <v>1.335E-3</v>
      </c>
      <c r="E28" s="436">
        <v>1.335E-3</v>
      </c>
      <c r="F28" s="436">
        <v>1.335E-3</v>
      </c>
      <c r="G28" s="436">
        <v>1.335E-3</v>
      </c>
      <c r="H28" s="436">
        <v>0</v>
      </c>
      <c r="I28" s="436">
        <v>0</v>
      </c>
      <c r="J28" s="436">
        <v>0</v>
      </c>
      <c r="K28" s="436">
        <v>0</v>
      </c>
      <c r="L28" s="436">
        <v>0</v>
      </c>
      <c r="M28" s="436">
        <v>0</v>
      </c>
      <c r="N28" s="436">
        <v>0</v>
      </c>
      <c r="O28" s="436">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605</v>
      </c>
      <c r="C30" s="436">
        <v>0</v>
      </c>
      <c r="D30" s="436">
        <v>0</v>
      </c>
      <c r="E30" s="436">
        <v>0</v>
      </c>
      <c r="F30" s="436">
        <v>0</v>
      </c>
      <c r="G30" s="436">
        <v>0</v>
      </c>
      <c r="H30" s="436">
        <v>0</v>
      </c>
      <c r="I30" s="436">
        <v>0</v>
      </c>
      <c r="J30" s="436">
        <v>0</v>
      </c>
      <c r="K30" s="436">
        <v>0</v>
      </c>
      <c r="L30" s="436">
        <v>0</v>
      </c>
      <c r="M30" s="436">
        <v>0</v>
      </c>
      <c r="N30" s="436">
        <v>0</v>
      </c>
      <c r="O30" s="436">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24605.418232722997</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74936.818300808067</v>
      </c>
      <c r="D34" s="18">
        <f>C34+D22+D24-D32</f>
        <v>75192.855633521598</v>
      </c>
      <c r="E34" s="18">
        <f t="shared" ref="E34:O34" si="9">D34+E22+E24-E32</f>
        <v>75448.892966235129</v>
      </c>
      <c r="F34" s="18">
        <f t="shared" si="9"/>
        <v>75704.93029894866</v>
      </c>
      <c r="G34" s="18">
        <f t="shared" si="9"/>
        <v>75960.967631662192</v>
      </c>
      <c r="H34" s="18">
        <f t="shared" si="9"/>
        <v>76217.004964375723</v>
      </c>
      <c r="I34" s="18">
        <f t="shared" si="9"/>
        <v>76473.042297089254</v>
      </c>
      <c r="J34" s="18">
        <f t="shared" si="9"/>
        <v>76729.079629802785</v>
      </c>
      <c r="K34" s="18">
        <f t="shared" si="9"/>
        <v>76985.116962516317</v>
      </c>
      <c r="L34" s="18">
        <f t="shared" si="9"/>
        <v>77241.154295229848</v>
      </c>
      <c r="M34" s="18">
        <f t="shared" si="9"/>
        <v>77497.191627943379</v>
      </c>
      <c r="N34" s="18">
        <f t="shared" si="9"/>
        <v>77753.22896065691</v>
      </c>
      <c r="O34" s="18">
        <f t="shared" si="9"/>
        <v>78009.266293370441</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94681.86</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23482.89</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10"/>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8</oddHeader>
    <oddFooter>&amp;L&amp;F
&amp;A&amp;R&amp;D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614</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800</v>
      </c>
      <c r="D8" s="433"/>
      <c r="E8" s="433"/>
      <c r="F8" s="433"/>
      <c r="G8" s="433"/>
      <c r="H8" s="433"/>
      <c r="I8" s="433"/>
      <c r="J8" s="433"/>
      <c r="K8" s="433"/>
      <c r="L8" s="433"/>
      <c r="M8" s="433"/>
      <c r="N8" s="433"/>
      <c r="O8" s="433"/>
      <c r="P8" s="434"/>
    </row>
    <row r="9" spans="1:19" x14ac:dyDescent="0.2">
      <c r="A9" s="10">
        <f>A8+1</f>
        <v>2</v>
      </c>
      <c r="B9" s="246" t="s">
        <v>600</v>
      </c>
      <c r="C9" s="36">
        <v>2608.6194872174442</v>
      </c>
      <c r="D9" s="36">
        <v>5713.9573087144718</v>
      </c>
      <c r="E9" s="36">
        <v>6317.7271641119523</v>
      </c>
      <c r="F9" s="36">
        <v>5649.8035034642171</v>
      </c>
      <c r="G9" s="36">
        <v>4948.553598362706</v>
      </c>
      <c r="H9" s="36">
        <v>3976.0675565287283</v>
      </c>
      <c r="I9" s="36">
        <v>4200.2449236062266</v>
      </c>
      <c r="J9" s="36">
        <v>4344.2501627849952</v>
      </c>
      <c r="K9" s="36">
        <v>4290.9057913137976</v>
      </c>
      <c r="L9" s="36">
        <v>4612.7801882709182</v>
      </c>
      <c r="M9" s="36">
        <v>4855.4718323438046</v>
      </c>
      <c r="N9" s="36">
        <v>5534.5338086719667</v>
      </c>
      <c r="O9" s="36">
        <v>6220.5541618262132</v>
      </c>
      <c r="P9" s="36"/>
    </row>
    <row r="10" spans="1:19" x14ac:dyDescent="0.2">
      <c r="A10" s="10">
        <f t="shared" ref="A10:A46" si="1">A9+1</f>
        <v>3</v>
      </c>
      <c r="B10" s="246" t="s">
        <v>601</v>
      </c>
      <c r="C10" s="18">
        <f t="shared" ref="C10:O10" si="2">C8*C9</f>
        <v>2086895.5897739553</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615</v>
      </c>
      <c r="C12" s="433">
        <v>27663.7971416736</v>
      </c>
      <c r="D12" s="433"/>
      <c r="E12" s="433"/>
      <c r="F12" s="433"/>
      <c r="G12" s="433"/>
      <c r="H12" s="433"/>
      <c r="I12" s="433"/>
      <c r="J12" s="433"/>
      <c r="K12" s="433"/>
      <c r="L12" s="433"/>
      <c r="M12" s="433"/>
      <c r="N12" s="433"/>
      <c r="O12" s="433"/>
      <c r="P12" s="434"/>
    </row>
    <row r="13" spans="1:19" x14ac:dyDescent="0.2">
      <c r="A13" s="10">
        <f t="shared" si="1"/>
        <v>6</v>
      </c>
      <c r="B13" s="246" t="s">
        <v>586</v>
      </c>
      <c r="C13" s="36">
        <v>12.47</v>
      </c>
      <c r="D13" s="36">
        <v>12.47</v>
      </c>
      <c r="E13" s="36">
        <v>12.47</v>
      </c>
      <c r="F13" s="36">
        <v>12.47</v>
      </c>
      <c r="G13" s="36">
        <v>8.32</v>
      </c>
      <c r="H13" s="36">
        <v>8.32</v>
      </c>
      <c r="I13" s="36">
        <v>8.32</v>
      </c>
      <c r="J13" s="36">
        <v>8.32</v>
      </c>
      <c r="K13" s="36">
        <v>8.32</v>
      </c>
      <c r="L13" s="36">
        <v>8.32</v>
      </c>
      <c r="M13" s="36">
        <v>12.47</v>
      </c>
      <c r="N13" s="36">
        <v>12.47</v>
      </c>
      <c r="O13" s="36">
        <v>12.47</v>
      </c>
      <c r="P13" s="28"/>
    </row>
    <row r="14" spans="1:19" x14ac:dyDescent="0.2">
      <c r="A14" s="10">
        <f t="shared" si="1"/>
        <v>7</v>
      </c>
      <c r="B14" s="246" t="s">
        <v>602</v>
      </c>
      <c r="C14" s="18">
        <f t="shared" ref="C14:O14" si="3">C12*C13</f>
        <v>344967.55035666982</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586</v>
      </c>
      <c r="C17" s="36">
        <v>12.47</v>
      </c>
      <c r="D17" s="36">
        <v>12.47</v>
      </c>
      <c r="E17" s="36">
        <v>12.47</v>
      </c>
      <c r="F17" s="36">
        <v>12.47</v>
      </c>
      <c r="G17" s="36">
        <v>8.32</v>
      </c>
      <c r="H17" s="36">
        <v>8.32</v>
      </c>
      <c r="I17" s="36">
        <v>8.32</v>
      </c>
      <c r="J17" s="36">
        <v>8.32</v>
      </c>
      <c r="K17" s="36">
        <v>8.32</v>
      </c>
      <c r="L17" s="36">
        <v>8.32</v>
      </c>
      <c r="M17" s="36">
        <v>12.47</v>
      </c>
      <c r="N17" s="36">
        <v>12.47</v>
      </c>
      <c r="O17" s="36">
        <v>12.47</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344967.55035666982</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1741928.0394172855</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-557.68921903109901</v>
      </c>
      <c r="D24" s="18">
        <v>303.49924577673454</v>
      </c>
      <c r="E24" s="18">
        <v>303.49924577673454</v>
      </c>
      <c r="F24" s="18">
        <v>303.49924577673454</v>
      </c>
      <c r="G24" s="18">
        <v>303.49924577673454</v>
      </c>
      <c r="H24" s="18">
        <v>303.49924577673454</v>
      </c>
      <c r="I24" s="18">
        <v>303.49924577673454</v>
      </c>
      <c r="J24" s="18">
        <v>303.49924577673454</v>
      </c>
      <c r="K24" s="18">
        <v>303.49924577673454</v>
      </c>
      <c r="L24" s="18">
        <v>303.49924577673454</v>
      </c>
      <c r="M24" s="18">
        <v>303.49924577673454</v>
      </c>
      <c r="N24" s="18">
        <v>303.49924577673454</v>
      </c>
      <c r="O24" s="18">
        <v>303.49924577673454</v>
      </c>
      <c r="P24" s="36"/>
    </row>
    <row r="25" spans="1:16" x14ac:dyDescent="0.2">
      <c r="A25" s="10">
        <f t="shared" si="1"/>
        <v>18</v>
      </c>
    </row>
    <row r="26" spans="1:16" x14ac:dyDescent="0.2">
      <c r="A26" s="10">
        <f t="shared" si="1"/>
        <v>19</v>
      </c>
      <c r="B26" s="246" t="s">
        <v>604</v>
      </c>
      <c r="C26" s="18">
        <f>C22+C24</f>
        <v>1741370.3501982545</v>
      </c>
      <c r="D26" s="18">
        <f t="shared" ref="D26:O26" si="7">C26+D22+D24</f>
        <v>1741673.8494440312</v>
      </c>
      <c r="E26" s="18">
        <f t="shared" si="7"/>
        <v>1741977.348689808</v>
      </c>
      <c r="F26" s="18">
        <f t="shared" si="7"/>
        <v>1742280.8479355848</v>
      </c>
      <c r="G26" s="18">
        <f t="shared" si="7"/>
        <v>1742584.3471813616</v>
      </c>
      <c r="H26" s="18">
        <f t="shared" si="7"/>
        <v>1742887.8464271384</v>
      </c>
      <c r="I26" s="18">
        <f t="shared" si="7"/>
        <v>1743191.3456729152</v>
      </c>
      <c r="J26" s="18">
        <f t="shared" si="7"/>
        <v>1743494.844918692</v>
      </c>
      <c r="K26" s="18">
        <f t="shared" si="7"/>
        <v>1743798.3441644688</v>
      </c>
      <c r="L26" s="18">
        <f t="shared" si="7"/>
        <v>1744101.8434102456</v>
      </c>
      <c r="M26" s="18">
        <f t="shared" si="7"/>
        <v>1744405.3426560224</v>
      </c>
      <c r="N26" s="18">
        <f t="shared" si="7"/>
        <v>1744708.8419017992</v>
      </c>
      <c r="O26" s="18">
        <f t="shared" si="7"/>
        <v>1745012.341147576</v>
      </c>
    </row>
    <row r="27" spans="1:16" x14ac:dyDescent="0.2">
      <c r="A27" s="10">
        <f t="shared" si="1"/>
        <v>20</v>
      </c>
    </row>
    <row r="28" spans="1:16" x14ac:dyDescent="0.2">
      <c r="A28" s="10">
        <f t="shared" si="1"/>
        <v>21</v>
      </c>
      <c r="B28" s="435" t="s">
        <v>590</v>
      </c>
      <c r="C28" s="440">
        <v>-0.17</v>
      </c>
      <c r="D28" s="440">
        <v>-0.17</v>
      </c>
      <c r="E28" s="440">
        <v>-0.17</v>
      </c>
      <c r="F28" s="440">
        <v>-0.17</v>
      </c>
      <c r="G28" s="440">
        <v>-0.17</v>
      </c>
      <c r="H28" s="440">
        <v>0</v>
      </c>
      <c r="I28" s="440">
        <v>0</v>
      </c>
      <c r="J28" s="440">
        <v>0</v>
      </c>
      <c r="K28" s="440">
        <v>0</v>
      </c>
      <c r="L28" s="440">
        <v>0</v>
      </c>
      <c r="M28" s="440">
        <v>0</v>
      </c>
      <c r="N28" s="440">
        <v>0</v>
      </c>
      <c r="O28" s="440">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-4702.8455140845126</v>
      </c>
      <c r="D32" s="18">
        <f t="shared" ref="D32:O32" si="8">(D12*D28)+(D16*D30)</f>
        <v>0</v>
      </c>
      <c r="E32" s="18">
        <f t="shared" si="8"/>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1746073.1957123389</v>
      </c>
      <c r="D34" s="18">
        <f>C34+D22+D24-D32</f>
        <v>1746376.6949581157</v>
      </c>
      <c r="E34" s="18">
        <f t="shared" ref="E34:O34" si="9">D34+E22+E24-E32</f>
        <v>1746680.1942038925</v>
      </c>
      <c r="F34" s="18">
        <f t="shared" si="9"/>
        <v>1746983.6934496693</v>
      </c>
      <c r="G34" s="18">
        <f t="shared" si="9"/>
        <v>1747287.1926954461</v>
      </c>
      <c r="H34" s="18">
        <f t="shared" si="9"/>
        <v>1747590.6919412229</v>
      </c>
      <c r="I34" s="18">
        <f t="shared" si="9"/>
        <v>1747894.1911869997</v>
      </c>
      <c r="J34" s="18">
        <f t="shared" si="9"/>
        <v>1748197.6904327765</v>
      </c>
      <c r="K34" s="18">
        <f t="shared" si="9"/>
        <v>1748501.1896785533</v>
      </c>
      <c r="L34" s="18">
        <f t="shared" si="9"/>
        <v>1748804.6889243301</v>
      </c>
      <c r="M34" s="18">
        <f t="shared" si="9"/>
        <v>1749108.1881701068</v>
      </c>
      <c r="N34" s="18">
        <f t="shared" si="9"/>
        <v>1749411.6874158836</v>
      </c>
      <c r="O34" s="18">
        <f t="shared" si="9"/>
        <v>1749715.1866616604</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1658987.88</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-4488.3</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414"/>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9</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1"/>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598</v>
      </c>
      <c r="B3" s="275"/>
      <c r="C3" s="275"/>
      <c r="D3" s="275"/>
      <c r="E3" s="275"/>
      <c r="F3" s="275"/>
      <c r="G3" s="275"/>
      <c r="H3" s="275"/>
      <c r="I3" s="275"/>
      <c r="J3" s="275"/>
      <c r="K3" s="275"/>
      <c r="L3" s="275"/>
      <c r="M3" s="275"/>
      <c r="N3" s="275"/>
    </row>
    <row r="4" spans="1:19" x14ac:dyDescent="0.2">
      <c r="A4" s="275" t="s">
        <v>618</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86</v>
      </c>
      <c r="C8" s="433">
        <v>481</v>
      </c>
      <c r="D8" s="433"/>
      <c r="E8" s="433"/>
      <c r="F8" s="433"/>
      <c r="G8" s="433"/>
      <c r="H8" s="433"/>
      <c r="I8" s="433"/>
      <c r="J8" s="433"/>
      <c r="K8" s="433"/>
      <c r="L8" s="433"/>
      <c r="M8" s="433"/>
      <c r="N8" s="433"/>
      <c r="O8" s="433"/>
      <c r="P8" s="434"/>
    </row>
    <row r="9" spans="1:19" x14ac:dyDescent="0.2">
      <c r="A9" s="10">
        <f>A8+1</f>
        <v>2</v>
      </c>
      <c r="B9" s="246" t="s">
        <v>600</v>
      </c>
      <c r="C9" s="36">
        <v>3061.5934073979856</v>
      </c>
      <c r="D9" s="36">
        <v>5823.0945869090301</v>
      </c>
      <c r="E9" s="36">
        <v>6925.5492398239439</v>
      </c>
      <c r="F9" s="36">
        <v>6175.2836368364688</v>
      </c>
      <c r="G9" s="36">
        <v>5131.9223715099652</v>
      </c>
      <c r="H9" s="36">
        <v>4359.0086231289288</v>
      </c>
      <c r="I9" s="36">
        <v>4573.4880380368422</v>
      </c>
      <c r="J9" s="36">
        <v>4227.3267835447095</v>
      </c>
      <c r="K9" s="36">
        <v>5775.4591516246192</v>
      </c>
      <c r="L9" s="36">
        <v>4685.2186030352632</v>
      </c>
      <c r="M9" s="36">
        <v>5233.9793316093655</v>
      </c>
      <c r="N9" s="36">
        <v>5680.0768932225947</v>
      </c>
      <c r="O9" s="36">
        <v>7300.7227407182736</v>
      </c>
      <c r="P9" s="36"/>
    </row>
    <row r="10" spans="1:19" x14ac:dyDescent="0.2">
      <c r="A10" s="10">
        <f t="shared" ref="A10:A46" si="1">A9+1</f>
        <v>3</v>
      </c>
      <c r="B10" s="246" t="s">
        <v>601</v>
      </c>
      <c r="C10" s="18">
        <f t="shared" ref="C10:O10" si="2">C8*C9</f>
        <v>1472626.4289584311</v>
      </c>
      <c r="D10" s="18">
        <f t="shared" si="2"/>
        <v>0</v>
      </c>
      <c r="E10" s="18">
        <f t="shared" si="2"/>
        <v>0</v>
      </c>
      <c r="F10" s="18">
        <f t="shared" si="2"/>
        <v>0</v>
      </c>
      <c r="G10" s="18">
        <f t="shared" si="2"/>
        <v>0</v>
      </c>
      <c r="H10" s="18">
        <f t="shared" si="2"/>
        <v>0</v>
      </c>
      <c r="I10" s="18">
        <f t="shared" si="2"/>
        <v>0</v>
      </c>
      <c r="J10" s="18">
        <f t="shared" si="2"/>
        <v>0</v>
      </c>
      <c r="K10" s="18">
        <f t="shared" si="2"/>
        <v>0</v>
      </c>
      <c r="L10" s="18">
        <f t="shared" si="2"/>
        <v>0</v>
      </c>
      <c r="M10" s="18">
        <f t="shared" si="2"/>
        <v>0</v>
      </c>
      <c r="N10" s="18">
        <f t="shared" si="2"/>
        <v>0</v>
      </c>
      <c r="O10" s="18">
        <f t="shared" si="2"/>
        <v>0</v>
      </c>
      <c r="P10" s="18"/>
    </row>
    <row r="11" spans="1:19" x14ac:dyDescent="0.2">
      <c r="A11" s="10">
        <f t="shared" si="1"/>
        <v>4</v>
      </c>
    </row>
    <row r="12" spans="1:19" x14ac:dyDescent="0.2">
      <c r="A12" s="10">
        <f t="shared" si="1"/>
        <v>5</v>
      </c>
      <c r="B12" s="432" t="s">
        <v>615</v>
      </c>
      <c r="C12" s="433">
        <v>15963.313458262352</v>
      </c>
      <c r="D12" s="433"/>
      <c r="E12" s="433"/>
      <c r="F12" s="433"/>
      <c r="G12" s="433"/>
      <c r="H12" s="433"/>
      <c r="I12" s="433"/>
      <c r="J12" s="433"/>
      <c r="K12" s="433"/>
      <c r="L12" s="433"/>
      <c r="M12" s="433"/>
      <c r="N12" s="433"/>
      <c r="O12" s="433"/>
      <c r="P12" s="434"/>
    </row>
    <row r="13" spans="1:19" x14ac:dyDescent="0.2">
      <c r="A13" s="10">
        <f t="shared" si="1"/>
        <v>6</v>
      </c>
      <c r="B13" s="246" t="s">
        <v>586</v>
      </c>
      <c r="C13" s="36">
        <v>11.56</v>
      </c>
      <c r="D13" s="36">
        <v>11.56</v>
      </c>
      <c r="E13" s="36">
        <v>11.56</v>
      </c>
      <c r="F13" s="36">
        <v>11.56</v>
      </c>
      <c r="G13" s="36">
        <v>7.7</v>
      </c>
      <c r="H13" s="36">
        <v>7.7</v>
      </c>
      <c r="I13" s="36">
        <v>7.7</v>
      </c>
      <c r="J13" s="36">
        <v>7.7</v>
      </c>
      <c r="K13" s="36">
        <v>7.7</v>
      </c>
      <c r="L13" s="36">
        <v>7.7</v>
      </c>
      <c r="M13" s="36">
        <v>11.56</v>
      </c>
      <c r="N13" s="36">
        <v>11.56</v>
      </c>
      <c r="O13" s="36">
        <v>11.56</v>
      </c>
      <c r="P13" s="28"/>
    </row>
    <row r="14" spans="1:19" x14ac:dyDescent="0.2">
      <c r="A14" s="10">
        <f t="shared" si="1"/>
        <v>7</v>
      </c>
      <c r="B14" s="246" t="s">
        <v>602</v>
      </c>
      <c r="C14" s="18">
        <f t="shared" ref="C14:O14" si="3">C12*C13</f>
        <v>184535.9035775128</v>
      </c>
      <c r="D14" s="18">
        <f t="shared" si="3"/>
        <v>0</v>
      </c>
      <c r="E14" s="18">
        <f t="shared" si="3"/>
        <v>0</v>
      </c>
      <c r="F14" s="18">
        <f t="shared" si="3"/>
        <v>0</v>
      </c>
      <c r="G14" s="18">
        <f t="shared" si="3"/>
        <v>0</v>
      </c>
      <c r="H14" s="18">
        <f t="shared" si="3"/>
        <v>0</v>
      </c>
      <c r="I14" s="18">
        <f t="shared" si="3"/>
        <v>0</v>
      </c>
      <c r="J14" s="18">
        <f t="shared" si="3"/>
        <v>0</v>
      </c>
      <c r="K14" s="18">
        <f t="shared" si="3"/>
        <v>0</v>
      </c>
      <c r="L14" s="18">
        <f t="shared" si="3"/>
        <v>0</v>
      </c>
      <c r="M14" s="18">
        <f t="shared" si="3"/>
        <v>0</v>
      </c>
      <c r="N14" s="18">
        <f t="shared" si="3"/>
        <v>0</v>
      </c>
      <c r="O14" s="18">
        <f t="shared" si="3"/>
        <v>0</v>
      </c>
      <c r="P14" s="18"/>
    </row>
    <row r="15" spans="1:19" x14ac:dyDescent="0.2">
      <c r="A15" s="10">
        <f t="shared" si="1"/>
        <v>8</v>
      </c>
    </row>
    <row r="16" spans="1:19" x14ac:dyDescent="0.2">
      <c r="A16" s="10">
        <f t="shared" si="1"/>
        <v>9</v>
      </c>
      <c r="B16" s="432" t="s">
        <v>616</v>
      </c>
      <c r="C16" s="433">
        <v>0</v>
      </c>
      <c r="D16" s="433">
        <v>0</v>
      </c>
      <c r="E16" s="433">
        <v>0</v>
      </c>
      <c r="F16" s="433">
        <v>0</v>
      </c>
      <c r="G16" s="433">
        <v>0</v>
      </c>
      <c r="H16" s="433">
        <v>0</v>
      </c>
      <c r="I16" s="433">
        <v>0</v>
      </c>
      <c r="J16" s="433">
        <v>0</v>
      </c>
      <c r="K16" s="433">
        <v>0</v>
      </c>
      <c r="L16" s="433">
        <v>0</v>
      </c>
      <c r="M16" s="433">
        <v>0</v>
      </c>
      <c r="N16" s="433">
        <v>0</v>
      </c>
      <c r="O16" s="433">
        <v>0</v>
      </c>
    </row>
    <row r="17" spans="1:16" x14ac:dyDescent="0.2">
      <c r="A17" s="10">
        <f t="shared" si="1"/>
        <v>10</v>
      </c>
      <c r="B17" s="246" t="s">
        <v>586</v>
      </c>
      <c r="C17" s="36">
        <v>11.56</v>
      </c>
      <c r="D17" s="36">
        <v>11.56</v>
      </c>
      <c r="E17" s="36">
        <v>11.56</v>
      </c>
      <c r="F17" s="36">
        <v>11.56</v>
      </c>
      <c r="G17" s="36">
        <v>7.7</v>
      </c>
      <c r="H17" s="36">
        <v>7.7</v>
      </c>
      <c r="I17" s="36">
        <v>7.7</v>
      </c>
      <c r="J17" s="36">
        <v>7.7</v>
      </c>
      <c r="K17" s="36">
        <v>7.7</v>
      </c>
      <c r="L17" s="36">
        <v>7.7</v>
      </c>
      <c r="M17" s="36">
        <v>11.56</v>
      </c>
      <c r="N17" s="36">
        <v>11.56</v>
      </c>
      <c r="O17" s="36">
        <v>11.56</v>
      </c>
    </row>
    <row r="18" spans="1:16" x14ac:dyDescent="0.2">
      <c r="A18" s="10">
        <f t="shared" si="1"/>
        <v>11</v>
      </c>
      <c r="B18" s="246" t="s">
        <v>602</v>
      </c>
      <c r="C18" s="18">
        <f t="shared" ref="C18:O18" si="4">C16*C17</f>
        <v>0</v>
      </c>
      <c r="D18" s="18">
        <f t="shared" si="4"/>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 t="shared" si="4"/>
        <v>0</v>
      </c>
      <c r="O18" s="18">
        <f t="shared" si="4"/>
        <v>0</v>
      </c>
    </row>
    <row r="19" spans="1:16" x14ac:dyDescent="0.2">
      <c r="A19" s="10">
        <f t="shared" si="1"/>
        <v>12</v>
      </c>
    </row>
    <row r="20" spans="1:16" x14ac:dyDescent="0.2">
      <c r="A20" s="10">
        <f t="shared" si="1"/>
        <v>13</v>
      </c>
      <c r="B20" s="246" t="s">
        <v>567</v>
      </c>
      <c r="C20" s="18">
        <f>C14+C18</f>
        <v>184535.9035775128</v>
      </c>
      <c r="D20" s="18">
        <f t="shared" ref="D20:M20" si="5">D14+D18</f>
        <v>0</v>
      </c>
      <c r="E20" s="18">
        <f t="shared" si="5"/>
        <v>0</v>
      </c>
      <c r="F20" s="18">
        <f t="shared" si="5"/>
        <v>0</v>
      </c>
      <c r="G20" s="18">
        <f t="shared" si="5"/>
        <v>0</v>
      </c>
      <c r="H20" s="18">
        <f t="shared" si="5"/>
        <v>0</v>
      </c>
      <c r="I20" s="18">
        <f t="shared" si="5"/>
        <v>0</v>
      </c>
      <c r="J20" s="18">
        <f t="shared" si="5"/>
        <v>0</v>
      </c>
      <c r="K20" s="18">
        <f t="shared" si="5"/>
        <v>0</v>
      </c>
      <c r="L20" s="18">
        <f t="shared" si="5"/>
        <v>0</v>
      </c>
      <c r="M20" s="18">
        <f t="shared" si="5"/>
        <v>0</v>
      </c>
      <c r="N20" s="18">
        <f>N14+N18</f>
        <v>0</v>
      </c>
      <c r="O20" s="18">
        <f>O14+O18</f>
        <v>0</v>
      </c>
    </row>
    <row r="21" spans="1:16" x14ac:dyDescent="0.2">
      <c r="A21" s="10">
        <f t="shared" si="1"/>
        <v>14</v>
      </c>
    </row>
    <row r="22" spans="1:16" x14ac:dyDescent="0.2">
      <c r="A22" s="10">
        <f t="shared" si="1"/>
        <v>15</v>
      </c>
      <c r="B22" s="246" t="s">
        <v>568</v>
      </c>
      <c r="C22" s="18">
        <f>C10-C20</f>
        <v>1288090.5253809183</v>
      </c>
      <c r="D22" s="18">
        <f t="shared" ref="D22:O22" si="6">D10-D20</f>
        <v>0</v>
      </c>
      <c r="E22" s="18">
        <f t="shared" si="6"/>
        <v>0</v>
      </c>
      <c r="F22" s="18">
        <f t="shared" si="6"/>
        <v>0</v>
      </c>
      <c r="G22" s="18">
        <f t="shared" si="6"/>
        <v>0</v>
      </c>
      <c r="H22" s="18">
        <f t="shared" si="6"/>
        <v>0</v>
      </c>
      <c r="I22" s="18">
        <f t="shared" si="6"/>
        <v>0</v>
      </c>
      <c r="J22" s="18">
        <f t="shared" si="6"/>
        <v>0</v>
      </c>
      <c r="K22" s="18">
        <f t="shared" si="6"/>
        <v>0</v>
      </c>
      <c r="L22" s="18">
        <f t="shared" si="6"/>
        <v>0</v>
      </c>
      <c r="M22" s="18">
        <f t="shared" si="6"/>
        <v>0</v>
      </c>
      <c r="N22" s="18">
        <f t="shared" si="6"/>
        <v>0</v>
      </c>
      <c r="O22" s="18">
        <f t="shared" si="6"/>
        <v>0</v>
      </c>
      <c r="P22" s="18"/>
    </row>
    <row r="23" spans="1:16" x14ac:dyDescent="0.2">
      <c r="A23" s="10">
        <f t="shared" si="1"/>
        <v>16</v>
      </c>
      <c r="C23" s="18"/>
      <c r="D23" s="18"/>
      <c r="E23" s="18"/>
      <c r="F23" s="18"/>
      <c r="G23" s="18"/>
      <c r="H23" s="18"/>
      <c r="I23" s="18"/>
      <c r="J23" s="18"/>
      <c r="K23" s="18"/>
      <c r="L23" s="18"/>
      <c r="M23" s="18"/>
      <c r="N23" s="18"/>
      <c r="O23" s="18"/>
      <c r="P23" s="18"/>
    </row>
    <row r="24" spans="1:16" x14ac:dyDescent="0.2">
      <c r="A24" s="10">
        <f t="shared" si="1"/>
        <v>17</v>
      </c>
      <c r="B24" s="246" t="s">
        <v>603</v>
      </c>
      <c r="C24" s="18">
        <v>-385.39974556518763</v>
      </c>
      <c r="D24" s="18">
        <v>175.29987033163283</v>
      </c>
      <c r="E24" s="18">
        <v>175.29987033163283</v>
      </c>
      <c r="F24" s="18">
        <v>175.29987033163283</v>
      </c>
      <c r="G24" s="18">
        <v>175.29987033163283</v>
      </c>
      <c r="H24" s="18">
        <v>175.29987033163283</v>
      </c>
      <c r="I24" s="18">
        <v>175.29987033163283</v>
      </c>
      <c r="J24" s="18">
        <v>175.29987033163283</v>
      </c>
      <c r="K24" s="18">
        <v>175.29987033163283</v>
      </c>
      <c r="L24" s="18">
        <v>175.29987033163283</v>
      </c>
      <c r="M24" s="18">
        <v>175.29987033163283</v>
      </c>
      <c r="N24" s="18">
        <v>175.29987033163283</v>
      </c>
      <c r="O24" s="18">
        <v>175.29987033163283</v>
      </c>
      <c r="P24" s="36"/>
    </row>
    <row r="25" spans="1:16" x14ac:dyDescent="0.2">
      <c r="A25" s="10">
        <f t="shared" si="1"/>
        <v>18</v>
      </c>
    </row>
    <row r="26" spans="1:16" x14ac:dyDescent="0.2">
      <c r="A26" s="10">
        <f t="shared" si="1"/>
        <v>19</v>
      </c>
      <c r="B26" s="246" t="s">
        <v>604</v>
      </c>
      <c r="C26" s="18">
        <f>C22+C24</f>
        <v>1287705.1256353531</v>
      </c>
      <c r="D26" s="18">
        <f t="shared" ref="D26:O26" si="7">C26+D22+D24</f>
        <v>1287880.4255056847</v>
      </c>
      <c r="E26" s="18">
        <f t="shared" si="7"/>
        <v>1288055.7253760162</v>
      </c>
      <c r="F26" s="18">
        <f t="shared" si="7"/>
        <v>1288231.0252463478</v>
      </c>
      <c r="G26" s="18">
        <f t="shared" si="7"/>
        <v>1288406.3251166793</v>
      </c>
      <c r="H26" s="18">
        <f t="shared" si="7"/>
        <v>1288581.6249870108</v>
      </c>
      <c r="I26" s="18">
        <f t="shared" si="7"/>
        <v>1288756.9248573424</v>
      </c>
      <c r="J26" s="18">
        <f t="shared" si="7"/>
        <v>1288932.2247276739</v>
      </c>
      <c r="K26" s="18">
        <f t="shared" si="7"/>
        <v>1289107.5245980055</v>
      </c>
      <c r="L26" s="18">
        <f t="shared" si="7"/>
        <v>1289282.824468337</v>
      </c>
      <c r="M26" s="18">
        <f t="shared" si="7"/>
        <v>1289458.1243386685</v>
      </c>
      <c r="N26" s="18">
        <f t="shared" si="7"/>
        <v>1289633.4242090001</v>
      </c>
      <c r="O26" s="18">
        <f t="shared" si="7"/>
        <v>1289808.7240793316</v>
      </c>
    </row>
    <row r="27" spans="1:16" x14ac:dyDescent="0.2">
      <c r="A27" s="10">
        <f t="shared" si="1"/>
        <v>20</v>
      </c>
    </row>
    <row r="28" spans="1:16" x14ac:dyDescent="0.2">
      <c r="A28" s="10">
        <f t="shared" si="1"/>
        <v>21</v>
      </c>
      <c r="B28" s="435" t="s">
        <v>590</v>
      </c>
      <c r="C28" s="440">
        <v>-0.04</v>
      </c>
      <c r="D28" s="440">
        <v>-0.04</v>
      </c>
      <c r="E28" s="440">
        <v>-0.04</v>
      </c>
      <c r="F28" s="440">
        <v>-0.04</v>
      </c>
      <c r="G28" s="440">
        <v>-0.04</v>
      </c>
      <c r="H28" s="440">
        <v>0</v>
      </c>
      <c r="I28" s="440">
        <v>0</v>
      </c>
      <c r="J28" s="440">
        <v>0</v>
      </c>
      <c r="K28" s="440">
        <v>0</v>
      </c>
      <c r="L28" s="440">
        <v>0</v>
      </c>
      <c r="M28" s="440">
        <v>0</v>
      </c>
      <c r="N28" s="440">
        <v>0</v>
      </c>
      <c r="O28" s="440">
        <v>0</v>
      </c>
    </row>
    <row r="29" spans="1:16" x14ac:dyDescent="0.2">
      <c r="A29" s="10">
        <f t="shared" si="1"/>
        <v>22</v>
      </c>
      <c r="C29" s="27"/>
      <c r="D29" s="27"/>
      <c r="E29" s="27"/>
      <c r="F29" s="27"/>
      <c r="G29" s="27"/>
      <c r="H29" s="27"/>
      <c r="I29" s="27"/>
      <c r="J29" s="27"/>
      <c r="K29" s="27"/>
      <c r="L29" s="27"/>
      <c r="M29" s="27"/>
      <c r="N29" s="27"/>
      <c r="O29" s="27"/>
    </row>
    <row r="30" spans="1:16" x14ac:dyDescent="0.2">
      <c r="A30" s="10">
        <f t="shared" si="1"/>
        <v>23</v>
      </c>
      <c r="B30" s="435" t="s">
        <v>617</v>
      </c>
      <c r="C30" s="440">
        <v>0</v>
      </c>
      <c r="D30" s="440">
        <v>0</v>
      </c>
      <c r="E30" s="440">
        <v>0</v>
      </c>
      <c r="F30" s="440">
        <v>0</v>
      </c>
      <c r="G30" s="440">
        <v>0</v>
      </c>
      <c r="H30" s="440">
        <v>0</v>
      </c>
      <c r="I30" s="440">
        <v>0</v>
      </c>
      <c r="J30" s="440">
        <v>0</v>
      </c>
      <c r="K30" s="440">
        <v>0</v>
      </c>
      <c r="L30" s="440">
        <v>0</v>
      </c>
      <c r="M30" s="440">
        <v>0</v>
      </c>
      <c r="N30" s="440">
        <v>0</v>
      </c>
      <c r="O30" s="440">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292</v>
      </c>
      <c r="C32" s="18">
        <f>(C12*C28)+(C16*C30)</f>
        <v>-638.53253833049405</v>
      </c>
      <c r="D32" s="18">
        <f>(D12*D28)+(D16*D30)</f>
        <v>0</v>
      </c>
      <c r="E32" s="18">
        <f t="shared" ref="E32:O32" si="8">(E12*E28)+(E16*E30)</f>
        <v>0</v>
      </c>
      <c r="F32" s="18">
        <f t="shared" si="8"/>
        <v>0</v>
      </c>
      <c r="G32" s="18">
        <f t="shared" si="8"/>
        <v>0</v>
      </c>
      <c r="H32" s="18">
        <f t="shared" si="8"/>
        <v>0</v>
      </c>
      <c r="I32" s="18">
        <f t="shared" si="8"/>
        <v>0</v>
      </c>
      <c r="J32" s="18">
        <f t="shared" si="8"/>
        <v>0</v>
      </c>
      <c r="K32" s="18">
        <f t="shared" si="8"/>
        <v>0</v>
      </c>
      <c r="L32" s="18">
        <f t="shared" si="8"/>
        <v>0</v>
      </c>
      <c r="M32" s="18">
        <f t="shared" si="8"/>
        <v>0</v>
      </c>
      <c r="N32" s="18">
        <f t="shared" si="8"/>
        <v>0</v>
      </c>
      <c r="O32" s="18">
        <f t="shared" si="8"/>
        <v>0</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246" t="s">
        <v>606</v>
      </c>
      <c r="C34" s="18">
        <f>C26-C32</f>
        <v>1288343.6581736836</v>
      </c>
      <c r="D34" s="18">
        <f>C34+D22+D24-D32</f>
        <v>1288518.9580440151</v>
      </c>
      <c r="E34" s="18">
        <f t="shared" ref="E34:N34" si="9">D34+E22+E24-E32</f>
        <v>1288694.2579143466</v>
      </c>
      <c r="F34" s="18">
        <f t="shared" si="9"/>
        <v>1288869.5577846782</v>
      </c>
      <c r="G34" s="18">
        <f t="shared" si="9"/>
        <v>1289044.8576550097</v>
      </c>
      <c r="H34" s="18">
        <f t="shared" si="9"/>
        <v>1289220.1575253413</v>
      </c>
      <c r="I34" s="18">
        <f t="shared" si="9"/>
        <v>1289395.4573956728</v>
      </c>
      <c r="J34" s="18">
        <f t="shared" si="9"/>
        <v>1289570.7572660043</v>
      </c>
      <c r="K34" s="18">
        <f t="shared" si="9"/>
        <v>1289746.0571363359</v>
      </c>
      <c r="L34" s="18">
        <f t="shared" si="9"/>
        <v>1289921.3570066674</v>
      </c>
      <c r="M34" s="18">
        <f t="shared" si="9"/>
        <v>1290096.656876999</v>
      </c>
      <c r="N34" s="18">
        <f t="shared" si="9"/>
        <v>1290271.9567473305</v>
      </c>
      <c r="O34" s="18">
        <f>N34+O22+O24-O32</f>
        <v>1290447.256617662</v>
      </c>
    </row>
    <row r="35" spans="1:15" x14ac:dyDescent="0.2">
      <c r="A35" s="10">
        <f t="shared" si="1"/>
        <v>28</v>
      </c>
      <c r="C35" s="18"/>
      <c r="D35" s="18"/>
      <c r="E35" s="18"/>
      <c r="F35" s="18"/>
      <c r="G35" s="18"/>
      <c r="H35" s="18"/>
      <c r="I35" s="18"/>
      <c r="J35" s="18"/>
      <c r="K35" s="18"/>
      <c r="L35" s="18"/>
      <c r="M35" s="18"/>
      <c r="N35" s="18"/>
      <c r="O35" s="18"/>
    </row>
    <row r="36" spans="1:15" x14ac:dyDescent="0.2">
      <c r="A36" s="10">
        <f t="shared" si="1"/>
        <v>29</v>
      </c>
      <c r="B36" s="437" t="s">
        <v>607</v>
      </c>
      <c r="C36" s="438">
        <v>0.95437899999999998</v>
      </c>
      <c r="D36" s="438">
        <v>0.95437899999999998</v>
      </c>
      <c r="E36" s="438">
        <v>0.95437899999999998</v>
      </c>
      <c r="F36" s="438">
        <v>0.95437899999999998</v>
      </c>
      <c r="G36" s="438">
        <v>0.95437899999999998</v>
      </c>
      <c r="H36" s="438">
        <v>0.95437899999999998</v>
      </c>
      <c r="I36" s="438">
        <v>0.95437899999999998</v>
      </c>
      <c r="J36" s="438">
        <v>0.95437899999999998</v>
      </c>
      <c r="K36" s="438">
        <v>0.95437899999999998</v>
      </c>
      <c r="L36" s="438">
        <v>0.95437899999999998</v>
      </c>
      <c r="M36" s="438">
        <v>0.95437899999999998</v>
      </c>
      <c r="N36" s="438">
        <v>0.95437899999999998</v>
      </c>
      <c r="O36" s="438">
        <v>0.95437899999999998</v>
      </c>
    </row>
    <row r="37" spans="1:15" x14ac:dyDescent="0.2">
      <c r="A37" s="10">
        <f t="shared" si="1"/>
        <v>30</v>
      </c>
      <c r="C37" s="28"/>
      <c r="D37" s="28"/>
      <c r="E37" s="28"/>
      <c r="F37" s="28"/>
      <c r="G37" s="28"/>
      <c r="H37" s="28"/>
      <c r="I37" s="28"/>
      <c r="J37" s="28"/>
      <c r="K37" s="28"/>
      <c r="L37" s="28"/>
      <c r="M37" s="28"/>
      <c r="N37" s="28"/>
      <c r="O37" s="28"/>
    </row>
    <row r="38" spans="1:15" x14ac:dyDescent="0.2">
      <c r="A38" s="10">
        <f t="shared" si="1"/>
        <v>31</v>
      </c>
      <c r="B38" s="437" t="s">
        <v>608</v>
      </c>
      <c r="C38" s="438">
        <v>0.95238599999999995</v>
      </c>
      <c r="D38" s="438">
        <v>0.95238599999999995</v>
      </c>
      <c r="E38" s="438">
        <v>0.95238599999999995</v>
      </c>
      <c r="F38" s="438">
        <v>0.95238599999999995</v>
      </c>
      <c r="G38" s="438">
        <v>0.95238599999999995</v>
      </c>
      <c r="H38" s="438">
        <v>0.95238599999999995</v>
      </c>
      <c r="I38" s="438">
        <v>0.95238599999999995</v>
      </c>
      <c r="J38" s="438">
        <v>0.95238599999999995</v>
      </c>
      <c r="K38" s="438">
        <v>0.95238599999999995</v>
      </c>
      <c r="L38" s="438">
        <v>0.95238599999999995</v>
      </c>
      <c r="M38" s="438">
        <v>0.95238599999999995</v>
      </c>
      <c r="N38" s="438">
        <v>0.95238599999999995</v>
      </c>
      <c r="O38" s="438">
        <v>0.95238599999999995</v>
      </c>
    </row>
    <row r="39" spans="1:15" x14ac:dyDescent="0.2">
      <c r="A39" s="10">
        <f t="shared" si="1"/>
        <v>32</v>
      </c>
      <c r="C39" s="28"/>
      <c r="D39" s="28"/>
      <c r="E39" s="28"/>
      <c r="F39" s="28"/>
      <c r="G39" s="28"/>
      <c r="H39" s="28"/>
      <c r="I39" s="28"/>
      <c r="J39" s="28"/>
      <c r="K39" s="28"/>
      <c r="L39" s="28"/>
      <c r="M39" s="28"/>
      <c r="N39" s="28"/>
      <c r="O39" s="28"/>
    </row>
    <row r="40" spans="1:15" ht="13.5" thickBot="1" x14ac:dyDescent="0.25">
      <c r="A40" s="10">
        <f t="shared" si="1"/>
        <v>33</v>
      </c>
      <c r="B40" s="246" t="s">
        <v>609</v>
      </c>
      <c r="C40" s="439">
        <f>ROUND(C22*C38,2)</f>
        <v>1226759.3799999999</v>
      </c>
      <c r="D40" s="439">
        <f t="shared" ref="D40:O40" si="10">ROUND(D22*D38,2)</f>
        <v>0</v>
      </c>
      <c r="E40" s="439">
        <f t="shared" si="10"/>
        <v>0</v>
      </c>
      <c r="F40" s="439">
        <f t="shared" si="10"/>
        <v>0</v>
      </c>
      <c r="G40" s="439">
        <f t="shared" si="10"/>
        <v>0</v>
      </c>
      <c r="H40" s="439">
        <f t="shared" si="10"/>
        <v>0</v>
      </c>
      <c r="I40" s="439">
        <f t="shared" si="10"/>
        <v>0</v>
      </c>
      <c r="J40" s="439">
        <f t="shared" si="10"/>
        <v>0</v>
      </c>
      <c r="K40" s="439">
        <f t="shared" si="10"/>
        <v>0</v>
      </c>
      <c r="L40" s="439">
        <f t="shared" si="10"/>
        <v>0</v>
      </c>
      <c r="M40" s="439">
        <f t="shared" si="10"/>
        <v>0</v>
      </c>
      <c r="N40" s="439">
        <f t="shared" si="10"/>
        <v>0</v>
      </c>
      <c r="O40" s="439">
        <f t="shared" si="10"/>
        <v>0</v>
      </c>
    </row>
    <row r="41" spans="1:15" x14ac:dyDescent="0.2">
      <c r="A41" s="10">
        <f t="shared" si="1"/>
        <v>34</v>
      </c>
    </row>
    <row r="42" spans="1:15" ht="13.5" thickBot="1" x14ac:dyDescent="0.25">
      <c r="A42" s="10">
        <f t="shared" si="1"/>
        <v>35</v>
      </c>
      <c r="B42" s="246" t="s">
        <v>610</v>
      </c>
      <c r="C42" s="439">
        <f>ROUND(C32*C36,2)</f>
        <v>-609.4</v>
      </c>
      <c r="D42" s="439">
        <f t="shared" ref="D42:G42" si="11">ROUND(D32*D36,2)</f>
        <v>0</v>
      </c>
      <c r="E42" s="439">
        <f t="shared" si="11"/>
        <v>0</v>
      </c>
      <c r="F42" s="439">
        <f t="shared" si="11"/>
        <v>0</v>
      </c>
      <c r="G42" s="439">
        <f t="shared" si="11"/>
        <v>0</v>
      </c>
      <c r="H42" s="439">
        <f>ROUND(H32*H38,2)</f>
        <v>0</v>
      </c>
      <c r="I42" s="439">
        <f t="shared" ref="I42:O42" si="12">ROUND(I32*I38,2)</f>
        <v>0</v>
      </c>
      <c r="J42" s="439">
        <f t="shared" si="12"/>
        <v>0</v>
      </c>
      <c r="K42" s="439">
        <f t="shared" si="12"/>
        <v>0</v>
      </c>
      <c r="L42" s="439">
        <f t="shared" si="12"/>
        <v>0</v>
      </c>
      <c r="M42" s="439">
        <f t="shared" si="12"/>
        <v>0</v>
      </c>
      <c r="N42" s="439">
        <f t="shared" si="12"/>
        <v>0</v>
      </c>
      <c r="O42" s="439">
        <f t="shared" si="12"/>
        <v>0</v>
      </c>
    </row>
    <row r="43" spans="1:15" x14ac:dyDescent="0.2">
      <c r="A43" s="10">
        <f t="shared" si="1"/>
        <v>36</v>
      </c>
    </row>
    <row r="44" spans="1:15" s="432" customFormat="1" x14ac:dyDescent="0.2">
      <c r="A44" s="10">
        <f t="shared" si="1"/>
        <v>37</v>
      </c>
      <c r="B44" s="432" t="s">
        <v>611</v>
      </c>
    </row>
    <row r="45" spans="1:15" s="435" customFormat="1" x14ac:dyDescent="0.2">
      <c r="A45" s="10">
        <f t="shared" si="1"/>
        <v>38</v>
      </c>
      <c r="B45" s="435" t="s">
        <v>612</v>
      </c>
    </row>
    <row r="46" spans="1:15" s="437" customFormat="1" x14ac:dyDescent="0.2">
      <c r="A46" s="10">
        <f t="shared" si="1"/>
        <v>39</v>
      </c>
      <c r="B46" s="437" t="s">
        <v>613</v>
      </c>
    </row>
    <row r="47" spans="1:15" x14ac:dyDescent="0.2">
      <c r="A47" s="414"/>
    </row>
    <row r="48" spans="1:15" x14ac:dyDescent="0.2">
      <c r="A48" s="10"/>
    </row>
    <row r="49" spans="1:9" x14ac:dyDescent="0.2">
      <c r="A49" s="10"/>
      <c r="I49" s="18"/>
    </row>
    <row r="50" spans="1:9" x14ac:dyDescent="0.2">
      <c r="A50" s="10"/>
    </row>
    <row r="51" spans="1:9" x14ac:dyDescent="0.2">
      <c r="A51" s="10"/>
    </row>
    <row r="52" spans="1:9" x14ac:dyDescent="0.2">
      <c r="A52" s="10"/>
    </row>
    <row r="53" spans="1:9" x14ac:dyDescent="0.2">
      <c r="A53" s="10"/>
    </row>
    <row r="54" spans="1:9" x14ac:dyDescent="0.2">
      <c r="A54" s="10"/>
    </row>
    <row r="55" spans="1:9" x14ac:dyDescent="0.2">
      <c r="A55" s="10"/>
    </row>
    <row r="56" spans="1:9" x14ac:dyDescent="0.2">
      <c r="A56" s="10"/>
    </row>
    <row r="57" spans="1:9" x14ac:dyDescent="0.2">
      <c r="A57" s="10"/>
    </row>
    <row r="58" spans="1:9" x14ac:dyDescent="0.2">
      <c r="A58" s="10"/>
    </row>
    <row r="59" spans="1:9" x14ac:dyDescent="0.2">
      <c r="A59" s="10"/>
    </row>
    <row r="60" spans="1:9" x14ac:dyDescent="0.2">
      <c r="A60" s="10"/>
    </row>
    <row r="61" spans="1:9" x14ac:dyDescent="0.2">
      <c r="A61" s="10"/>
    </row>
    <row r="62" spans="1:9" x14ac:dyDescent="0.2">
      <c r="A62" s="10"/>
    </row>
    <row r="63" spans="1:9" x14ac:dyDescent="0.2">
      <c r="A63" s="10"/>
    </row>
    <row r="64" spans="1:9"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sheetData>
  <printOptions horizontalCentered="1"/>
  <pageMargins left="0.45" right="0.45" top="0.75" bottom="0.75" header="0.3" footer="0.3"/>
  <pageSetup scale="55" orientation="landscape" blackAndWhite="1" horizontalDpi="1200" verticalDpi="1200" r:id="rId1"/>
  <headerFooter>
    <oddHeader>&amp;RAdvice No. 2018-xx
Workpaper No. 10</oddHead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4"/>
  <sheetViews>
    <sheetView zoomScaleNormal="100" workbookViewId="0">
      <selection activeCell="C48" sqref="C48"/>
    </sheetView>
  </sheetViews>
  <sheetFormatPr defaultRowHeight="12.75" x14ac:dyDescent="0.2"/>
  <cols>
    <col min="1" max="1" width="5.28515625" style="2" customWidth="1"/>
    <col min="2" max="2" width="50.7109375" style="2" customWidth="1"/>
    <col min="3" max="3" width="21.7109375" style="2" bestFit="1" customWidth="1"/>
    <col min="4" max="5" width="16.140625" style="2" customWidth="1"/>
    <col min="6" max="6" width="20.5703125" style="2" bestFit="1" customWidth="1"/>
    <col min="7" max="10" width="16.140625" style="2" customWidth="1"/>
    <col min="11" max="16384" width="9.140625" style="2"/>
  </cols>
  <sheetData>
    <row r="1" spans="1:15" x14ac:dyDescent="0.2">
      <c r="A1" s="504" t="s">
        <v>0</v>
      </c>
      <c r="B1" s="504"/>
      <c r="C1" s="504"/>
      <c r="D1" s="504"/>
      <c r="E1" s="504"/>
      <c r="F1" s="504"/>
      <c r="G1" s="504"/>
      <c r="H1" s="504"/>
      <c r="I1" s="504"/>
      <c r="J1" s="504"/>
      <c r="K1" s="1"/>
      <c r="L1" s="1"/>
      <c r="M1" s="1"/>
      <c r="N1" s="1"/>
      <c r="O1" s="1"/>
    </row>
    <row r="2" spans="1:15" x14ac:dyDescent="0.2">
      <c r="A2" s="504" t="str">
        <f>'Delivery Rate Change Calc'!A2:H2</f>
        <v>2018 Electric Decoupling Filing</v>
      </c>
      <c r="B2" s="504"/>
      <c r="C2" s="504"/>
      <c r="D2" s="504"/>
      <c r="E2" s="504"/>
      <c r="F2" s="504"/>
      <c r="G2" s="504"/>
      <c r="H2" s="504"/>
      <c r="I2" s="504"/>
      <c r="J2" s="504"/>
      <c r="K2" s="1"/>
      <c r="L2" s="1"/>
      <c r="M2" s="1"/>
      <c r="N2" s="1"/>
      <c r="O2" s="1"/>
    </row>
    <row r="3" spans="1:15" x14ac:dyDescent="0.2">
      <c r="A3" s="504" t="s">
        <v>275</v>
      </c>
      <c r="B3" s="504"/>
      <c r="C3" s="504"/>
      <c r="D3" s="504"/>
      <c r="E3" s="504"/>
      <c r="F3" s="504"/>
      <c r="G3" s="504"/>
      <c r="H3" s="504"/>
      <c r="I3" s="504"/>
      <c r="J3" s="504"/>
      <c r="K3" s="1"/>
      <c r="L3" s="1"/>
      <c r="M3" s="1"/>
      <c r="N3" s="1"/>
      <c r="O3" s="1"/>
    </row>
    <row r="4" spans="1:15" x14ac:dyDescent="0.2">
      <c r="A4" s="504" t="str">
        <f>'Delivery Rate Change Calc'!A4:H4</f>
        <v>Proposed Effective May 1, 2018</v>
      </c>
      <c r="B4" s="504"/>
      <c r="C4" s="504"/>
      <c r="D4" s="504"/>
      <c r="E4" s="504"/>
      <c r="F4" s="504"/>
      <c r="G4" s="504"/>
      <c r="H4" s="504"/>
      <c r="I4" s="504"/>
      <c r="J4" s="504"/>
      <c r="K4" s="1"/>
      <c r="L4" s="1"/>
      <c r="M4" s="1"/>
      <c r="N4" s="1"/>
      <c r="O4" s="1"/>
    </row>
    <row r="5" spans="1:15" x14ac:dyDescent="0.2">
      <c r="A5" s="3"/>
      <c r="B5" s="3"/>
      <c r="C5" s="3"/>
      <c r="D5" s="3"/>
      <c r="E5" s="3"/>
      <c r="F5" s="3"/>
    </row>
    <row r="6" spans="1:15" ht="12.75" customHeight="1" x14ac:dyDescent="0.2">
      <c r="A6" s="3"/>
      <c r="B6" s="3"/>
      <c r="C6" s="3"/>
      <c r="D6" s="3"/>
      <c r="E6" s="4"/>
      <c r="F6" s="4"/>
    </row>
    <row r="7" spans="1:15" ht="12.75" customHeight="1" x14ac:dyDescent="0.2">
      <c r="A7" s="5" t="s">
        <v>2</v>
      </c>
      <c r="B7" s="3"/>
      <c r="C7" s="3"/>
      <c r="D7" s="6" t="s">
        <v>3</v>
      </c>
      <c r="E7" s="6" t="s">
        <v>4</v>
      </c>
      <c r="F7" s="6" t="s">
        <v>4</v>
      </c>
      <c r="G7" s="6" t="s">
        <v>3</v>
      </c>
      <c r="H7" s="6" t="s">
        <v>4</v>
      </c>
      <c r="I7" s="6" t="s">
        <v>4</v>
      </c>
      <c r="J7" s="6" t="s">
        <v>4</v>
      </c>
    </row>
    <row r="8" spans="1:15" x14ac:dyDescent="0.2">
      <c r="A8" s="7" t="s">
        <v>5</v>
      </c>
      <c r="B8" s="8"/>
      <c r="C8" s="7" t="s">
        <v>6</v>
      </c>
      <c r="D8" s="7">
        <v>7</v>
      </c>
      <c r="E8" s="7" t="s">
        <v>7</v>
      </c>
      <c r="F8" s="7" t="s">
        <v>8</v>
      </c>
      <c r="G8" s="7">
        <v>40</v>
      </c>
      <c r="H8" s="7" t="s">
        <v>24</v>
      </c>
      <c r="I8" s="7" t="s">
        <v>25</v>
      </c>
      <c r="J8" s="7" t="s">
        <v>268</v>
      </c>
    </row>
    <row r="9" spans="1:15" x14ac:dyDescent="0.2">
      <c r="A9" s="9"/>
      <c r="B9" s="10" t="s">
        <v>9</v>
      </c>
      <c r="C9" s="10" t="s">
        <v>10</v>
      </c>
      <c r="D9" s="10" t="s">
        <v>11</v>
      </c>
      <c r="E9" s="10" t="s">
        <v>12</v>
      </c>
      <c r="F9" s="10" t="s">
        <v>13</v>
      </c>
      <c r="G9" s="10" t="s">
        <v>14</v>
      </c>
      <c r="H9" s="10" t="s">
        <v>67</v>
      </c>
      <c r="I9" s="10" t="s">
        <v>68</v>
      </c>
      <c r="J9" s="10" t="s">
        <v>69</v>
      </c>
    </row>
    <row r="10" spans="1:15" x14ac:dyDescent="0.2">
      <c r="A10" s="10"/>
      <c r="B10" s="11"/>
      <c r="C10" s="10"/>
      <c r="D10" s="10"/>
      <c r="E10" s="10"/>
      <c r="F10" s="10"/>
    </row>
    <row r="11" spans="1:15" x14ac:dyDescent="0.2">
      <c r="A11" s="10">
        <v>1</v>
      </c>
      <c r="B11" s="9"/>
      <c r="C11" s="10"/>
      <c r="D11" s="12"/>
      <c r="E11" s="12"/>
      <c r="F11" s="12"/>
      <c r="G11" s="12"/>
      <c r="H11" s="12"/>
      <c r="I11" s="12"/>
      <c r="J11" s="12"/>
    </row>
    <row r="12" spans="1:15" x14ac:dyDescent="0.2">
      <c r="A12" s="10">
        <f t="shared" ref="A12:A32" si="0">A11+1</f>
        <v>2</v>
      </c>
      <c r="B12" s="9" t="s">
        <v>271</v>
      </c>
      <c r="C12" s="10" t="s">
        <v>642</v>
      </c>
      <c r="D12" s="13">
        <f>'FPC Deferral Balance'!D20</f>
        <v>0</v>
      </c>
      <c r="E12" s="13">
        <f>'FPC Deferral Balance'!E20</f>
        <v>0</v>
      </c>
      <c r="F12" s="13">
        <f>'FPC Deferral Balance'!F20</f>
        <v>0</v>
      </c>
      <c r="G12" s="13">
        <f>'FPC Deferral Balance'!G20</f>
        <v>0</v>
      </c>
      <c r="H12" s="13">
        <f>'FPC Deferral Balance'!H20</f>
        <v>0</v>
      </c>
      <c r="I12" s="13">
        <f>'FPC Deferral Balance'!I20</f>
        <v>0</v>
      </c>
      <c r="J12" s="13">
        <f>'FPC Deferral Balance'!J20</f>
        <v>0</v>
      </c>
    </row>
    <row r="13" spans="1:15" x14ac:dyDescent="0.2">
      <c r="A13" s="10">
        <f t="shared" si="0"/>
        <v>3</v>
      </c>
      <c r="B13" s="9"/>
      <c r="C13" s="10"/>
      <c r="D13" s="12"/>
      <c r="E13" s="12"/>
      <c r="F13" s="12"/>
      <c r="G13" s="12"/>
      <c r="H13" s="12"/>
      <c r="I13" s="12"/>
      <c r="J13" s="12"/>
    </row>
    <row r="14" spans="1:15" x14ac:dyDescent="0.2">
      <c r="A14" s="10">
        <f t="shared" si="0"/>
        <v>4</v>
      </c>
      <c r="B14" s="9" t="s">
        <v>272</v>
      </c>
      <c r="C14" s="10" t="s">
        <v>642</v>
      </c>
      <c r="D14" s="13">
        <f>'FPC Deferral Balance'!D22</f>
        <v>-1290119.7387291393</v>
      </c>
      <c r="E14" s="13">
        <f>'FPC Deferral Balance'!E22</f>
        <v>-186151.9546278505</v>
      </c>
      <c r="F14" s="13">
        <f>'FPC Deferral Balance'!F22</f>
        <v>1102.7964721131877</v>
      </c>
      <c r="G14" s="13">
        <f>'FPC Deferral Balance'!G22</f>
        <v>143149.11879819736</v>
      </c>
      <c r="H14" s="13">
        <f>'FPC Deferral Balance'!H22</f>
        <v>164346.05283188753</v>
      </c>
      <c r="I14" s="13">
        <f>'FPC Deferral Balance'!I22</f>
        <v>-74649.476806630919</v>
      </c>
      <c r="J14" s="13">
        <f>'FPC Deferral Balance'!J22</f>
        <v>7259.6502275757939</v>
      </c>
    </row>
    <row r="15" spans="1:15" x14ac:dyDescent="0.2">
      <c r="A15" s="10">
        <f t="shared" si="0"/>
        <v>5</v>
      </c>
      <c r="B15" s="9"/>
      <c r="C15" s="10"/>
      <c r="D15" s="13"/>
      <c r="E15" s="13"/>
      <c r="F15" s="13"/>
      <c r="G15" s="13"/>
      <c r="H15" s="13"/>
      <c r="I15" s="13"/>
      <c r="J15" s="13"/>
    </row>
    <row r="16" spans="1:15" x14ac:dyDescent="0.2">
      <c r="A16" s="10">
        <f t="shared" si="0"/>
        <v>6</v>
      </c>
      <c r="B16" s="9" t="s">
        <v>273</v>
      </c>
      <c r="C16" s="10" t="s">
        <v>642</v>
      </c>
      <c r="D16" s="13">
        <f>'FPC Deferral Balance'!D24</f>
        <v>-2529.5330106437937</v>
      </c>
      <c r="E16" s="13">
        <f>'FPC Deferral Balance'!E24</f>
        <v>-391.86445473088992</v>
      </c>
      <c r="F16" s="13">
        <f>'FPC Deferral Balance'!F24</f>
        <v>-66.192437205082811</v>
      </c>
      <c r="G16" s="13">
        <f>'FPC Deferral Balance'!G24</f>
        <v>237.84108964222492</v>
      </c>
      <c r="H16" s="13">
        <f>'FPC Deferral Balance'!H24</f>
        <v>245.63370834759579</v>
      </c>
      <c r="I16" s="13">
        <f>'FPC Deferral Balance'!I24</f>
        <v>-159.12601328837957</v>
      </c>
      <c r="J16" s="13">
        <f>'FPC Deferral Balance'!J24</f>
        <v>0</v>
      </c>
    </row>
    <row r="17" spans="1:10" x14ac:dyDescent="0.2">
      <c r="A17" s="10">
        <f t="shared" si="0"/>
        <v>7</v>
      </c>
      <c r="B17" s="9"/>
      <c r="C17" s="10"/>
      <c r="D17" s="13"/>
      <c r="E17" s="13"/>
      <c r="F17" s="13"/>
      <c r="G17" s="13"/>
      <c r="H17" s="13"/>
      <c r="I17" s="13"/>
      <c r="J17" s="13"/>
    </row>
    <row r="18" spans="1:10" x14ac:dyDescent="0.2">
      <c r="A18" s="10">
        <f t="shared" si="0"/>
        <v>8</v>
      </c>
      <c r="B18" s="9" t="s">
        <v>274</v>
      </c>
      <c r="C18" s="10"/>
      <c r="D18" s="248">
        <v>0</v>
      </c>
      <c r="E18" s="248">
        <v>0</v>
      </c>
      <c r="F18" s="248">
        <v>0</v>
      </c>
      <c r="G18" s="248">
        <v>0</v>
      </c>
      <c r="H18" s="248">
        <v>0</v>
      </c>
      <c r="I18" s="248">
        <v>0</v>
      </c>
      <c r="J18" s="248">
        <v>0</v>
      </c>
    </row>
    <row r="19" spans="1:10" x14ac:dyDescent="0.2">
      <c r="A19" s="10">
        <f t="shared" si="0"/>
        <v>9</v>
      </c>
      <c r="B19" s="9"/>
      <c r="C19" s="10"/>
      <c r="D19" s="12"/>
      <c r="E19" s="12"/>
      <c r="F19" s="12"/>
      <c r="G19" s="12"/>
      <c r="H19" s="12"/>
      <c r="I19" s="12"/>
      <c r="J19" s="12"/>
    </row>
    <row r="20" spans="1:10" x14ac:dyDescent="0.2">
      <c r="A20" s="10">
        <f t="shared" si="0"/>
        <v>10</v>
      </c>
      <c r="B20" s="9" t="s">
        <v>16</v>
      </c>
      <c r="C20" s="10" t="str">
        <f>"("&amp;A12&amp;")+("&amp;A14&amp;")+("&amp;A16&amp;")+("&amp;A18&amp;")"</f>
        <v>(2)+(4)+(6)+(8)</v>
      </c>
      <c r="D20" s="12">
        <f>D12+D14+D16+D18</f>
        <v>-1292649.2717397832</v>
      </c>
      <c r="E20" s="12">
        <f t="shared" ref="E20:G20" si="1">E12+E14+E16+E18</f>
        <v>-186543.81908258138</v>
      </c>
      <c r="F20" s="12">
        <f t="shared" si="1"/>
        <v>1036.6040349081049</v>
      </c>
      <c r="G20" s="12">
        <f t="shared" si="1"/>
        <v>143386.95988783959</v>
      </c>
      <c r="H20" s="12">
        <f t="shared" ref="H20:I20" si="2">H12+H14+H16+H18</f>
        <v>164591.68654023512</v>
      </c>
      <c r="I20" s="12">
        <f t="shared" si="2"/>
        <v>-74808.602819919295</v>
      </c>
      <c r="J20" s="12">
        <f t="shared" ref="J20" si="3">J12+J14+J16+J18</f>
        <v>7259.6502275757939</v>
      </c>
    </row>
    <row r="21" spans="1:10" x14ac:dyDescent="0.2">
      <c r="A21" s="10">
        <f t="shared" si="0"/>
        <v>11</v>
      </c>
      <c r="B21" s="9"/>
      <c r="C21" s="10"/>
      <c r="D21" s="12"/>
      <c r="E21" s="12"/>
      <c r="F21" s="12"/>
      <c r="G21" s="12"/>
      <c r="H21" s="12"/>
      <c r="I21" s="12"/>
      <c r="J21" s="12"/>
    </row>
    <row r="22" spans="1:10" x14ac:dyDescent="0.2">
      <c r="A22" s="10">
        <f t="shared" si="0"/>
        <v>12</v>
      </c>
      <c r="B22" s="9" t="s">
        <v>17</v>
      </c>
      <c r="C22" s="10" t="s">
        <v>639</v>
      </c>
      <c r="D22" s="15">
        <f>Forecast!P8</f>
        <v>10637302206</v>
      </c>
      <c r="E22" s="15">
        <f>Forecast!P10</f>
        <v>3012276888</v>
      </c>
      <c r="F22" s="15">
        <f>Forecast!P22</f>
        <v>3147073863</v>
      </c>
      <c r="G22" s="15">
        <f>Forecast!P16</f>
        <v>626649491</v>
      </c>
      <c r="H22" s="15">
        <f>Forecast!P12</f>
        <v>1937803470</v>
      </c>
      <c r="I22" s="15">
        <f>Forecast!P14</f>
        <v>1335864224</v>
      </c>
      <c r="J22" s="15">
        <f>Forecast!P23</f>
        <v>656807891</v>
      </c>
    </row>
    <row r="23" spans="1:10" x14ac:dyDescent="0.2">
      <c r="A23" s="10">
        <f t="shared" si="0"/>
        <v>13</v>
      </c>
      <c r="B23" s="3"/>
      <c r="C23" s="3"/>
      <c r="D23" s="3"/>
      <c r="E23" s="3"/>
      <c r="F23" s="3"/>
      <c r="G23" s="3"/>
      <c r="H23" s="3"/>
      <c r="I23" s="3"/>
      <c r="J23" s="3"/>
    </row>
    <row r="24" spans="1:10" ht="13.5" thickBot="1" x14ac:dyDescent="0.25">
      <c r="A24" s="10">
        <f t="shared" si="0"/>
        <v>14</v>
      </c>
      <c r="B24" s="9" t="s">
        <v>18</v>
      </c>
      <c r="C24" s="10" t="str">
        <f>"("&amp;A20&amp;") / ("&amp;A22&amp;")"</f>
        <v>(10) / (12)</v>
      </c>
      <c r="D24" s="16">
        <f>ROUND(D20/D22,6)</f>
        <v>-1.22E-4</v>
      </c>
      <c r="E24" s="16">
        <f t="shared" ref="E24:G24" si="4">ROUND(E20/E22,6)</f>
        <v>-6.2000000000000003E-5</v>
      </c>
      <c r="F24" s="16">
        <f t="shared" si="4"/>
        <v>0</v>
      </c>
      <c r="G24" s="16">
        <f t="shared" si="4"/>
        <v>2.2900000000000001E-4</v>
      </c>
      <c r="H24" s="16">
        <f t="shared" ref="H24:I24" si="5">ROUND(H20/H22,6)</f>
        <v>8.5000000000000006E-5</v>
      </c>
      <c r="I24" s="16">
        <f t="shared" si="5"/>
        <v>-5.5999999999999999E-5</v>
      </c>
      <c r="J24" s="16">
        <f t="shared" ref="J24" si="6">ROUND(J20/J22,6)</f>
        <v>1.1E-5</v>
      </c>
    </row>
    <row r="25" spans="1:10" ht="13.5" thickTop="1" x14ac:dyDescent="0.2">
      <c r="A25" s="10">
        <f t="shared" si="0"/>
        <v>15</v>
      </c>
      <c r="B25" s="3"/>
      <c r="C25" s="3"/>
      <c r="D25" s="3"/>
      <c r="E25" s="3"/>
      <c r="F25" s="3"/>
      <c r="G25" s="3"/>
      <c r="H25" s="3"/>
      <c r="I25" s="3"/>
      <c r="J25" s="3"/>
    </row>
    <row r="26" spans="1:10" x14ac:dyDescent="0.2">
      <c r="A26" s="10">
        <f t="shared" si="0"/>
        <v>16</v>
      </c>
      <c r="B26" s="9" t="s">
        <v>19</v>
      </c>
      <c r="C26" s="10" t="s">
        <v>640</v>
      </c>
      <c r="D26" s="17">
        <f>'Rate Test'!D41</f>
        <v>-1.22E-4</v>
      </c>
      <c r="E26" s="17">
        <f>'Rate Test'!E41</f>
        <v>-6.2000000000000003E-5</v>
      </c>
      <c r="F26" s="17">
        <f>'Rate Test'!F41</f>
        <v>0</v>
      </c>
      <c r="G26" s="17">
        <f>'Rate Test'!G41</f>
        <v>2.2900000000000001E-4</v>
      </c>
      <c r="H26" s="17">
        <f>'Rate Test 26&amp;31'!D47</f>
        <v>8.5000000000000006E-5</v>
      </c>
      <c r="I26" s="17">
        <f>'Rate Test 26&amp;31'!E47</f>
        <v>-5.5999999999999999E-5</v>
      </c>
      <c r="J26" s="17">
        <f>'Rate Test'!H41</f>
        <v>1.1E-5</v>
      </c>
    </row>
    <row r="27" spans="1:10" x14ac:dyDescent="0.2">
      <c r="A27" s="10">
        <f t="shared" si="0"/>
        <v>17</v>
      </c>
      <c r="B27" s="9"/>
      <c r="C27" s="10"/>
      <c r="D27" s="3"/>
      <c r="E27" s="3"/>
      <c r="F27" s="3"/>
      <c r="G27" s="3"/>
      <c r="H27" s="3"/>
      <c r="I27" s="3"/>
      <c r="J27" s="3"/>
    </row>
    <row r="28" spans="1:10" x14ac:dyDescent="0.2">
      <c r="A28" s="10">
        <f t="shared" si="0"/>
        <v>18</v>
      </c>
      <c r="B28" s="9" t="s">
        <v>20</v>
      </c>
      <c r="C28" s="10" t="s">
        <v>21</v>
      </c>
      <c r="D28" s="12">
        <f>IF(D24=D26,D14,(D14-((D24-D26)*D22)))</f>
        <v>-1290119.7387291393</v>
      </c>
      <c r="E28" s="12">
        <f t="shared" ref="E28:G28" si="7">IF(E24=E26,E14,(E14-((E24-E26)*E22)))</f>
        <v>-186151.9546278505</v>
      </c>
      <c r="F28" s="12">
        <f t="shared" si="7"/>
        <v>1102.7964721131877</v>
      </c>
      <c r="G28" s="12">
        <f t="shared" si="7"/>
        <v>143149.11879819736</v>
      </c>
      <c r="H28" s="12">
        <f t="shared" ref="H28:I28" si="8">IF(H24=H26,H14,(H14-((H24-H26)*H22)))</f>
        <v>164346.05283188753</v>
      </c>
      <c r="I28" s="12">
        <f t="shared" si="8"/>
        <v>-74649.476806630919</v>
      </c>
      <c r="J28" s="12">
        <f t="shared" ref="J28" si="9">IF(J24=J26,J14,(J14-((J24-J26)*J22)))</f>
        <v>7259.6502275757939</v>
      </c>
    </row>
    <row r="29" spans="1:10" x14ac:dyDescent="0.2">
      <c r="A29" s="10">
        <f t="shared" si="0"/>
        <v>19</v>
      </c>
      <c r="B29" s="3"/>
      <c r="C29" s="3"/>
      <c r="D29" s="12"/>
      <c r="E29" s="18"/>
      <c r="F29" s="18"/>
      <c r="G29" s="18"/>
      <c r="H29" s="18"/>
      <c r="I29" s="18"/>
      <c r="J29" s="18"/>
    </row>
    <row r="30" spans="1:10" x14ac:dyDescent="0.2">
      <c r="A30" s="10">
        <f t="shared" si="0"/>
        <v>20</v>
      </c>
      <c r="B30" s="9" t="s">
        <v>22</v>
      </c>
      <c r="C30" s="10" t="str">
        <f>"("&amp;A12&amp;")+("&amp;A16&amp;")+("&amp;A18&amp;")+("&amp;A28&amp;")"</f>
        <v>(2)+(6)+(8)+(18)</v>
      </c>
      <c r="D30" s="12">
        <f>D28+D12+D16+D18</f>
        <v>-1292649.2717397832</v>
      </c>
      <c r="E30" s="18">
        <f>E28+E12+E16+E18</f>
        <v>-186543.81908258138</v>
      </c>
      <c r="F30" s="18">
        <f>F28+F12+F16+F18</f>
        <v>1036.6040349081049</v>
      </c>
      <c r="G30" s="18">
        <f>G28+G12+G16+G18</f>
        <v>143386.95988783959</v>
      </c>
      <c r="H30" s="18">
        <f t="shared" ref="H30:I30" si="10">H28+H12+H16+H18</f>
        <v>164591.68654023512</v>
      </c>
      <c r="I30" s="18">
        <f t="shared" si="10"/>
        <v>-74808.602819919295</v>
      </c>
      <c r="J30" s="18">
        <f t="shared" ref="J30" si="11">J28+J12+J16+J18</f>
        <v>7259.6502275757939</v>
      </c>
    </row>
    <row r="31" spans="1:10" x14ac:dyDescent="0.2">
      <c r="A31" s="10">
        <f t="shared" si="0"/>
        <v>21</v>
      </c>
      <c r="B31" s="3"/>
      <c r="C31" s="3"/>
      <c r="D31" s="9"/>
      <c r="E31" s="9"/>
      <c r="F31" s="9"/>
      <c r="G31" s="9"/>
      <c r="H31" s="9"/>
      <c r="I31" s="9"/>
      <c r="J31" s="9"/>
    </row>
    <row r="32" spans="1:10" x14ac:dyDescent="0.2">
      <c r="A32" s="10">
        <f t="shared" si="0"/>
        <v>22</v>
      </c>
      <c r="B32" s="9" t="s">
        <v>23</v>
      </c>
      <c r="C32" s="10" t="str">
        <f>"("&amp;A$30&amp;") - ("&amp;A20&amp;")"</f>
        <v>(20) - (10)</v>
      </c>
      <c r="D32" s="18">
        <f>D30-D20</f>
        <v>0</v>
      </c>
      <c r="E32" s="18">
        <f t="shared" ref="E32:G32" si="12">E30-E20</f>
        <v>0</v>
      </c>
      <c r="F32" s="18">
        <f t="shared" si="12"/>
        <v>0</v>
      </c>
      <c r="G32" s="18">
        <f t="shared" si="12"/>
        <v>0</v>
      </c>
      <c r="H32" s="18">
        <f t="shared" ref="H32:I32" si="13">H30-H20</f>
        <v>0</v>
      </c>
      <c r="I32" s="18">
        <f t="shared" si="13"/>
        <v>0</v>
      </c>
      <c r="J32" s="18">
        <f t="shared" ref="J32" si="14">J30-J20</f>
        <v>0</v>
      </c>
    </row>
    <row r="33" spans="1:6" x14ac:dyDescent="0.2">
      <c r="A33" s="3"/>
      <c r="B33" s="9"/>
      <c r="C33" s="3"/>
      <c r="D33" s="3"/>
      <c r="E33" s="3"/>
      <c r="F33" s="3"/>
    </row>
    <row r="34" spans="1:6" x14ac:dyDescent="0.2">
      <c r="B34" s="9"/>
    </row>
  </sheetData>
  <mergeCells count="4">
    <mergeCell ref="A1:J1"/>
    <mergeCell ref="A2:J2"/>
    <mergeCell ref="A3:J3"/>
    <mergeCell ref="A4:J4"/>
  </mergeCells>
  <printOptions horizontalCentered="1"/>
  <pageMargins left="0.7" right="0.7" top="0.75" bottom="0.75" header="0.3" footer="0.3"/>
  <pageSetup scale="62" orientation="landscape" blackAndWhite="1" r:id="rId1"/>
  <headerFooter>
    <oddHeader>&amp;RAdvice No. 2018-xx
Exhibit No. 3</oddHeader>
    <oddFooter>&amp;L&amp;F
&amp;A&amp;R&amp;D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3"/>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619</v>
      </c>
      <c r="B3" s="275"/>
      <c r="C3" s="275"/>
      <c r="D3" s="275"/>
      <c r="E3" s="275"/>
      <c r="F3" s="275"/>
      <c r="G3" s="275"/>
      <c r="H3" s="275"/>
      <c r="I3" s="275"/>
      <c r="J3" s="275"/>
      <c r="K3" s="275"/>
      <c r="L3" s="275"/>
      <c r="M3" s="275"/>
      <c r="N3" s="275"/>
    </row>
    <row r="4" spans="1:19" x14ac:dyDescent="0.2">
      <c r="A4" s="275" t="s">
        <v>288</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432" t="s">
        <v>564</v>
      </c>
      <c r="C8" s="433">
        <v>18856882.760000002</v>
      </c>
      <c r="D8" s="433"/>
      <c r="E8" s="433"/>
      <c r="F8" s="433"/>
      <c r="G8" s="433"/>
      <c r="H8" s="433"/>
      <c r="I8" s="433"/>
      <c r="J8" s="433"/>
      <c r="K8" s="433"/>
      <c r="L8" s="433"/>
      <c r="M8" s="433"/>
      <c r="N8" s="433"/>
      <c r="O8" s="433"/>
      <c r="P8" s="434"/>
    </row>
    <row r="9" spans="1:19" x14ac:dyDescent="0.2">
      <c r="A9" s="10">
        <f>A8+1</f>
        <v>2</v>
      </c>
    </row>
    <row r="10" spans="1:19" x14ac:dyDescent="0.2">
      <c r="A10" s="10">
        <f t="shared" ref="A10:A28" si="1">A9+1</f>
        <v>3</v>
      </c>
      <c r="B10" s="432" t="s">
        <v>566</v>
      </c>
      <c r="C10" s="433">
        <v>0</v>
      </c>
      <c r="D10" s="433">
        <v>0</v>
      </c>
      <c r="E10" s="433">
        <v>0</v>
      </c>
      <c r="F10" s="433">
        <v>0</v>
      </c>
      <c r="G10" s="433">
        <v>0</v>
      </c>
      <c r="H10" s="433">
        <v>0</v>
      </c>
      <c r="I10" s="433">
        <v>0</v>
      </c>
      <c r="J10" s="433">
        <v>0</v>
      </c>
      <c r="K10" s="433">
        <v>0</v>
      </c>
      <c r="L10" s="433">
        <v>0</v>
      </c>
      <c r="M10" s="433">
        <v>0</v>
      </c>
      <c r="N10" s="433">
        <v>0</v>
      </c>
      <c r="O10" s="433">
        <v>0</v>
      </c>
    </row>
    <row r="11" spans="1:19" x14ac:dyDescent="0.2">
      <c r="A11" s="10">
        <f t="shared" si="1"/>
        <v>4</v>
      </c>
      <c r="C11" s="18"/>
      <c r="D11" s="18"/>
      <c r="E11" s="18"/>
      <c r="F11" s="18"/>
      <c r="G11" s="18"/>
      <c r="H11" s="18"/>
      <c r="I11" s="18"/>
      <c r="J11" s="18"/>
      <c r="K11" s="18"/>
      <c r="L11" s="18"/>
      <c r="M11" s="18"/>
      <c r="N11" s="18"/>
      <c r="O11" s="18"/>
      <c r="P11" s="18"/>
    </row>
    <row r="12" spans="1:19" x14ac:dyDescent="0.2">
      <c r="A12" s="10">
        <f t="shared" si="1"/>
        <v>5</v>
      </c>
      <c r="B12" s="246" t="s">
        <v>603</v>
      </c>
      <c r="C12" s="18">
        <v>-40.18143303371297</v>
      </c>
      <c r="D12" s="18">
        <v>-81.126408737900292</v>
      </c>
      <c r="E12" s="18">
        <v>-81.126408737900292</v>
      </c>
      <c r="F12" s="18">
        <v>-81.126408737900292</v>
      </c>
      <c r="G12" s="18">
        <v>-81.126408737900292</v>
      </c>
      <c r="H12" s="18">
        <v>-81.126408737900292</v>
      </c>
      <c r="I12" s="18">
        <v>-81.126408737900292</v>
      </c>
      <c r="J12" s="18">
        <v>-81.126408737900292</v>
      </c>
      <c r="K12" s="18">
        <v>-81.126408737900292</v>
      </c>
      <c r="L12" s="18">
        <v>-81.126408737900292</v>
      </c>
      <c r="M12" s="18">
        <v>-81.126408737900292</v>
      </c>
      <c r="N12" s="18">
        <v>-81.126408737900292</v>
      </c>
      <c r="O12" s="18">
        <v>-81.126408737900292</v>
      </c>
      <c r="P12" s="36"/>
    </row>
    <row r="13" spans="1:19" x14ac:dyDescent="0.2">
      <c r="A13" s="10">
        <f t="shared" si="1"/>
        <v>6</v>
      </c>
    </row>
    <row r="14" spans="1:19" x14ac:dyDescent="0.2">
      <c r="A14" s="10">
        <f t="shared" si="1"/>
        <v>7</v>
      </c>
      <c r="B14" s="435" t="s">
        <v>571</v>
      </c>
      <c r="C14" s="436">
        <v>1.335E-3</v>
      </c>
      <c r="D14" s="436">
        <v>1.335E-3</v>
      </c>
      <c r="E14" s="436">
        <v>1.335E-3</v>
      </c>
      <c r="F14" s="436">
        <v>1.335E-3</v>
      </c>
      <c r="G14" s="436">
        <v>1.335E-3</v>
      </c>
      <c r="H14" s="436">
        <v>0</v>
      </c>
      <c r="I14" s="436">
        <v>0</v>
      </c>
      <c r="J14" s="436">
        <v>0</v>
      </c>
      <c r="K14" s="436">
        <v>0</v>
      </c>
      <c r="L14" s="436">
        <v>0</v>
      </c>
      <c r="M14" s="436">
        <v>0</v>
      </c>
      <c r="N14" s="436">
        <v>0</v>
      </c>
      <c r="O14" s="436">
        <v>0</v>
      </c>
    </row>
    <row r="15" spans="1:19" x14ac:dyDescent="0.2">
      <c r="A15" s="10">
        <f t="shared" si="1"/>
        <v>8</v>
      </c>
      <c r="C15" s="27"/>
      <c r="D15" s="27"/>
      <c r="E15" s="27"/>
      <c r="F15" s="27"/>
      <c r="G15" s="27"/>
      <c r="H15" s="27"/>
      <c r="I15" s="27"/>
      <c r="J15" s="27"/>
      <c r="K15" s="27"/>
      <c r="L15" s="27"/>
      <c r="M15" s="27"/>
      <c r="N15" s="27"/>
      <c r="O15" s="27"/>
    </row>
    <row r="16" spans="1:19" x14ac:dyDescent="0.2">
      <c r="A16" s="10">
        <f t="shared" si="1"/>
        <v>9</v>
      </c>
      <c r="B16" s="435" t="s">
        <v>605</v>
      </c>
      <c r="C16" s="436">
        <v>0</v>
      </c>
      <c r="D16" s="436">
        <v>0</v>
      </c>
      <c r="E16" s="436">
        <v>0</v>
      </c>
      <c r="F16" s="436">
        <v>0</v>
      </c>
      <c r="G16" s="436">
        <v>0</v>
      </c>
      <c r="H16" s="436">
        <v>0</v>
      </c>
      <c r="I16" s="436">
        <v>0</v>
      </c>
      <c r="J16" s="436">
        <v>0</v>
      </c>
      <c r="K16" s="436">
        <v>0</v>
      </c>
      <c r="L16" s="436">
        <v>0</v>
      </c>
      <c r="M16" s="436">
        <v>0</v>
      </c>
      <c r="N16" s="436">
        <v>0</v>
      </c>
      <c r="O16" s="436">
        <v>0</v>
      </c>
    </row>
    <row r="17" spans="1:15" x14ac:dyDescent="0.2">
      <c r="A17" s="10">
        <f t="shared" si="1"/>
        <v>10</v>
      </c>
      <c r="C17" s="18"/>
      <c r="D17" s="18"/>
      <c r="E17" s="18"/>
      <c r="F17" s="18"/>
      <c r="G17" s="18"/>
      <c r="H17" s="18"/>
      <c r="I17" s="18"/>
      <c r="J17" s="18"/>
      <c r="K17" s="18"/>
      <c r="L17" s="18"/>
      <c r="M17" s="18"/>
      <c r="N17" s="18"/>
      <c r="O17" s="18"/>
    </row>
    <row r="18" spans="1:15" x14ac:dyDescent="0.2">
      <c r="A18" s="10">
        <f t="shared" si="1"/>
        <v>11</v>
      </c>
      <c r="B18" s="246" t="s">
        <v>292</v>
      </c>
      <c r="C18" s="18">
        <f t="shared" ref="C18:O18" si="2">(C8*C14)+(C10*C16)</f>
        <v>25173.938484600003</v>
      </c>
      <c r="D18" s="18">
        <f t="shared" si="2"/>
        <v>0</v>
      </c>
      <c r="E18" s="18">
        <f t="shared" si="2"/>
        <v>0</v>
      </c>
      <c r="F18" s="18">
        <f t="shared" si="2"/>
        <v>0</v>
      </c>
      <c r="G18" s="18">
        <f t="shared" si="2"/>
        <v>0</v>
      </c>
      <c r="H18" s="18">
        <f t="shared" si="2"/>
        <v>0</v>
      </c>
      <c r="I18" s="18">
        <f t="shared" si="2"/>
        <v>0</v>
      </c>
      <c r="J18" s="18">
        <f t="shared" si="2"/>
        <v>0</v>
      </c>
      <c r="K18" s="18">
        <f t="shared" si="2"/>
        <v>0</v>
      </c>
      <c r="L18" s="18">
        <f t="shared" si="2"/>
        <v>0</v>
      </c>
      <c r="M18" s="18">
        <f t="shared" si="2"/>
        <v>0</v>
      </c>
      <c r="N18" s="18">
        <f t="shared" si="2"/>
        <v>0</v>
      </c>
      <c r="O18" s="18">
        <f t="shared" si="2"/>
        <v>0</v>
      </c>
    </row>
    <row r="19" spans="1:15" x14ac:dyDescent="0.2">
      <c r="A19" s="10">
        <f t="shared" si="1"/>
        <v>12</v>
      </c>
      <c r="C19" s="18"/>
      <c r="D19" s="18"/>
      <c r="E19" s="18"/>
      <c r="F19" s="18"/>
      <c r="G19" s="18"/>
      <c r="H19" s="18"/>
      <c r="I19" s="18"/>
      <c r="J19" s="18"/>
      <c r="K19" s="18"/>
      <c r="L19" s="18"/>
      <c r="M19" s="18"/>
      <c r="N19" s="18"/>
      <c r="O19" s="18"/>
    </row>
    <row r="20" spans="1:15" x14ac:dyDescent="0.2">
      <c r="A20" s="10">
        <f t="shared" si="1"/>
        <v>13</v>
      </c>
      <c r="B20" s="437" t="s">
        <v>607</v>
      </c>
      <c r="C20" s="438">
        <v>0.95437899999999998</v>
      </c>
      <c r="D20" s="438">
        <v>0.95437899999999998</v>
      </c>
      <c r="E20" s="438">
        <v>0.95437899999999998</v>
      </c>
      <c r="F20" s="438">
        <v>0.95437899999999998</v>
      </c>
      <c r="G20" s="438">
        <v>0.95437899999999998</v>
      </c>
      <c r="H20" s="438">
        <v>0.95437899999999998</v>
      </c>
      <c r="I20" s="438">
        <v>0.95437899999999998</v>
      </c>
      <c r="J20" s="438">
        <v>0.95437899999999998</v>
      </c>
      <c r="K20" s="438">
        <v>0.95437899999999998</v>
      </c>
      <c r="L20" s="438">
        <v>0.95437899999999998</v>
      </c>
      <c r="M20" s="438">
        <v>0.95437899999999998</v>
      </c>
      <c r="N20" s="438">
        <v>0.95437899999999998</v>
      </c>
      <c r="O20" s="438">
        <v>0.95437899999999998</v>
      </c>
    </row>
    <row r="21" spans="1:15" x14ac:dyDescent="0.2">
      <c r="A21" s="10">
        <f t="shared" si="1"/>
        <v>14</v>
      </c>
      <c r="C21" s="28"/>
      <c r="D21" s="28"/>
      <c r="E21" s="28"/>
      <c r="F21" s="28"/>
      <c r="G21" s="28"/>
      <c r="H21" s="28"/>
      <c r="I21" s="28"/>
      <c r="J21" s="28"/>
      <c r="K21" s="28"/>
      <c r="L21" s="28"/>
      <c r="M21" s="28"/>
      <c r="N21" s="28"/>
      <c r="O21" s="28"/>
    </row>
    <row r="22" spans="1:15" x14ac:dyDescent="0.2">
      <c r="A22" s="10">
        <f t="shared" si="1"/>
        <v>15</v>
      </c>
      <c r="B22" s="437" t="s">
        <v>608</v>
      </c>
      <c r="C22" s="438">
        <v>0.95238599999999995</v>
      </c>
      <c r="D22" s="438">
        <v>0.95238599999999995</v>
      </c>
      <c r="E22" s="438">
        <v>0.95238599999999995</v>
      </c>
      <c r="F22" s="438">
        <v>0.95238599999999995</v>
      </c>
      <c r="G22" s="438">
        <v>0.95238599999999995</v>
      </c>
      <c r="H22" s="438">
        <v>0.95238599999999995</v>
      </c>
      <c r="I22" s="438">
        <v>0.95238599999999995</v>
      </c>
      <c r="J22" s="438">
        <v>0.95238599999999995</v>
      </c>
      <c r="K22" s="438">
        <v>0.95238599999999995</v>
      </c>
      <c r="L22" s="438">
        <v>0.95238599999999995</v>
      </c>
      <c r="M22" s="438">
        <v>0.95238599999999995</v>
      </c>
      <c r="N22" s="438">
        <v>0.95238599999999995</v>
      </c>
      <c r="O22" s="438">
        <v>0.95238599999999995</v>
      </c>
    </row>
    <row r="23" spans="1:15" x14ac:dyDescent="0.2">
      <c r="A23" s="10">
        <f t="shared" si="1"/>
        <v>16</v>
      </c>
      <c r="C23" s="28"/>
      <c r="D23" s="28"/>
      <c r="E23" s="28"/>
      <c r="F23" s="28"/>
      <c r="G23" s="28"/>
      <c r="H23" s="28"/>
      <c r="I23" s="28"/>
      <c r="J23" s="28"/>
      <c r="K23" s="28"/>
      <c r="L23" s="28"/>
      <c r="M23" s="28"/>
      <c r="N23" s="28"/>
      <c r="O23" s="28"/>
    </row>
    <row r="24" spans="1:15" ht="13.5" thickBot="1" x14ac:dyDescent="0.25">
      <c r="A24" s="10">
        <f t="shared" si="1"/>
        <v>17</v>
      </c>
      <c r="B24" s="246" t="s">
        <v>610</v>
      </c>
      <c r="C24" s="439">
        <f>ROUND(C18*C20,2)</f>
        <v>24025.48</v>
      </c>
      <c r="D24" s="439">
        <f>ROUND(D18*D20,2)</f>
        <v>0</v>
      </c>
      <c r="E24" s="439">
        <f>ROUND(E18*E20,2)</f>
        <v>0</v>
      </c>
      <c r="F24" s="439">
        <f>ROUND(F18*F20,2)</f>
        <v>0</v>
      </c>
      <c r="G24" s="439">
        <f>ROUND(G18*G20,2)</f>
        <v>0</v>
      </c>
      <c r="H24" s="439">
        <f t="shared" ref="H24:O24" si="3">ROUND(H18*H22,2)</f>
        <v>0</v>
      </c>
      <c r="I24" s="439">
        <f t="shared" si="3"/>
        <v>0</v>
      </c>
      <c r="J24" s="439">
        <f t="shared" si="3"/>
        <v>0</v>
      </c>
      <c r="K24" s="439">
        <f t="shared" si="3"/>
        <v>0</v>
      </c>
      <c r="L24" s="439">
        <f t="shared" si="3"/>
        <v>0</v>
      </c>
      <c r="M24" s="439">
        <f t="shared" si="3"/>
        <v>0</v>
      </c>
      <c r="N24" s="439">
        <f t="shared" si="3"/>
        <v>0</v>
      </c>
      <c r="O24" s="439">
        <f t="shared" si="3"/>
        <v>0</v>
      </c>
    </row>
    <row r="25" spans="1:15" x14ac:dyDescent="0.2">
      <c r="A25" s="10">
        <f t="shared" si="1"/>
        <v>18</v>
      </c>
    </row>
    <row r="26" spans="1:15" s="432" customFormat="1" x14ac:dyDescent="0.2">
      <c r="A26" s="10">
        <f t="shared" si="1"/>
        <v>19</v>
      </c>
      <c r="B26" s="432" t="s">
        <v>620</v>
      </c>
    </row>
    <row r="27" spans="1:15" s="435" customFormat="1" x14ac:dyDescent="0.2">
      <c r="A27" s="10">
        <f t="shared" si="1"/>
        <v>20</v>
      </c>
      <c r="B27" s="435" t="s">
        <v>612</v>
      </c>
    </row>
    <row r="28" spans="1:15" s="437" customFormat="1" x14ac:dyDescent="0.2">
      <c r="A28" s="10">
        <f t="shared" si="1"/>
        <v>21</v>
      </c>
      <c r="B28" s="437" t="s">
        <v>613</v>
      </c>
    </row>
    <row r="29" spans="1:15" x14ac:dyDescent="0.2">
      <c r="A29" s="414"/>
    </row>
    <row r="30" spans="1:15" x14ac:dyDescent="0.2">
      <c r="A30" s="10"/>
    </row>
    <row r="31" spans="1:15" x14ac:dyDescent="0.2">
      <c r="A31" s="10"/>
      <c r="I31" s="18"/>
    </row>
    <row r="32" spans="1:15" x14ac:dyDescent="0.2">
      <c r="A32" s="10"/>
    </row>
    <row r="33" spans="1:1" x14ac:dyDescent="0.2">
      <c r="A33" s="10"/>
    </row>
    <row r="34" spans="1:1" x14ac:dyDescent="0.2">
      <c r="A34" s="10"/>
    </row>
    <row r="35" spans="1:1" x14ac:dyDescent="0.2">
      <c r="A35" s="10"/>
    </row>
    <row r="36" spans="1:1" x14ac:dyDescent="0.2">
      <c r="A36" s="10"/>
    </row>
    <row r="37" spans="1:1" x14ac:dyDescent="0.2">
      <c r="A37" s="10"/>
    </row>
    <row r="38" spans="1:1" x14ac:dyDescent="0.2">
      <c r="A38" s="10"/>
    </row>
    <row r="39" spans="1:1" x14ac:dyDescent="0.2">
      <c r="A39" s="10"/>
    </row>
    <row r="40" spans="1:1" x14ac:dyDescent="0.2">
      <c r="A40" s="10"/>
    </row>
    <row r="41" spans="1:1" x14ac:dyDescent="0.2">
      <c r="A41" s="10"/>
    </row>
    <row r="42" spans="1:1" x14ac:dyDescent="0.2">
      <c r="A42" s="10"/>
    </row>
    <row r="43" spans="1:1" x14ac:dyDescent="0.2">
      <c r="A43" s="10"/>
    </row>
    <row r="44" spans="1:1" x14ac:dyDescent="0.2">
      <c r="A44" s="10"/>
    </row>
    <row r="45" spans="1:1" x14ac:dyDescent="0.2">
      <c r="A45" s="10"/>
    </row>
    <row r="46" spans="1:1" x14ac:dyDescent="0.2">
      <c r="A46" s="10"/>
    </row>
    <row r="47" spans="1:1" x14ac:dyDescent="0.2">
      <c r="A47" s="10"/>
    </row>
    <row r="48" spans="1:1"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sheetData>
  <printOptions horizontalCentered="1"/>
  <pageMargins left="0.45" right="0.45" top="0.75" bottom="0.75" header="0.3" footer="0.3"/>
  <pageSetup scale="55" orientation="landscape" blackAndWhite="1" horizontalDpi="1200" verticalDpi="1200" r:id="rId1"/>
  <headerFooter>
    <oddHeader>&amp;RAdvice No. 2018-xx
Workpaper No. 11</oddHeader>
    <oddFooter>&amp;L&amp;F
&amp;A&amp;R&amp;D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622</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15711956.736875234</v>
      </c>
      <c r="D8" s="18">
        <v>36772803.370941333</v>
      </c>
      <c r="E8" s="18">
        <v>31166448.792700659</v>
      </c>
      <c r="F8" s="18">
        <v>30033056.351918213</v>
      </c>
      <c r="G8" s="18">
        <v>23875337.069592729</v>
      </c>
      <c r="H8" s="18">
        <v>21465961.481396787</v>
      </c>
      <c r="I8" s="18">
        <v>18559542.841368664</v>
      </c>
      <c r="J8" s="18">
        <v>20796156.279777255</v>
      </c>
      <c r="K8" s="18">
        <v>20153897.603936847</v>
      </c>
      <c r="L8" s="18">
        <v>18464178.946238026</v>
      </c>
      <c r="M8" s="18">
        <v>23650777.528915919</v>
      </c>
      <c r="N8" s="18">
        <v>30855814.195900667</v>
      </c>
      <c r="O8" s="18">
        <v>37466973.757164016</v>
      </c>
      <c r="P8" s="18"/>
    </row>
    <row r="9" spans="1:19" x14ac:dyDescent="0.2">
      <c r="A9" s="10">
        <f t="shared" ref="A9:A42" si="1">A8+1</f>
        <v>2</v>
      </c>
    </row>
    <row r="10" spans="1:19" x14ac:dyDescent="0.2">
      <c r="A10" s="10">
        <f t="shared" si="1"/>
        <v>3</v>
      </c>
      <c r="B10" s="432" t="s">
        <v>564</v>
      </c>
      <c r="C10" s="433">
        <v>571818087.43268919</v>
      </c>
      <c r="D10" s="433"/>
      <c r="E10" s="433"/>
      <c r="F10" s="433"/>
      <c r="G10" s="433"/>
      <c r="H10" s="433"/>
      <c r="I10" s="433"/>
      <c r="J10" s="433"/>
      <c r="K10" s="433"/>
      <c r="L10" s="433"/>
      <c r="M10" s="433"/>
      <c r="N10" s="433"/>
      <c r="O10" s="433"/>
      <c r="P10" s="434"/>
    </row>
    <row r="11" spans="1:19" x14ac:dyDescent="0.2">
      <c r="A11" s="10">
        <f t="shared" si="1"/>
        <v>4</v>
      </c>
      <c r="B11" s="246" t="s">
        <v>624</v>
      </c>
      <c r="C11" s="27">
        <v>2.9999000000000001E-2</v>
      </c>
      <c r="D11" s="27">
        <v>2.9999000000000001E-2</v>
      </c>
      <c r="E11" s="27">
        <v>2.9999000000000001E-2</v>
      </c>
      <c r="F11" s="27">
        <v>2.9999000000000001E-2</v>
      </c>
      <c r="G11" s="27">
        <v>2.9999000000000001E-2</v>
      </c>
      <c r="H11" s="27">
        <v>2.9999000000000001E-2</v>
      </c>
      <c r="I11" s="27">
        <v>2.9999000000000001E-2</v>
      </c>
      <c r="J11" s="27">
        <v>2.9999000000000001E-2</v>
      </c>
      <c r="K11" s="27">
        <v>2.9999000000000001E-2</v>
      </c>
      <c r="L11" s="27">
        <v>2.9999000000000001E-2</v>
      </c>
      <c r="M11" s="27">
        <v>2.9999000000000001E-2</v>
      </c>
      <c r="N11" s="27">
        <v>2.9999000000000001E-2</v>
      </c>
      <c r="O11" s="27">
        <v>2.9999000000000001E-2</v>
      </c>
      <c r="P11" s="28"/>
    </row>
    <row r="12" spans="1:19" x14ac:dyDescent="0.2">
      <c r="A12" s="10">
        <f t="shared" si="1"/>
        <v>5</v>
      </c>
      <c r="B12" s="246" t="s">
        <v>625</v>
      </c>
      <c r="C12" s="18">
        <f t="shared" ref="C12:O12" si="2">C10*C11</f>
        <v>17153970.804893244</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2.9999000000000001E-2</v>
      </c>
      <c r="D15" s="27">
        <v>2.9999000000000001E-2</v>
      </c>
      <c r="E15" s="27">
        <v>2.9999000000000001E-2</v>
      </c>
      <c r="F15" s="27">
        <v>2.9999000000000001E-2</v>
      </c>
      <c r="G15" s="27">
        <v>2.9999000000000001E-2</v>
      </c>
      <c r="H15" s="27">
        <v>2.9999000000000001E-2</v>
      </c>
      <c r="I15" s="27">
        <v>2.9999000000000001E-2</v>
      </c>
      <c r="J15" s="27">
        <v>2.9999000000000001E-2</v>
      </c>
      <c r="K15" s="27">
        <v>2.9999000000000001E-2</v>
      </c>
      <c r="L15" s="27">
        <v>2.9999000000000001E-2</v>
      </c>
      <c r="M15" s="27">
        <v>2.9999000000000001E-2</v>
      </c>
      <c r="N15" s="27">
        <v>2.9999000000000001E-2</v>
      </c>
      <c r="O15" s="27">
        <v>2.9999000000000001E-2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17153970.804893244</v>
      </c>
      <c r="D18" s="18">
        <f>D12+D16</f>
        <v>0</v>
      </c>
      <c r="E18" s="18">
        <f t="shared" ref="E18:M18" si="4">E12+E16</f>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-1442014.0680180099</v>
      </c>
      <c r="D20" s="18">
        <f t="shared" ref="D20:O20" si="5">D8-D18</f>
        <v>36772803.370941333</v>
      </c>
      <c r="E20" s="18">
        <f t="shared" si="5"/>
        <v>31166448.792700659</v>
      </c>
      <c r="F20" s="18">
        <f t="shared" si="5"/>
        <v>30033056.351918213</v>
      </c>
      <c r="G20" s="18">
        <f t="shared" si="5"/>
        <v>23875337.069592729</v>
      </c>
      <c r="H20" s="18">
        <f t="shared" si="5"/>
        <v>21465961.481396787</v>
      </c>
      <c r="I20" s="18">
        <f t="shared" si="5"/>
        <v>18559542.841368664</v>
      </c>
      <c r="J20" s="18">
        <f t="shared" si="5"/>
        <v>20796156.279777255</v>
      </c>
      <c r="K20" s="18">
        <f t="shared" si="5"/>
        <v>20153897.603936847</v>
      </c>
      <c r="L20" s="18">
        <f t="shared" si="5"/>
        <v>18464178.946238026</v>
      </c>
      <c r="M20" s="18">
        <f t="shared" si="5"/>
        <v>23650777.528915919</v>
      </c>
      <c r="N20" s="18">
        <f t="shared" si="5"/>
        <v>30855814.195900667</v>
      </c>
      <c r="O20" s="18">
        <f t="shared" si="5"/>
        <v>37466973.757164016</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-2409.0918258749998</v>
      </c>
      <c r="D22" s="18">
        <v>57153.991305208336</v>
      </c>
      <c r="E22" s="18">
        <v>171734.68655208335</v>
      </c>
      <c r="F22" s="18">
        <v>274948.68472604168</v>
      </c>
      <c r="G22" s="18">
        <v>365866.09994062508</v>
      </c>
      <c r="H22" s="18">
        <v>442334.96507812501</v>
      </c>
      <c r="I22" s="18">
        <v>509838.65354895842</v>
      </c>
      <c r="J22" s="18">
        <v>576212.70423854177</v>
      </c>
      <c r="K22" s="18">
        <v>645275.66113125009</v>
      </c>
      <c r="L22" s="18">
        <v>710405.69890729163</v>
      </c>
      <c r="M22" s="18">
        <v>781433.28369687509</v>
      </c>
      <c r="N22" s="18">
        <v>873359.57044583338</v>
      </c>
      <c r="O22" s="18">
        <v>988587.10528020852</v>
      </c>
      <c r="P22" s="36"/>
    </row>
    <row r="23" spans="1:16" x14ac:dyDescent="0.2">
      <c r="A23" s="10">
        <f t="shared" si="1"/>
        <v>16</v>
      </c>
    </row>
    <row r="24" spans="1:16" x14ac:dyDescent="0.2">
      <c r="A24" s="10">
        <f t="shared" si="1"/>
        <v>17</v>
      </c>
      <c r="B24" s="246" t="s">
        <v>604</v>
      </c>
      <c r="C24" s="18">
        <f>C20+C22</f>
        <v>-1444423.1598438849</v>
      </c>
      <c r="D24" s="18">
        <f t="shared" ref="D24:O24" si="6">C24+D20+D22</f>
        <v>35385534.202402659</v>
      </c>
      <c r="E24" s="18">
        <f t="shared" si="6"/>
        <v>66723717.6816554</v>
      </c>
      <c r="F24" s="18">
        <f t="shared" si="6"/>
        <v>97031722.718299657</v>
      </c>
      <c r="G24" s="18">
        <f t="shared" si="6"/>
        <v>121272925.88783301</v>
      </c>
      <c r="H24" s="18">
        <f t="shared" si="6"/>
        <v>143181222.33430791</v>
      </c>
      <c r="I24" s="18">
        <f t="shared" si="6"/>
        <v>162250603.82922554</v>
      </c>
      <c r="J24" s="18">
        <f t="shared" si="6"/>
        <v>183622972.81324133</v>
      </c>
      <c r="K24" s="18">
        <f t="shared" si="6"/>
        <v>204422146.07830945</v>
      </c>
      <c r="L24" s="18">
        <f t="shared" si="6"/>
        <v>223596730.72345474</v>
      </c>
      <c r="M24" s="18">
        <f t="shared" si="6"/>
        <v>248028941.53606755</v>
      </c>
      <c r="N24" s="18">
        <f t="shared" si="6"/>
        <v>279758115.30241406</v>
      </c>
      <c r="O24" s="18">
        <f t="shared" si="6"/>
        <v>318213676.16485828</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-1444423.1598438849</v>
      </c>
      <c r="D32" s="18">
        <f>C32+D20+D22-D30</f>
        <v>35385534.202402659</v>
      </c>
      <c r="E32" s="18">
        <f t="shared" ref="E32:O32" si="8">D32+E20+E22-E30</f>
        <v>66723717.6816554</v>
      </c>
      <c r="F32" s="18">
        <f t="shared" si="8"/>
        <v>97031722.718299657</v>
      </c>
      <c r="G32" s="18">
        <f t="shared" si="8"/>
        <v>121272925.88783301</v>
      </c>
      <c r="H32" s="18">
        <f t="shared" si="8"/>
        <v>143181222.33430791</v>
      </c>
      <c r="I32" s="18">
        <f t="shared" si="8"/>
        <v>162250603.82922554</v>
      </c>
      <c r="J32" s="18">
        <f t="shared" si="8"/>
        <v>183622972.81324133</v>
      </c>
      <c r="K32" s="18">
        <f t="shared" si="8"/>
        <v>204422146.07830945</v>
      </c>
      <c r="L32" s="18">
        <f t="shared" si="8"/>
        <v>223596730.72345474</v>
      </c>
      <c r="M32" s="18">
        <f t="shared" si="8"/>
        <v>248028941.53606755</v>
      </c>
      <c r="N32" s="18">
        <f t="shared" si="8"/>
        <v>279758115.30241406</v>
      </c>
      <c r="O32" s="18">
        <f t="shared" si="8"/>
        <v>318213676.16485828</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-1373354.01</v>
      </c>
      <c r="D36" s="439">
        <f t="shared" ref="D36:O36" si="9">ROUND(D20*D34,2)</f>
        <v>35021903.109999999</v>
      </c>
      <c r="E36" s="439">
        <f t="shared" si="9"/>
        <v>29682489.5</v>
      </c>
      <c r="F36" s="439">
        <f t="shared" si="9"/>
        <v>28603062.41</v>
      </c>
      <c r="G36" s="439">
        <f t="shared" si="9"/>
        <v>22738536.77</v>
      </c>
      <c r="H36" s="439">
        <f t="shared" si="9"/>
        <v>20443881.190000001</v>
      </c>
      <c r="I36" s="439">
        <f t="shared" si="9"/>
        <v>17675848.77</v>
      </c>
      <c r="J36" s="439">
        <f t="shared" si="9"/>
        <v>19805968.09</v>
      </c>
      <c r="K36" s="439">
        <f t="shared" si="9"/>
        <v>19194289.920000002</v>
      </c>
      <c r="L36" s="439">
        <f t="shared" si="9"/>
        <v>17585025.530000001</v>
      </c>
      <c r="M36" s="439">
        <f t="shared" si="9"/>
        <v>22524669.41</v>
      </c>
      <c r="N36" s="439">
        <f t="shared" si="9"/>
        <v>29386645.460000001</v>
      </c>
      <c r="O36" s="439">
        <f t="shared" si="9"/>
        <v>35683021.270000003</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12</oddHeader>
    <oddFooter>&amp;L&amp;F
&amp;A&amp;R&amp;D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10"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111</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3109882.3752334993</v>
      </c>
      <c r="D8" s="18">
        <v>7759312.2916817255</v>
      </c>
      <c r="E8" s="18">
        <v>6311178.4105709586</v>
      </c>
      <c r="F8" s="18">
        <v>6983617.2285631448</v>
      </c>
      <c r="G8" s="18">
        <v>5624195.965732675</v>
      </c>
      <c r="H8" s="18">
        <v>6065007.6876259837</v>
      </c>
      <c r="I8" s="18">
        <v>5623110.1819435721</v>
      </c>
      <c r="J8" s="18">
        <v>6208893.5749446871</v>
      </c>
      <c r="K8" s="18">
        <v>6474510.0213130526</v>
      </c>
      <c r="L8" s="18">
        <v>5950577.0772680668</v>
      </c>
      <c r="M8" s="18">
        <v>5942915.0506969681</v>
      </c>
      <c r="N8" s="18">
        <v>6439920.7557481481</v>
      </c>
      <c r="O8" s="18">
        <v>7415873.3563260371</v>
      </c>
      <c r="P8" s="18"/>
    </row>
    <row r="9" spans="1:19" x14ac:dyDescent="0.2">
      <c r="A9" s="10">
        <f t="shared" ref="A9:A42" si="1">A8+1</f>
        <v>2</v>
      </c>
    </row>
    <row r="10" spans="1:19" x14ac:dyDescent="0.2">
      <c r="A10" s="10">
        <f t="shared" si="1"/>
        <v>3</v>
      </c>
      <c r="B10" s="432" t="s">
        <v>564</v>
      </c>
      <c r="C10" s="433">
        <v>120989947.11760621</v>
      </c>
      <c r="D10" s="433"/>
      <c r="E10" s="433"/>
      <c r="F10" s="433"/>
      <c r="G10" s="433"/>
      <c r="H10" s="433"/>
      <c r="I10" s="433"/>
      <c r="J10" s="433"/>
      <c r="K10" s="433"/>
      <c r="L10" s="433"/>
      <c r="M10" s="433"/>
      <c r="N10" s="433"/>
      <c r="O10" s="433"/>
      <c r="P10" s="434"/>
    </row>
    <row r="11" spans="1:19" x14ac:dyDescent="0.2">
      <c r="A11" s="10">
        <f t="shared" si="1"/>
        <v>4</v>
      </c>
      <c r="B11" s="246" t="s">
        <v>624</v>
      </c>
      <c r="C11" s="27">
        <v>2.7550000000000002E-2</v>
      </c>
      <c r="D11" s="27">
        <v>2.7550000000000002E-2</v>
      </c>
      <c r="E11" s="27">
        <v>2.7550000000000002E-2</v>
      </c>
      <c r="F11" s="27">
        <v>2.7550000000000002E-2</v>
      </c>
      <c r="G11" s="27">
        <v>2.7550000000000002E-2</v>
      </c>
      <c r="H11" s="27">
        <v>2.7550000000000002E-2</v>
      </c>
      <c r="I11" s="27">
        <v>2.7550000000000002E-2</v>
      </c>
      <c r="J11" s="27">
        <v>2.7550000000000002E-2</v>
      </c>
      <c r="K11" s="27">
        <v>2.7550000000000002E-2</v>
      </c>
      <c r="L11" s="27">
        <v>2.7550000000000002E-2</v>
      </c>
      <c r="M11" s="27">
        <v>2.7550000000000002E-2</v>
      </c>
      <c r="N11" s="27">
        <v>2.7550000000000002E-2</v>
      </c>
      <c r="O11" s="27">
        <v>2.7550000000000002E-2</v>
      </c>
      <c r="P11" s="28"/>
    </row>
    <row r="12" spans="1:19" x14ac:dyDescent="0.2">
      <c r="A12" s="10">
        <f t="shared" si="1"/>
        <v>5</v>
      </c>
      <c r="B12" s="246" t="s">
        <v>625</v>
      </c>
      <c r="C12" s="18">
        <f t="shared" ref="C12:O12" si="2">C10*C11</f>
        <v>3333273.043090051</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2.7550000000000002E-2</v>
      </c>
      <c r="D15" s="27">
        <v>2.7550000000000002E-2</v>
      </c>
      <c r="E15" s="27">
        <v>2.7550000000000002E-2</v>
      </c>
      <c r="F15" s="27">
        <v>2.7550000000000002E-2</v>
      </c>
      <c r="G15" s="27">
        <v>2.7550000000000002E-2</v>
      </c>
      <c r="H15" s="27">
        <v>2.7550000000000002E-2</v>
      </c>
      <c r="I15" s="27">
        <v>2.7550000000000002E-2</v>
      </c>
      <c r="J15" s="27">
        <v>2.7550000000000002E-2</v>
      </c>
      <c r="K15" s="27">
        <v>2.7550000000000002E-2</v>
      </c>
      <c r="L15" s="27">
        <v>2.7550000000000002E-2</v>
      </c>
      <c r="M15" s="27">
        <v>2.7550000000000002E-2</v>
      </c>
      <c r="N15" s="27">
        <v>2.7550000000000002E-2</v>
      </c>
      <c r="O15" s="27">
        <v>2.7550000000000002E-2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3333273.043090051</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-223390.66785655171</v>
      </c>
      <c r="D20" s="18">
        <f t="shared" ref="D20:O20" si="5">D8-D18</f>
        <v>7759312.2916817255</v>
      </c>
      <c r="E20" s="18">
        <f t="shared" si="5"/>
        <v>6311178.4105709586</v>
      </c>
      <c r="F20" s="18">
        <f t="shared" si="5"/>
        <v>6983617.2285631448</v>
      </c>
      <c r="G20" s="18">
        <f t="shared" si="5"/>
        <v>5624195.965732675</v>
      </c>
      <c r="H20" s="18">
        <f t="shared" si="5"/>
        <v>6065007.6876259837</v>
      </c>
      <c r="I20" s="18">
        <f t="shared" si="5"/>
        <v>5623110.1819435721</v>
      </c>
      <c r="J20" s="18">
        <f t="shared" si="5"/>
        <v>6208893.5749446871</v>
      </c>
      <c r="K20" s="18">
        <f t="shared" si="5"/>
        <v>6474510.0213130526</v>
      </c>
      <c r="L20" s="18">
        <f t="shared" si="5"/>
        <v>5950577.0772680668</v>
      </c>
      <c r="M20" s="18">
        <f t="shared" si="5"/>
        <v>5942915.0506969681</v>
      </c>
      <c r="N20" s="18">
        <f t="shared" si="5"/>
        <v>6439920.7557481481</v>
      </c>
      <c r="O20" s="18">
        <f t="shared" si="5"/>
        <v>7415873.3563260371</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-373.20622058333333</v>
      </c>
      <c r="D22" s="18">
        <v>12332.70687916667</v>
      </c>
      <c r="E22" s="18">
        <v>36062.826891666671</v>
      </c>
      <c r="F22" s="18">
        <v>58484.724087500006</v>
      </c>
      <c r="G22" s="18">
        <v>79748.01380208334</v>
      </c>
      <c r="H22" s="18">
        <v>99462.053017708342</v>
      </c>
      <c r="I22" s="18">
        <v>119174.26103229169</v>
      </c>
      <c r="J22" s="18">
        <v>139129.13503333335</v>
      </c>
      <c r="K22" s="18">
        <v>160519.90923541668</v>
      </c>
      <c r="L22" s="18">
        <v>181475.02829791667</v>
      </c>
      <c r="M22" s="18">
        <v>201533.60346770834</v>
      </c>
      <c r="N22" s="18">
        <v>222417.46501145838</v>
      </c>
      <c r="O22" s="18">
        <v>245785.49559583332</v>
      </c>
      <c r="P22" s="36"/>
    </row>
    <row r="23" spans="1:16" x14ac:dyDescent="0.2">
      <c r="A23" s="10">
        <f t="shared" si="1"/>
        <v>16</v>
      </c>
    </row>
    <row r="24" spans="1:16" x14ac:dyDescent="0.2">
      <c r="A24" s="10">
        <f t="shared" si="1"/>
        <v>17</v>
      </c>
      <c r="B24" s="246" t="s">
        <v>604</v>
      </c>
      <c r="C24" s="18">
        <f>C20+C22</f>
        <v>-223763.87407713503</v>
      </c>
      <c r="D24" s="18">
        <f t="shared" ref="D24:O24" si="6">C24+D20+D22</f>
        <v>7547881.1244837577</v>
      </c>
      <c r="E24" s="18">
        <f t="shared" si="6"/>
        <v>13895122.361946383</v>
      </c>
      <c r="F24" s="18">
        <f t="shared" si="6"/>
        <v>20937224.314597026</v>
      </c>
      <c r="G24" s="18">
        <f t="shared" si="6"/>
        <v>26641168.294131786</v>
      </c>
      <c r="H24" s="18">
        <f t="shared" si="6"/>
        <v>32805638.034775477</v>
      </c>
      <c r="I24" s="18">
        <f t="shared" si="6"/>
        <v>38547922.477751337</v>
      </c>
      <c r="J24" s="18">
        <f t="shared" si="6"/>
        <v>44895945.187729359</v>
      </c>
      <c r="K24" s="18">
        <f t="shared" si="6"/>
        <v>51530975.118277833</v>
      </c>
      <c r="L24" s="18">
        <f t="shared" si="6"/>
        <v>57663027.223843813</v>
      </c>
      <c r="M24" s="18">
        <f t="shared" si="6"/>
        <v>63807475.878008492</v>
      </c>
      <c r="N24" s="18">
        <f t="shared" si="6"/>
        <v>70469814.0987681</v>
      </c>
      <c r="O24" s="18">
        <f t="shared" si="6"/>
        <v>78131472.950689971</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-223763.87407713503</v>
      </c>
      <c r="D32" s="18">
        <f>C32+D20+D22-D30</f>
        <v>7547881.1244837577</v>
      </c>
      <c r="E32" s="18">
        <f t="shared" ref="E32:O32" si="8">D32+E20+E22-E30</f>
        <v>13895122.361946383</v>
      </c>
      <c r="F32" s="18">
        <f t="shared" si="8"/>
        <v>20937224.314597026</v>
      </c>
      <c r="G32" s="18">
        <f t="shared" si="8"/>
        <v>26641168.294131786</v>
      </c>
      <c r="H32" s="18">
        <f t="shared" si="8"/>
        <v>32805638.034775477</v>
      </c>
      <c r="I32" s="18">
        <f t="shared" si="8"/>
        <v>38547922.477751337</v>
      </c>
      <c r="J32" s="18">
        <f t="shared" si="8"/>
        <v>44895945.187729359</v>
      </c>
      <c r="K32" s="18">
        <f t="shared" si="8"/>
        <v>51530975.118277833</v>
      </c>
      <c r="L32" s="18">
        <f t="shared" si="8"/>
        <v>57663027.223843813</v>
      </c>
      <c r="M32" s="18">
        <f t="shared" si="8"/>
        <v>63807475.878008492</v>
      </c>
      <c r="N32" s="18">
        <f t="shared" si="8"/>
        <v>70469814.0987681</v>
      </c>
      <c r="O32" s="18">
        <f t="shared" si="8"/>
        <v>78131472.950689971</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-212754.14</v>
      </c>
      <c r="D36" s="439">
        <f t="shared" ref="D36:O36" si="9">ROUND(D20*D34,2)</f>
        <v>7389860.4000000004</v>
      </c>
      <c r="E36" s="439">
        <f t="shared" si="9"/>
        <v>6010677.96</v>
      </c>
      <c r="F36" s="439">
        <f t="shared" si="9"/>
        <v>6651099.2800000003</v>
      </c>
      <c r="G36" s="439">
        <f t="shared" si="9"/>
        <v>5356405.5</v>
      </c>
      <c r="H36" s="439">
        <f t="shared" si="9"/>
        <v>5776228.4100000001</v>
      </c>
      <c r="I36" s="439">
        <f t="shared" si="9"/>
        <v>5355371.41</v>
      </c>
      <c r="J36" s="439">
        <f t="shared" si="9"/>
        <v>5913263.3200000003</v>
      </c>
      <c r="K36" s="439">
        <f t="shared" si="9"/>
        <v>6166232.7000000002</v>
      </c>
      <c r="L36" s="439">
        <f t="shared" si="9"/>
        <v>5667246.2999999998</v>
      </c>
      <c r="M36" s="439">
        <f t="shared" si="9"/>
        <v>5659949.0899999999</v>
      </c>
      <c r="N36" s="439">
        <f t="shared" si="9"/>
        <v>6133290.3700000001</v>
      </c>
      <c r="O36" s="439">
        <f t="shared" si="9"/>
        <v>7062773.96</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13</oddHeader>
    <oddFooter>&amp;L&amp;F
&amp;A&amp;R&amp;D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112</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3176617.9525498389</v>
      </c>
      <c r="D8" s="18">
        <v>7197855.9265863048</v>
      </c>
      <c r="E8" s="18">
        <v>6600315.2367277034</v>
      </c>
      <c r="F8" s="18">
        <v>7223459.9209639924</v>
      </c>
      <c r="G8" s="18">
        <v>5752171.1186450766</v>
      </c>
      <c r="H8" s="18">
        <v>6149126.3629455753</v>
      </c>
      <c r="I8" s="18">
        <v>6548955.7199478066</v>
      </c>
      <c r="J8" s="18">
        <v>6708468.656003085</v>
      </c>
      <c r="K8" s="18">
        <v>6389844.3104158901</v>
      </c>
      <c r="L8" s="18">
        <v>6818699.758621824</v>
      </c>
      <c r="M8" s="18">
        <v>6498686.8444149019</v>
      </c>
      <c r="N8" s="18">
        <v>6632387.3741147527</v>
      </c>
      <c r="O8" s="18">
        <v>7575012.0406957697</v>
      </c>
      <c r="P8" s="18"/>
    </row>
    <row r="9" spans="1:19" x14ac:dyDescent="0.2">
      <c r="A9" s="10">
        <f t="shared" ref="A9:A42" si="1">A8+1</f>
        <v>2</v>
      </c>
    </row>
    <row r="10" spans="1:19" x14ac:dyDescent="0.2">
      <c r="A10" s="10">
        <f t="shared" si="1"/>
        <v>3</v>
      </c>
      <c r="B10" s="432" t="s">
        <v>564</v>
      </c>
      <c r="C10" s="433">
        <v>119510423.71096371</v>
      </c>
      <c r="D10" s="433"/>
      <c r="E10" s="433"/>
      <c r="F10" s="433"/>
      <c r="G10" s="433"/>
      <c r="H10" s="433"/>
      <c r="I10" s="433"/>
      <c r="J10" s="433"/>
      <c r="K10" s="433"/>
      <c r="L10" s="433"/>
      <c r="M10" s="433"/>
      <c r="N10" s="433"/>
      <c r="O10" s="433"/>
      <c r="P10" s="434"/>
    </row>
    <row r="11" spans="1:19" x14ac:dyDescent="0.2">
      <c r="A11" s="10">
        <f t="shared" si="1"/>
        <v>4</v>
      </c>
      <c r="B11" s="246" t="s">
        <v>624</v>
      </c>
      <c r="C11" s="27">
        <v>2.6896E-2</v>
      </c>
      <c r="D11" s="27">
        <v>2.6896E-2</v>
      </c>
      <c r="E11" s="27">
        <v>2.6896E-2</v>
      </c>
      <c r="F11" s="27">
        <v>2.6896E-2</v>
      </c>
      <c r="G11" s="27">
        <v>2.6896E-2</v>
      </c>
      <c r="H11" s="27">
        <v>2.6896E-2</v>
      </c>
      <c r="I11" s="27">
        <v>2.6896E-2</v>
      </c>
      <c r="J11" s="27">
        <v>2.6896E-2</v>
      </c>
      <c r="K11" s="27">
        <v>2.6896E-2</v>
      </c>
      <c r="L11" s="27">
        <v>2.6896E-2</v>
      </c>
      <c r="M11" s="27">
        <v>2.6896E-2</v>
      </c>
      <c r="N11" s="27">
        <v>2.6896E-2</v>
      </c>
      <c r="O11" s="27">
        <v>2.6896E-2</v>
      </c>
      <c r="P11" s="28"/>
    </row>
    <row r="12" spans="1:19" x14ac:dyDescent="0.2">
      <c r="A12" s="10">
        <f t="shared" si="1"/>
        <v>5</v>
      </c>
      <c r="B12" s="246" t="s">
        <v>625</v>
      </c>
      <c r="C12" s="18">
        <f t="shared" ref="C12:O12" si="2">C10*C11</f>
        <v>3214352.3561300798</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2.6896E-2</v>
      </c>
      <c r="D15" s="27">
        <v>2.6896E-2</v>
      </c>
      <c r="E15" s="27">
        <v>2.6896E-2</v>
      </c>
      <c r="F15" s="27">
        <v>2.6896E-2</v>
      </c>
      <c r="G15" s="27">
        <v>2.6896E-2</v>
      </c>
      <c r="H15" s="27">
        <v>2.6896E-2</v>
      </c>
      <c r="I15" s="27">
        <v>2.6896E-2</v>
      </c>
      <c r="J15" s="27">
        <v>2.6896E-2</v>
      </c>
      <c r="K15" s="27">
        <v>2.6896E-2</v>
      </c>
      <c r="L15" s="27">
        <v>2.6896E-2</v>
      </c>
      <c r="M15" s="27">
        <v>2.6896E-2</v>
      </c>
      <c r="N15" s="27">
        <v>2.6896E-2</v>
      </c>
      <c r="O15" s="27">
        <v>2.6896E-2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3214352.3561300798</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-37734.403580240905</v>
      </c>
      <c r="D20" s="18">
        <f t="shared" ref="D20:O20" si="5">D8-D18</f>
        <v>7197855.9265863048</v>
      </c>
      <c r="E20" s="18">
        <f t="shared" si="5"/>
        <v>6600315.2367277034</v>
      </c>
      <c r="F20" s="18">
        <f t="shared" si="5"/>
        <v>7223459.9209639924</v>
      </c>
      <c r="G20" s="18">
        <f t="shared" si="5"/>
        <v>5752171.1186450766</v>
      </c>
      <c r="H20" s="18">
        <f t="shared" si="5"/>
        <v>6149126.3629455753</v>
      </c>
      <c r="I20" s="18">
        <f t="shared" si="5"/>
        <v>6548955.7199478066</v>
      </c>
      <c r="J20" s="18">
        <f t="shared" si="5"/>
        <v>6708468.656003085</v>
      </c>
      <c r="K20" s="18">
        <f t="shared" si="5"/>
        <v>6389844.3104158901</v>
      </c>
      <c r="L20" s="18">
        <f t="shared" si="5"/>
        <v>6818699.758621824</v>
      </c>
      <c r="M20" s="18">
        <f t="shared" si="5"/>
        <v>6498686.8444149019</v>
      </c>
      <c r="N20" s="18">
        <f t="shared" si="5"/>
        <v>6632387.3741147527</v>
      </c>
      <c r="O20" s="18">
        <f t="shared" si="5"/>
        <v>7575012.0406957697</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-63.040750500000001</v>
      </c>
      <c r="D22" s="18">
        <v>12012.026051041668</v>
      </c>
      <c r="E22" s="18">
        <v>35282.874559375006</v>
      </c>
      <c r="F22" s="18">
        <v>58596.904643750015</v>
      </c>
      <c r="G22" s="18">
        <v>80480.525350000025</v>
      </c>
      <c r="H22" s="18">
        <v>100552.26438125002</v>
      </c>
      <c r="I22" s="18">
        <v>121967.79408958335</v>
      </c>
      <c r="J22" s="18">
        <v>144326.66401562502</v>
      </c>
      <c r="K22" s="18">
        <v>166417.18986250003</v>
      </c>
      <c r="L22" s="18">
        <v>188693.62232604169</v>
      </c>
      <c r="M22" s="18">
        <v>211153.61956770837</v>
      </c>
      <c r="N22" s="18">
        <v>233299.39782291671</v>
      </c>
      <c r="O22" s="18">
        <v>257260.41668750005</v>
      </c>
      <c r="P22" s="36"/>
    </row>
    <row r="23" spans="1:16" x14ac:dyDescent="0.2">
      <c r="A23" s="10">
        <f t="shared" si="1"/>
        <v>16</v>
      </c>
    </row>
    <row r="24" spans="1:16" x14ac:dyDescent="0.2">
      <c r="A24" s="10">
        <f t="shared" si="1"/>
        <v>17</v>
      </c>
      <c r="B24" s="246" t="s">
        <v>604</v>
      </c>
      <c r="C24" s="18">
        <f>C20+C22</f>
        <v>-37797.444330740902</v>
      </c>
      <c r="D24" s="18">
        <f t="shared" ref="D24:O24" si="6">C24+D20+D22</f>
        <v>7172070.5083066057</v>
      </c>
      <c r="E24" s="18">
        <f t="shared" si="6"/>
        <v>13807668.619593684</v>
      </c>
      <c r="F24" s="18">
        <f t="shared" si="6"/>
        <v>21089725.445201427</v>
      </c>
      <c r="G24" s="18">
        <f t="shared" si="6"/>
        <v>26922377.089196503</v>
      </c>
      <c r="H24" s="18">
        <f t="shared" si="6"/>
        <v>33172055.716523327</v>
      </c>
      <c r="I24" s="18">
        <f t="shared" si="6"/>
        <v>39842979.23056072</v>
      </c>
      <c r="J24" s="18">
        <f t="shared" si="6"/>
        <v>46695774.550579436</v>
      </c>
      <c r="K24" s="18">
        <f t="shared" si="6"/>
        <v>53252036.05085782</v>
      </c>
      <c r="L24" s="18">
        <f t="shared" si="6"/>
        <v>60259429.431805685</v>
      </c>
      <c r="M24" s="18">
        <f t="shared" si="6"/>
        <v>66969269.895788297</v>
      </c>
      <c r="N24" s="18">
        <f t="shared" si="6"/>
        <v>73834956.667725965</v>
      </c>
      <c r="O24" s="18">
        <f t="shared" si="6"/>
        <v>81667229.12510924</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-37797.444330740902</v>
      </c>
      <c r="D32" s="18">
        <f>C32+D20+D22-D30</f>
        <v>7172070.5083066057</v>
      </c>
      <c r="E32" s="18">
        <f t="shared" ref="E32:O32" si="8">D32+E20+E22-E30</f>
        <v>13807668.619593684</v>
      </c>
      <c r="F32" s="18">
        <f t="shared" si="8"/>
        <v>21089725.445201427</v>
      </c>
      <c r="G32" s="18">
        <f t="shared" si="8"/>
        <v>26922377.089196503</v>
      </c>
      <c r="H32" s="18">
        <f t="shared" si="8"/>
        <v>33172055.716523327</v>
      </c>
      <c r="I32" s="18">
        <f t="shared" si="8"/>
        <v>39842979.23056072</v>
      </c>
      <c r="J32" s="18">
        <f t="shared" si="8"/>
        <v>46695774.550579436</v>
      </c>
      <c r="K32" s="18">
        <f t="shared" si="8"/>
        <v>53252036.05085782</v>
      </c>
      <c r="L32" s="18">
        <f t="shared" si="8"/>
        <v>60259429.431805685</v>
      </c>
      <c r="M32" s="18">
        <f t="shared" si="8"/>
        <v>66969269.895788297</v>
      </c>
      <c r="N32" s="18">
        <f t="shared" si="8"/>
        <v>73834956.667725965</v>
      </c>
      <c r="O32" s="18">
        <f t="shared" si="8"/>
        <v>81667229.12510924</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-35937.72</v>
      </c>
      <c r="D36" s="439">
        <f t="shared" ref="D36:O36" si="9">ROUND(D20*D34,2)</f>
        <v>6855137.21</v>
      </c>
      <c r="E36" s="439">
        <f t="shared" si="9"/>
        <v>6286047.8300000001</v>
      </c>
      <c r="F36" s="439">
        <f t="shared" si="9"/>
        <v>6879522.0999999996</v>
      </c>
      <c r="G36" s="439">
        <f t="shared" si="9"/>
        <v>5478287.2400000002</v>
      </c>
      <c r="H36" s="439">
        <f t="shared" si="9"/>
        <v>5856341.8600000003</v>
      </c>
      <c r="I36" s="439">
        <f t="shared" si="9"/>
        <v>6237133.7400000002</v>
      </c>
      <c r="J36" s="439">
        <f t="shared" si="9"/>
        <v>6389051.6299999999</v>
      </c>
      <c r="K36" s="439">
        <f t="shared" si="9"/>
        <v>6085598.2599999998</v>
      </c>
      <c r="L36" s="439">
        <f t="shared" si="9"/>
        <v>6494034.1900000004</v>
      </c>
      <c r="M36" s="439">
        <f t="shared" si="9"/>
        <v>6189258.3700000001</v>
      </c>
      <c r="N36" s="439">
        <f t="shared" si="9"/>
        <v>6316592.8799999999</v>
      </c>
      <c r="O36" s="439">
        <f t="shared" si="9"/>
        <v>7214335.4199999999</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14</oddHeader>
    <oddFooter>&amp;L&amp;F
&amp;A&amp;R&amp;D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4" width="14.140625" style="246" customWidth="1"/>
    <col min="15" max="15" width="14.28515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389</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597983.92571404867</v>
      </c>
      <c r="D8" s="18">
        <v>1434327.8644169222</v>
      </c>
      <c r="E8" s="18">
        <v>1128023.1217243255</v>
      </c>
      <c r="F8" s="18">
        <v>1149532.8493864734</v>
      </c>
      <c r="G8" s="18">
        <v>1147498.1704503982</v>
      </c>
      <c r="H8" s="18">
        <v>1469898.6546993111</v>
      </c>
      <c r="I8" s="18">
        <v>1250243.1793726198</v>
      </c>
      <c r="J8" s="18">
        <v>1258698.2518576353</v>
      </c>
      <c r="K8" s="18">
        <v>1626107.4706731471</v>
      </c>
      <c r="L8" s="18">
        <v>1157573.1459075746</v>
      </c>
      <c r="M8" s="18">
        <v>1333253.4791929605</v>
      </c>
      <c r="N8" s="18">
        <v>1215285.5198475821</v>
      </c>
      <c r="O8" s="18">
        <v>1425961.6690104236</v>
      </c>
      <c r="P8" s="18"/>
    </row>
    <row r="9" spans="1:19" x14ac:dyDescent="0.2">
      <c r="A9" s="10">
        <f t="shared" ref="A9:A42" si="1">A8+1</f>
        <v>2</v>
      </c>
    </row>
    <row r="10" spans="1:19" x14ac:dyDescent="0.2">
      <c r="A10" s="10">
        <f t="shared" si="1"/>
        <v>3</v>
      </c>
      <c r="B10" s="432" t="s">
        <v>564</v>
      </c>
      <c r="C10" s="433">
        <v>18431024.893425465</v>
      </c>
      <c r="D10" s="433"/>
      <c r="E10" s="433"/>
      <c r="F10" s="433"/>
      <c r="G10" s="433"/>
      <c r="H10" s="433"/>
      <c r="I10" s="433"/>
      <c r="J10" s="433"/>
      <c r="K10" s="433"/>
      <c r="L10" s="433"/>
      <c r="M10" s="433"/>
      <c r="N10" s="433"/>
      <c r="O10" s="433"/>
      <c r="P10" s="434"/>
    </row>
    <row r="11" spans="1:19" x14ac:dyDescent="0.2">
      <c r="A11" s="10">
        <f t="shared" si="1"/>
        <v>4</v>
      </c>
      <c r="B11" s="246" t="s">
        <v>624</v>
      </c>
      <c r="C11" s="27">
        <v>2.5087999999999999E-2</v>
      </c>
      <c r="D11" s="27">
        <v>2.5087999999999999E-2</v>
      </c>
      <c r="E11" s="27">
        <v>2.5087999999999999E-2</v>
      </c>
      <c r="F11" s="27">
        <v>2.5087999999999999E-2</v>
      </c>
      <c r="G11" s="27">
        <v>2.5087999999999999E-2</v>
      </c>
      <c r="H11" s="27">
        <v>2.5087999999999999E-2</v>
      </c>
      <c r="I11" s="27">
        <v>2.5087999999999999E-2</v>
      </c>
      <c r="J11" s="27">
        <v>2.5087999999999999E-2</v>
      </c>
      <c r="K11" s="27">
        <v>2.5087999999999999E-2</v>
      </c>
      <c r="L11" s="27">
        <v>2.5087999999999999E-2</v>
      </c>
      <c r="M11" s="27">
        <v>2.5087999999999999E-2</v>
      </c>
      <c r="N11" s="27">
        <v>2.5087999999999999E-2</v>
      </c>
      <c r="O11" s="27">
        <v>2.5087999999999999E-2</v>
      </c>
      <c r="P11" s="28"/>
    </row>
    <row r="12" spans="1:19" x14ac:dyDescent="0.2">
      <c r="A12" s="10">
        <f t="shared" si="1"/>
        <v>5</v>
      </c>
      <c r="B12" s="246" t="s">
        <v>625</v>
      </c>
      <c r="C12" s="18">
        <f t="shared" ref="C12:O12" si="2">C10*C11</f>
        <v>462397.55252625805</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2.5087999999999999E-2</v>
      </c>
      <c r="D15" s="27">
        <v>2.5087999999999999E-2</v>
      </c>
      <c r="E15" s="27">
        <v>2.5087999999999999E-2</v>
      </c>
      <c r="F15" s="27">
        <v>2.5087999999999999E-2</v>
      </c>
      <c r="G15" s="27">
        <v>2.5087999999999999E-2</v>
      </c>
      <c r="H15" s="27">
        <v>2.5087999999999999E-2</v>
      </c>
      <c r="I15" s="27">
        <v>2.5087999999999999E-2</v>
      </c>
      <c r="J15" s="27">
        <v>2.5087999999999999E-2</v>
      </c>
      <c r="K15" s="27">
        <v>2.5087999999999999E-2</v>
      </c>
      <c r="L15" s="27">
        <v>2.5087999999999999E-2</v>
      </c>
      <c r="M15" s="27">
        <v>2.5087999999999999E-2</v>
      </c>
      <c r="N15" s="27">
        <v>2.5087999999999999E-2</v>
      </c>
      <c r="O15" s="27">
        <v>2.5087999999999999E-2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462397.55252625805</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135586.37318779062</v>
      </c>
      <c r="D20" s="18">
        <f t="shared" ref="D20:O20" si="5">D8-D18</f>
        <v>1434327.8644169222</v>
      </c>
      <c r="E20" s="18">
        <f t="shared" si="5"/>
        <v>1128023.1217243255</v>
      </c>
      <c r="F20" s="18">
        <f t="shared" si="5"/>
        <v>1149532.8493864734</v>
      </c>
      <c r="G20" s="18">
        <f t="shared" si="5"/>
        <v>1147498.1704503982</v>
      </c>
      <c r="H20" s="18">
        <f t="shared" si="5"/>
        <v>1469898.6546993111</v>
      </c>
      <c r="I20" s="18">
        <f t="shared" si="5"/>
        <v>1250243.1793726198</v>
      </c>
      <c r="J20" s="18">
        <f t="shared" si="5"/>
        <v>1258698.2518576353</v>
      </c>
      <c r="K20" s="18">
        <f t="shared" si="5"/>
        <v>1626107.4706731471</v>
      </c>
      <c r="L20" s="18">
        <f t="shared" si="5"/>
        <v>1157573.1459075746</v>
      </c>
      <c r="M20" s="18">
        <f t="shared" si="5"/>
        <v>1333253.4791929605</v>
      </c>
      <c r="N20" s="18">
        <f t="shared" si="5"/>
        <v>1215285.5198475821</v>
      </c>
      <c r="O20" s="18">
        <f t="shared" si="5"/>
        <v>1425961.6690104236</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226.516524</v>
      </c>
      <c r="D22" s="18">
        <v>2876.3555520833338</v>
      </c>
      <c r="E22" s="18">
        <v>7197.8037364583352</v>
      </c>
      <c r="F22" s="18">
        <v>11038.940313541665</v>
      </c>
      <c r="G22" s="18">
        <v>14912.921882291666</v>
      </c>
      <c r="H22" s="18">
        <v>19327.205791666667</v>
      </c>
      <c r="I22" s="18">
        <v>23914.770895833335</v>
      </c>
      <c r="J22" s="18">
        <v>28146.142951041664</v>
      </c>
      <c r="K22" s="18">
        <v>33011.416478125007</v>
      </c>
      <c r="L22" s="18">
        <v>37706.140816666659</v>
      </c>
      <c r="M22" s="18">
        <v>41906.961959374996</v>
      </c>
      <c r="N22" s="18">
        <v>46205.116000000002</v>
      </c>
      <c r="O22" s="18">
        <v>50659.623963541664</v>
      </c>
      <c r="P22" s="36"/>
    </row>
    <row r="23" spans="1:16" x14ac:dyDescent="0.2">
      <c r="A23" s="10">
        <f t="shared" si="1"/>
        <v>16</v>
      </c>
    </row>
    <row r="24" spans="1:16" x14ac:dyDescent="0.2">
      <c r="A24" s="10">
        <f t="shared" si="1"/>
        <v>17</v>
      </c>
      <c r="B24" s="246" t="s">
        <v>604</v>
      </c>
      <c r="C24" s="18">
        <f>C20+C22</f>
        <v>135812.88971179063</v>
      </c>
      <c r="D24" s="18">
        <f t="shared" ref="D24:O24" si="6">C24+D20+D22</f>
        <v>1573017.1096807963</v>
      </c>
      <c r="E24" s="18">
        <f t="shared" si="6"/>
        <v>2708238.0351415803</v>
      </c>
      <c r="F24" s="18">
        <f t="shared" si="6"/>
        <v>3868809.8248415957</v>
      </c>
      <c r="G24" s="18">
        <f t="shared" si="6"/>
        <v>5031220.9171742853</v>
      </c>
      <c r="H24" s="18">
        <f t="shared" si="6"/>
        <v>6520446.777665263</v>
      </c>
      <c r="I24" s="18">
        <f t="shared" si="6"/>
        <v>7794604.727933716</v>
      </c>
      <c r="J24" s="18">
        <f t="shared" si="6"/>
        <v>9081449.1227423921</v>
      </c>
      <c r="K24" s="18">
        <f t="shared" si="6"/>
        <v>10740568.009893665</v>
      </c>
      <c r="L24" s="18">
        <f t="shared" si="6"/>
        <v>11935847.296617907</v>
      </c>
      <c r="M24" s="18">
        <f t="shared" si="6"/>
        <v>13311007.737770243</v>
      </c>
      <c r="N24" s="18">
        <f t="shared" si="6"/>
        <v>14572498.373617824</v>
      </c>
      <c r="O24" s="18">
        <f t="shared" si="6"/>
        <v>16049119.66659179</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135812.88971179063</v>
      </c>
      <c r="D32" s="18">
        <f>C32+D20+D22-D30</f>
        <v>1573017.1096807963</v>
      </c>
      <c r="E32" s="18">
        <f t="shared" ref="E32:O32" si="8">D32+E20+E22-E30</f>
        <v>2708238.0351415803</v>
      </c>
      <c r="F32" s="18">
        <f t="shared" si="8"/>
        <v>3868809.8248415957</v>
      </c>
      <c r="G32" s="18">
        <f t="shared" si="8"/>
        <v>5031220.9171742853</v>
      </c>
      <c r="H32" s="18">
        <f t="shared" si="8"/>
        <v>6520446.777665263</v>
      </c>
      <c r="I32" s="18">
        <f t="shared" si="8"/>
        <v>7794604.727933716</v>
      </c>
      <c r="J32" s="18">
        <f t="shared" si="8"/>
        <v>9081449.1227423921</v>
      </c>
      <c r="K32" s="18">
        <f t="shared" si="8"/>
        <v>10740568.009893665</v>
      </c>
      <c r="L32" s="18">
        <f t="shared" si="8"/>
        <v>11935847.296617907</v>
      </c>
      <c r="M32" s="18">
        <f t="shared" si="8"/>
        <v>13311007.737770243</v>
      </c>
      <c r="N32" s="18">
        <f t="shared" si="8"/>
        <v>14572498.373617824</v>
      </c>
      <c r="O32" s="18">
        <f t="shared" si="8"/>
        <v>16049119.66659179</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129130.56</v>
      </c>
      <c r="D36" s="439">
        <f t="shared" ref="D36:O36" si="9">ROUND(D20*D34,2)</f>
        <v>1366033.78</v>
      </c>
      <c r="E36" s="439">
        <f t="shared" si="9"/>
        <v>1074313.43</v>
      </c>
      <c r="F36" s="439">
        <f t="shared" si="9"/>
        <v>1094798.99</v>
      </c>
      <c r="G36" s="439">
        <f t="shared" si="9"/>
        <v>1092861.19</v>
      </c>
      <c r="H36" s="439">
        <f t="shared" si="9"/>
        <v>1399910.9</v>
      </c>
      <c r="I36" s="439">
        <f t="shared" si="9"/>
        <v>1190714.1000000001</v>
      </c>
      <c r="J36" s="439">
        <f t="shared" si="9"/>
        <v>1198766.5900000001</v>
      </c>
      <c r="K36" s="439">
        <f t="shared" si="9"/>
        <v>1548681.99</v>
      </c>
      <c r="L36" s="439">
        <f t="shared" si="9"/>
        <v>1102456.46</v>
      </c>
      <c r="M36" s="439">
        <f t="shared" si="9"/>
        <v>1269771.95</v>
      </c>
      <c r="N36" s="439">
        <f t="shared" si="9"/>
        <v>1157420.92</v>
      </c>
      <c r="O36" s="439">
        <f t="shared" si="9"/>
        <v>1358065.93</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15</oddHeader>
    <oddFooter>&amp;L&amp;F
&amp;A&amp;R&amp;D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614</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1882812.4152896183</v>
      </c>
      <c r="D8" s="18">
        <v>4093834.6251108712</v>
      </c>
      <c r="E8" s="18">
        <v>3982271.9871035586</v>
      </c>
      <c r="F8" s="18">
        <v>4123862.62639509</v>
      </c>
      <c r="G8" s="18">
        <v>4005590.8055399219</v>
      </c>
      <c r="H8" s="18">
        <v>3632623.2458415348</v>
      </c>
      <c r="I8" s="18">
        <v>4566505.5259191049</v>
      </c>
      <c r="J8" s="18">
        <v>4460616.8014319781</v>
      </c>
      <c r="K8" s="18">
        <v>4296505.6174179027</v>
      </c>
      <c r="L8" s="18">
        <v>4294111.0092143314</v>
      </c>
      <c r="M8" s="18">
        <v>4176336.3971401351</v>
      </c>
      <c r="N8" s="18">
        <v>4028101.6397236437</v>
      </c>
      <c r="O8" s="18">
        <v>4489783.4518444743</v>
      </c>
      <c r="P8" s="18"/>
    </row>
    <row r="9" spans="1:19" x14ac:dyDescent="0.2">
      <c r="A9" s="10">
        <f t="shared" ref="A9:A42" si="1">A8+1</f>
        <v>2</v>
      </c>
    </row>
    <row r="10" spans="1:19" x14ac:dyDescent="0.2">
      <c r="A10" s="10">
        <f t="shared" si="1"/>
        <v>3</v>
      </c>
      <c r="B10" s="432" t="s">
        <v>564</v>
      </c>
      <c r="C10" s="433">
        <v>65750535.829207838</v>
      </c>
      <c r="D10" s="433"/>
      <c r="E10" s="433"/>
      <c r="F10" s="433"/>
      <c r="G10" s="433"/>
      <c r="H10" s="433"/>
      <c r="I10" s="433"/>
      <c r="J10" s="433"/>
      <c r="K10" s="433"/>
      <c r="L10" s="433"/>
      <c r="M10" s="433"/>
      <c r="N10" s="433"/>
      <c r="O10" s="433"/>
      <c r="P10" s="434"/>
    </row>
    <row r="11" spans="1:19" x14ac:dyDescent="0.2">
      <c r="A11" s="10">
        <f t="shared" si="1"/>
        <v>4</v>
      </c>
      <c r="B11" s="246" t="s">
        <v>624</v>
      </c>
      <c r="C11" s="27">
        <v>2.6505999999999998E-2</v>
      </c>
      <c r="D11" s="27">
        <v>2.6505999999999998E-2</v>
      </c>
      <c r="E11" s="27">
        <v>2.6505999999999998E-2</v>
      </c>
      <c r="F11" s="27">
        <v>2.6505999999999998E-2</v>
      </c>
      <c r="G11" s="27">
        <v>2.6505999999999998E-2</v>
      </c>
      <c r="H11" s="27">
        <v>2.6505999999999998E-2</v>
      </c>
      <c r="I11" s="27">
        <v>2.6505999999999998E-2</v>
      </c>
      <c r="J11" s="27">
        <v>2.6505999999999998E-2</v>
      </c>
      <c r="K11" s="27">
        <v>2.6505999999999998E-2</v>
      </c>
      <c r="L11" s="27">
        <v>2.6505999999999998E-2</v>
      </c>
      <c r="M11" s="27">
        <v>2.6505999999999998E-2</v>
      </c>
      <c r="N11" s="27">
        <v>2.6505999999999998E-2</v>
      </c>
      <c r="O11" s="27">
        <v>2.6505999999999998E-2</v>
      </c>
      <c r="P11" s="28"/>
    </row>
    <row r="12" spans="1:19" x14ac:dyDescent="0.2">
      <c r="A12" s="10">
        <f t="shared" si="1"/>
        <v>5</v>
      </c>
      <c r="B12" s="246" t="s">
        <v>625</v>
      </c>
      <c r="C12" s="18">
        <f t="shared" ref="C12:O12" si="2">C10*C11</f>
        <v>1742783.7026889829</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2.6505999999999998E-2</v>
      </c>
      <c r="D15" s="27">
        <v>2.6505999999999998E-2</v>
      </c>
      <c r="E15" s="27">
        <v>2.6505999999999998E-2</v>
      </c>
      <c r="F15" s="27">
        <v>2.6505999999999998E-2</v>
      </c>
      <c r="G15" s="27">
        <v>2.6505999999999998E-2</v>
      </c>
      <c r="H15" s="27">
        <v>2.6505999999999998E-2</v>
      </c>
      <c r="I15" s="27">
        <v>2.6505999999999998E-2</v>
      </c>
      <c r="J15" s="27">
        <v>2.6505999999999998E-2</v>
      </c>
      <c r="K15" s="27">
        <v>2.6505999999999998E-2</v>
      </c>
      <c r="L15" s="27">
        <v>2.6505999999999998E-2</v>
      </c>
      <c r="M15" s="27">
        <v>2.6505999999999998E-2</v>
      </c>
      <c r="N15" s="27">
        <v>2.6505999999999998E-2</v>
      </c>
      <c r="O15" s="27">
        <v>2.6505999999999998E-2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1742783.7026889829</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140028.71260063536</v>
      </c>
      <c r="D20" s="18">
        <f t="shared" ref="D20:O20" si="5">D8-D18</f>
        <v>4093834.6251108712</v>
      </c>
      <c r="E20" s="18">
        <f t="shared" si="5"/>
        <v>3982271.9871035586</v>
      </c>
      <c r="F20" s="18">
        <f t="shared" si="5"/>
        <v>4123862.62639509</v>
      </c>
      <c r="G20" s="18">
        <f t="shared" si="5"/>
        <v>4005590.8055399219</v>
      </c>
      <c r="H20" s="18">
        <f t="shared" si="5"/>
        <v>3632623.2458415348</v>
      </c>
      <c r="I20" s="18">
        <f t="shared" si="5"/>
        <v>4566505.5259191049</v>
      </c>
      <c r="J20" s="18">
        <f t="shared" si="5"/>
        <v>4460616.8014319781</v>
      </c>
      <c r="K20" s="18">
        <f t="shared" si="5"/>
        <v>4296505.6174179027</v>
      </c>
      <c r="L20" s="18">
        <f t="shared" si="5"/>
        <v>4294111.0092143314</v>
      </c>
      <c r="M20" s="18">
        <f t="shared" si="5"/>
        <v>4176336.3971401351</v>
      </c>
      <c r="N20" s="18">
        <f t="shared" si="5"/>
        <v>4028101.6397236437</v>
      </c>
      <c r="O20" s="18">
        <f t="shared" si="5"/>
        <v>4489783.4518444743</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233.93810495833335</v>
      </c>
      <c r="D22" s="18">
        <v>7376.6427625000006</v>
      </c>
      <c r="E22" s="18">
        <v>20997.132844791668</v>
      </c>
      <c r="F22" s="18">
        <v>34668.265661458332</v>
      </c>
      <c r="G22" s="18">
        <v>48378.726047916665</v>
      </c>
      <c r="H22" s="18">
        <v>61260.70292708333</v>
      </c>
      <c r="I22" s="18">
        <v>75088.671953124998</v>
      </c>
      <c r="J22" s="18">
        <v>90313.066082291669</v>
      </c>
      <c r="K22" s="18">
        <v>105082.10081458332</v>
      </c>
      <c r="L22" s="18">
        <v>119570.32072812501</v>
      </c>
      <c r="M22" s="18">
        <v>133855.87322916667</v>
      </c>
      <c r="N22" s="18">
        <v>147692.79643854167</v>
      </c>
      <c r="O22" s="18">
        <v>162058.35338333333</v>
      </c>
      <c r="P22" s="36"/>
    </row>
    <row r="23" spans="1:16" x14ac:dyDescent="0.2">
      <c r="A23" s="10">
        <f t="shared" si="1"/>
        <v>16</v>
      </c>
    </row>
    <row r="24" spans="1:16" x14ac:dyDescent="0.2">
      <c r="A24" s="10">
        <f t="shared" si="1"/>
        <v>17</v>
      </c>
      <c r="B24" s="246" t="s">
        <v>604</v>
      </c>
      <c r="C24" s="18">
        <f>C20+C22</f>
        <v>140262.6507055937</v>
      </c>
      <c r="D24" s="18">
        <f t="shared" ref="D24:O24" si="6">C24+D20+D22</f>
        <v>4241473.9185789647</v>
      </c>
      <c r="E24" s="18">
        <f t="shared" si="6"/>
        <v>8244743.0385273146</v>
      </c>
      <c r="F24" s="18">
        <f t="shared" si="6"/>
        <v>12403273.930583863</v>
      </c>
      <c r="G24" s="18">
        <f t="shared" si="6"/>
        <v>16457243.462171702</v>
      </c>
      <c r="H24" s="18">
        <f t="shared" si="6"/>
        <v>20151127.410940319</v>
      </c>
      <c r="I24" s="18">
        <f t="shared" si="6"/>
        <v>24792721.608812552</v>
      </c>
      <c r="J24" s="18">
        <f t="shared" si="6"/>
        <v>29343651.476326823</v>
      </c>
      <c r="K24" s="18">
        <f t="shared" si="6"/>
        <v>33745239.194559306</v>
      </c>
      <c r="L24" s="18">
        <f t="shared" si="6"/>
        <v>38158920.524501763</v>
      </c>
      <c r="M24" s="18">
        <f t="shared" si="6"/>
        <v>42469112.794871069</v>
      </c>
      <c r="N24" s="18">
        <f t="shared" si="6"/>
        <v>46644907.231033258</v>
      </c>
      <c r="O24" s="18">
        <f t="shared" si="6"/>
        <v>51296749.036261067</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140262.6507055937</v>
      </c>
      <c r="D32" s="18">
        <f>C32+D20+D22-D30</f>
        <v>4241473.9185789647</v>
      </c>
      <c r="E32" s="18">
        <f t="shared" ref="E32:O32" si="8">D32+E20+E22-E30</f>
        <v>8244743.0385273146</v>
      </c>
      <c r="F32" s="18">
        <f t="shared" si="8"/>
        <v>12403273.930583863</v>
      </c>
      <c r="G32" s="18">
        <f t="shared" si="8"/>
        <v>16457243.462171702</v>
      </c>
      <c r="H32" s="18">
        <f t="shared" si="8"/>
        <v>20151127.410940319</v>
      </c>
      <c r="I32" s="18">
        <f t="shared" si="8"/>
        <v>24792721.608812552</v>
      </c>
      <c r="J32" s="18">
        <f t="shared" si="8"/>
        <v>29343651.476326823</v>
      </c>
      <c r="K32" s="18">
        <f t="shared" si="8"/>
        <v>33745239.194559306</v>
      </c>
      <c r="L32" s="18">
        <f t="shared" si="8"/>
        <v>38158920.524501763</v>
      </c>
      <c r="M32" s="18">
        <f t="shared" si="8"/>
        <v>42469112.794871069</v>
      </c>
      <c r="N32" s="18">
        <f t="shared" si="8"/>
        <v>46644907.231033258</v>
      </c>
      <c r="O32" s="18">
        <f t="shared" si="8"/>
        <v>51296749.036261067</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133361.39000000001</v>
      </c>
      <c r="D36" s="439">
        <f t="shared" ref="D36:O36" si="9">ROUND(D20*D34,2)</f>
        <v>3898910.78</v>
      </c>
      <c r="E36" s="439">
        <f t="shared" si="9"/>
        <v>3792660.09</v>
      </c>
      <c r="F36" s="439">
        <f t="shared" si="9"/>
        <v>3927509.03</v>
      </c>
      <c r="G36" s="439">
        <f t="shared" si="9"/>
        <v>3814868.6</v>
      </c>
      <c r="H36" s="439">
        <f t="shared" si="9"/>
        <v>3459659.52</v>
      </c>
      <c r="I36" s="439">
        <f t="shared" si="9"/>
        <v>4349075.93</v>
      </c>
      <c r="J36" s="439">
        <f t="shared" si="9"/>
        <v>4248228.99</v>
      </c>
      <c r="K36" s="439">
        <f t="shared" si="9"/>
        <v>4091931.8</v>
      </c>
      <c r="L36" s="439">
        <f t="shared" si="9"/>
        <v>4089651.21</v>
      </c>
      <c r="M36" s="439">
        <f t="shared" si="9"/>
        <v>3977484.32</v>
      </c>
      <c r="N36" s="439">
        <f t="shared" si="9"/>
        <v>3836307.61</v>
      </c>
      <c r="O36" s="439">
        <f t="shared" si="9"/>
        <v>4276006.9000000004</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16</oddHeader>
    <oddFooter>&amp;L&amp;F
&amp;A&amp;R&amp;D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7"/>
  <sheetViews>
    <sheetView zoomScaleNormal="100" workbookViewId="0">
      <pane xSplit="2" ySplit="6" topLeftCell="C7"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5.5703125" style="246" bestFit="1" customWidth="1"/>
    <col min="2" max="2" width="41" style="246" customWidth="1"/>
    <col min="3" max="15" width="14.140625" style="246" customWidth="1"/>
    <col min="16" max="16" width="12.28515625" style="246" customWidth="1"/>
    <col min="17" max="16384" width="9.140625" style="246"/>
  </cols>
  <sheetData>
    <row r="1" spans="1:19" x14ac:dyDescent="0.2">
      <c r="A1" s="275" t="s">
        <v>0</v>
      </c>
      <c r="B1" s="275"/>
      <c r="C1" s="275"/>
      <c r="D1" s="275"/>
      <c r="E1" s="275"/>
      <c r="F1" s="275"/>
      <c r="G1" s="275"/>
      <c r="H1" s="275"/>
      <c r="I1" s="275"/>
      <c r="J1" s="275"/>
      <c r="K1" s="275"/>
      <c r="L1" s="275"/>
      <c r="M1" s="275"/>
      <c r="N1" s="275"/>
    </row>
    <row r="2" spans="1:19" x14ac:dyDescent="0.2">
      <c r="A2" s="275" t="s">
        <v>1</v>
      </c>
      <c r="B2" s="275"/>
      <c r="C2" s="275"/>
      <c r="D2" s="275"/>
      <c r="E2" s="275"/>
      <c r="F2" s="275"/>
      <c r="G2" s="275"/>
      <c r="H2" s="275"/>
      <c r="I2" s="275"/>
      <c r="J2" s="275"/>
      <c r="K2" s="275"/>
      <c r="L2" s="275"/>
      <c r="M2" s="275"/>
      <c r="N2" s="275"/>
    </row>
    <row r="3" spans="1:19" x14ac:dyDescent="0.2">
      <c r="A3" s="275" t="s">
        <v>621</v>
      </c>
      <c r="B3" s="275"/>
      <c r="C3" s="275"/>
      <c r="D3" s="275"/>
      <c r="E3" s="275"/>
      <c r="F3" s="275"/>
      <c r="G3" s="275"/>
      <c r="H3" s="275"/>
      <c r="I3" s="275"/>
      <c r="J3" s="275"/>
      <c r="K3" s="275"/>
      <c r="L3" s="275"/>
      <c r="M3" s="275"/>
      <c r="N3" s="275"/>
    </row>
    <row r="4" spans="1:19" x14ac:dyDescent="0.2">
      <c r="A4" s="275" t="s">
        <v>618</v>
      </c>
      <c r="B4" s="275"/>
      <c r="C4" s="275"/>
      <c r="D4" s="275"/>
      <c r="E4" s="275"/>
      <c r="F4" s="275"/>
      <c r="G4" s="275"/>
      <c r="H4" s="275"/>
      <c r="I4" s="275"/>
      <c r="J4" s="275"/>
      <c r="K4" s="275"/>
      <c r="L4" s="275"/>
      <c r="M4" s="275"/>
      <c r="N4" s="275"/>
      <c r="O4" s="275"/>
      <c r="P4" s="275"/>
    </row>
    <row r="5" spans="1:19" x14ac:dyDescent="0.2">
      <c r="C5" s="428"/>
    </row>
    <row r="6" spans="1:19" ht="25.5" customHeight="1" x14ac:dyDescent="0.2">
      <c r="A6" s="429" t="s">
        <v>56</v>
      </c>
      <c r="B6" s="383"/>
      <c r="C6" s="384">
        <v>43070</v>
      </c>
      <c r="D6" s="384">
        <f t="shared" ref="D6:O6" si="0">EDATE(C6,1)</f>
        <v>43101</v>
      </c>
      <c r="E6" s="384">
        <f t="shared" si="0"/>
        <v>43132</v>
      </c>
      <c r="F6" s="384">
        <f t="shared" si="0"/>
        <v>43160</v>
      </c>
      <c r="G6" s="384">
        <f t="shared" si="0"/>
        <v>43191</v>
      </c>
      <c r="H6" s="384">
        <f t="shared" si="0"/>
        <v>43221</v>
      </c>
      <c r="I6" s="384">
        <f t="shared" si="0"/>
        <v>43252</v>
      </c>
      <c r="J6" s="384">
        <f t="shared" si="0"/>
        <v>43282</v>
      </c>
      <c r="K6" s="384">
        <f t="shared" si="0"/>
        <v>43313</v>
      </c>
      <c r="L6" s="384">
        <f t="shared" si="0"/>
        <v>43344</v>
      </c>
      <c r="M6" s="384">
        <f t="shared" si="0"/>
        <v>43374</v>
      </c>
      <c r="N6" s="384">
        <f t="shared" si="0"/>
        <v>43405</v>
      </c>
      <c r="O6" s="384">
        <f t="shared" si="0"/>
        <v>43435</v>
      </c>
      <c r="P6" s="430"/>
      <c r="Q6" s="431"/>
      <c r="R6" s="431"/>
      <c r="S6" s="431"/>
    </row>
    <row r="7" spans="1:19" x14ac:dyDescent="0.2">
      <c r="A7" s="10"/>
      <c r="B7" s="10"/>
      <c r="C7" s="10"/>
      <c r="D7" s="10"/>
      <c r="E7" s="10"/>
      <c r="F7" s="10"/>
      <c r="G7" s="10"/>
      <c r="H7" s="10"/>
      <c r="I7" s="10"/>
      <c r="J7" s="10"/>
      <c r="K7" s="10"/>
      <c r="L7" s="10"/>
      <c r="M7" s="10"/>
      <c r="N7" s="10"/>
      <c r="O7" s="10"/>
    </row>
    <row r="8" spans="1:19" x14ac:dyDescent="0.2">
      <c r="A8" s="10">
        <v>1</v>
      </c>
      <c r="B8" s="246" t="s">
        <v>623</v>
      </c>
      <c r="C8" s="18">
        <v>1224561.6518044278</v>
      </c>
      <c r="D8" s="18">
        <v>2704327.4686083049</v>
      </c>
      <c r="E8" s="18">
        <v>2909459.4618988684</v>
      </c>
      <c r="F8" s="18">
        <v>2740143.9259997779</v>
      </c>
      <c r="G8" s="18">
        <v>2464973.3098426643</v>
      </c>
      <c r="H8" s="18">
        <v>2287088.1327601708</v>
      </c>
      <c r="I8" s="18">
        <v>2991772.9414884741</v>
      </c>
      <c r="J8" s="18">
        <v>2869489.0691272658</v>
      </c>
      <c r="K8" s="18">
        <v>2979707.7555644177</v>
      </c>
      <c r="L8" s="18">
        <v>2842874.0011988389</v>
      </c>
      <c r="M8" s="18">
        <v>2748653.6735928664</v>
      </c>
      <c r="N8" s="18">
        <v>2670227.0417637536</v>
      </c>
      <c r="O8" s="18">
        <v>2920108.5543028666</v>
      </c>
      <c r="P8" s="18"/>
    </row>
    <row r="9" spans="1:19" x14ac:dyDescent="0.2">
      <c r="A9" s="10">
        <f t="shared" ref="A9:A42" si="1">A8+1</f>
        <v>2</v>
      </c>
    </row>
    <row r="10" spans="1:19" x14ac:dyDescent="0.2">
      <c r="A10" s="10">
        <f t="shared" si="1"/>
        <v>3</v>
      </c>
      <c r="B10" s="432" t="s">
        <v>564</v>
      </c>
      <c r="C10" s="433">
        <v>50993479.736966841</v>
      </c>
      <c r="D10" s="433"/>
      <c r="E10" s="433"/>
      <c r="F10" s="433"/>
      <c r="G10" s="433"/>
      <c r="H10" s="433"/>
      <c r="I10" s="433"/>
      <c r="J10" s="433"/>
      <c r="K10" s="433"/>
      <c r="L10" s="433"/>
      <c r="M10" s="433"/>
      <c r="N10" s="433"/>
      <c r="O10" s="433"/>
      <c r="P10" s="434"/>
    </row>
    <row r="11" spans="1:19" x14ac:dyDescent="0.2">
      <c r="A11" s="10">
        <f t="shared" si="1"/>
        <v>4</v>
      </c>
      <c r="B11" s="246" t="s">
        <v>624</v>
      </c>
      <c r="C11" s="27">
        <v>2.5793E-2</v>
      </c>
      <c r="D11" s="27">
        <v>2.5793E-2</v>
      </c>
      <c r="E11" s="27">
        <v>2.5793E-2</v>
      </c>
      <c r="F11" s="27">
        <v>2.5793E-2</v>
      </c>
      <c r="G11" s="27">
        <v>2.5793E-2</v>
      </c>
      <c r="H11" s="27">
        <v>2.5793E-2</v>
      </c>
      <c r="I11" s="27">
        <v>2.5793E-2</v>
      </c>
      <c r="J11" s="27">
        <v>2.5793E-2</v>
      </c>
      <c r="K11" s="27">
        <v>2.5793E-2</v>
      </c>
      <c r="L11" s="27">
        <v>2.5793E-2</v>
      </c>
      <c r="M11" s="27">
        <v>2.5793E-2</v>
      </c>
      <c r="N11" s="27">
        <v>2.5793E-2</v>
      </c>
      <c r="O11" s="27">
        <v>2.5793E-2</v>
      </c>
      <c r="P11" s="28"/>
    </row>
    <row r="12" spans="1:19" x14ac:dyDescent="0.2">
      <c r="A12" s="10">
        <f t="shared" si="1"/>
        <v>5</v>
      </c>
      <c r="B12" s="246" t="s">
        <v>625</v>
      </c>
      <c r="C12" s="18">
        <f t="shared" ref="C12:O12" si="2">C10*C11</f>
        <v>1315274.8228555857</v>
      </c>
      <c r="D12" s="18">
        <f t="shared" si="2"/>
        <v>0</v>
      </c>
      <c r="E12" s="18">
        <f t="shared" si="2"/>
        <v>0</v>
      </c>
      <c r="F12" s="18">
        <f t="shared" si="2"/>
        <v>0</v>
      </c>
      <c r="G12" s="18">
        <f t="shared" si="2"/>
        <v>0</v>
      </c>
      <c r="H12" s="18">
        <f t="shared" si="2"/>
        <v>0</v>
      </c>
      <c r="I12" s="18">
        <f t="shared" si="2"/>
        <v>0</v>
      </c>
      <c r="J12" s="18">
        <f t="shared" si="2"/>
        <v>0</v>
      </c>
      <c r="K12" s="18">
        <f t="shared" si="2"/>
        <v>0</v>
      </c>
      <c r="L12" s="18">
        <f t="shared" si="2"/>
        <v>0</v>
      </c>
      <c r="M12" s="18">
        <f t="shared" si="2"/>
        <v>0</v>
      </c>
      <c r="N12" s="18">
        <f t="shared" si="2"/>
        <v>0</v>
      </c>
      <c r="O12" s="18">
        <f t="shared" si="2"/>
        <v>0</v>
      </c>
      <c r="P12" s="18"/>
    </row>
    <row r="13" spans="1:19" x14ac:dyDescent="0.2">
      <c r="A13" s="10">
        <f t="shared" si="1"/>
        <v>6</v>
      </c>
    </row>
    <row r="14" spans="1:19" x14ac:dyDescent="0.2">
      <c r="A14" s="10">
        <f t="shared" si="1"/>
        <v>7</v>
      </c>
      <c r="B14" s="432" t="s">
        <v>566</v>
      </c>
      <c r="C14" s="433">
        <v>0</v>
      </c>
      <c r="D14" s="433">
        <v>0</v>
      </c>
      <c r="E14" s="433">
        <v>0</v>
      </c>
      <c r="F14" s="433">
        <v>0</v>
      </c>
      <c r="G14" s="433">
        <v>0</v>
      </c>
      <c r="H14" s="433">
        <v>0</v>
      </c>
      <c r="I14" s="433">
        <v>0</v>
      </c>
      <c r="J14" s="433">
        <v>0</v>
      </c>
      <c r="K14" s="433">
        <v>0</v>
      </c>
      <c r="L14" s="433">
        <v>0</v>
      </c>
      <c r="M14" s="433">
        <v>0</v>
      </c>
      <c r="N14" s="433">
        <v>0</v>
      </c>
      <c r="O14" s="433">
        <v>0</v>
      </c>
    </row>
    <row r="15" spans="1:19" x14ac:dyDescent="0.2">
      <c r="A15" s="10">
        <f t="shared" si="1"/>
        <v>8</v>
      </c>
      <c r="B15" s="246" t="s">
        <v>624</v>
      </c>
      <c r="C15" s="27">
        <v>2.5793E-2</v>
      </c>
      <c r="D15" s="27">
        <v>2.5793E-2</v>
      </c>
      <c r="E15" s="27">
        <v>2.5793E-2</v>
      </c>
      <c r="F15" s="27">
        <v>2.5793E-2</v>
      </c>
      <c r="G15" s="27">
        <v>2.5793E-2</v>
      </c>
      <c r="H15" s="27">
        <v>2.5793E-2</v>
      </c>
      <c r="I15" s="27">
        <v>2.5793E-2</v>
      </c>
      <c r="J15" s="27">
        <v>2.5793E-2</v>
      </c>
      <c r="K15" s="27">
        <v>2.5793E-2</v>
      </c>
      <c r="L15" s="27">
        <v>2.5793E-2</v>
      </c>
      <c r="M15" s="27">
        <v>2.5793E-2</v>
      </c>
      <c r="N15" s="27">
        <v>2.5793E-2</v>
      </c>
      <c r="O15" s="27">
        <v>2.5793E-2</v>
      </c>
    </row>
    <row r="16" spans="1:19" x14ac:dyDescent="0.2">
      <c r="A16" s="10">
        <f t="shared" si="1"/>
        <v>9</v>
      </c>
      <c r="B16" s="246" t="s">
        <v>625</v>
      </c>
      <c r="C16" s="18">
        <f t="shared" ref="C16:O16" si="3">C14*C15</f>
        <v>0</v>
      </c>
      <c r="D16" s="18">
        <f t="shared" si="3"/>
        <v>0</v>
      </c>
      <c r="E16" s="18">
        <f t="shared" si="3"/>
        <v>0</v>
      </c>
      <c r="F16" s="18">
        <f t="shared" si="3"/>
        <v>0</v>
      </c>
      <c r="G16" s="18">
        <f t="shared" si="3"/>
        <v>0</v>
      </c>
      <c r="H16" s="18">
        <f t="shared" si="3"/>
        <v>0</v>
      </c>
      <c r="I16" s="18">
        <f t="shared" si="3"/>
        <v>0</v>
      </c>
      <c r="J16" s="18">
        <f t="shared" si="3"/>
        <v>0</v>
      </c>
      <c r="K16" s="18">
        <f t="shared" si="3"/>
        <v>0</v>
      </c>
      <c r="L16" s="18">
        <f t="shared" si="3"/>
        <v>0</v>
      </c>
      <c r="M16" s="18">
        <f t="shared" si="3"/>
        <v>0</v>
      </c>
      <c r="N16" s="18">
        <f t="shared" si="3"/>
        <v>0</v>
      </c>
      <c r="O16" s="18">
        <f t="shared" si="3"/>
        <v>0</v>
      </c>
    </row>
    <row r="17" spans="1:16" x14ac:dyDescent="0.2">
      <c r="A17" s="10">
        <f t="shared" si="1"/>
        <v>10</v>
      </c>
    </row>
    <row r="18" spans="1:16" x14ac:dyDescent="0.2">
      <c r="A18" s="10">
        <f t="shared" si="1"/>
        <v>11</v>
      </c>
      <c r="B18" s="246" t="s">
        <v>626</v>
      </c>
      <c r="C18" s="18">
        <f>C12+C16</f>
        <v>1315274.8228555857</v>
      </c>
      <c r="D18" s="18">
        <f t="shared" ref="D18:M18" si="4">D12+D16</f>
        <v>0</v>
      </c>
      <c r="E18" s="18">
        <f t="shared" si="4"/>
        <v>0</v>
      </c>
      <c r="F18" s="18">
        <f t="shared" si="4"/>
        <v>0</v>
      </c>
      <c r="G18" s="18">
        <f t="shared" si="4"/>
        <v>0</v>
      </c>
      <c r="H18" s="18">
        <f t="shared" si="4"/>
        <v>0</v>
      </c>
      <c r="I18" s="18">
        <f t="shared" si="4"/>
        <v>0</v>
      </c>
      <c r="J18" s="18">
        <f t="shared" si="4"/>
        <v>0</v>
      </c>
      <c r="K18" s="18">
        <f t="shared" si="4"/>
        <v>0</v>
      </c>
      <c r="L18" s="18">
        <f t="shared" si="4"/>
        <v>0</v>
      </c>
      <c r="M18" s="18">
        <f t="shared" si="4"/>
        <v>0</v>
      </c>
      <c r="N18" s="18">
        <f>N12+N16</f>
        <v>0</v>
      </c>
      <c r="O18" s="18">
        <f>O12+O16</f>
        <v>0</v>
      </c>
    </row>
    <row r="19" spans="1:16" x14ac:dyDescent="0.2">
      <c r="A19" s="10">
        <f t="shared" si="1"/>
        <v>12</v>
      </c>
    </row>
    <row r="20" spans="1:16" x14ac:dyDescent="0.2">
      <c r="A20" s="10">
        <f t="shared" si="1"/>
        <v>13</v>
      </c>
      <c r="B20" s="246" t="s">
        <v>568</v>
      </c>
      <c r="C20" s="18">
        <f>C8-C18</f>
        <v>-90713.171051157871</v>
      </c>
      <c r="D20" s="18">
        <f t="shared" ref="D20:O20" si="5">D8-D18</f>
        <v>2704327.4686083049</v>
      </c>
      <c r="E20" s="18">
        <f t="shared" si="5"/>
        <v>2909459.4618988684</v>
      </c>
      <c r="F20" s="18">
        <f t="shared" si="5"/>
        <v>2740143.9259997779</v>
      </c>
      <c r="G20" s="18">
        <f t="shared" si="5"/>
        <v>2464973.3098426643</v>
      </c>
      <c r="H20" s="18">
        <f t="shared" si="5"/>
        <v>2287088.1327601708</v>
      </c>
      <c r="I20" s="18">
        <f t="shared" si="5"/>
        <v>2991772.9414884741</v>
      </c>
      <c r="J20" s="18">
        <f t="shared" si="5"/>
        <v>2869489.0691272658</v>
      </c>
      <c r="K20" s="18">
        <f t="shared" si="5"/>
        <v>2979707.7555644177</v>
      </c>
      <c r="L20" s="18">
        <f t="shared" si="5"/>
        <v>2842874.0011988389</v>
      </c>
      <c r="M20" s="18">
        <f t="shared" si="5"/>
        <v>2748653.6735928664</v>
      </c>
      <c r="N20" s="18">
        <f t="shared" si="5"/>
        <v>2670227.0417637536</v>
      </c>
      <c r="O20" s="18">
        <f t="shared" si="5"/>
        <v>2920108.5543028666</v>
      </c>
      <c r="P20" s="18"/>
    </row>
    <row r="21" spans="1:16" x14ac:dyDescent="0.2">
      <c r="A21" s="10">
        <f t="shared" si="1"/>
        <v>14</v>
      </c>
      <c r="C21" s="18"/>
      <c r="D21" s="18"/>
      <c r="E21" s="18"/>
      <c r="F21" s="18"/>
      <c r="G21" s="18"/>
      <c r="H21" s="18"/>
      <c r="I21" s="18"/>
      <c r="J21" s="18"/>
      <c r="K21" s="18"/>
      <c r="L21" s="18"/>
      <c r="M21" s="18"/>
      <c r="N21" s="18"/>
      <c r="O21" s="18"/>
      <c r="P21" s="18"/>
    </row>
    <row r="22" spans="1:16" x14ac:dyDescent="0.2">
      <c r="A22" s="10">
        <f t="shared" si="1"/>
        <v>15</v>
      </c>
      <c r="B22" s="246" t="s">
        <v>603</v>
      </c>
      <c r="C22" s="18">
        <v>-151.54938729166665</v>
      </c>
      <c r="D22" s="18">
        <v>4254.9153374999996</v>
      </c>
      <c r="E22" s="18">
        <v>13722.661729166668</v>
      </c>
      <c r="F22" s="18">
        <v>23250.813176041669</v>
      </c>
      <c r="G22" s="18">
        <v>32029.331223958336</v>
      </c>
      <c r="H22" s="18">
        <v>40043.763039583333</v>
      </c>
      <c r="I22" s="18">
        <v>48946.651316666677</v>
      </c>
      <c r="J22" s="18">
        <v>58831.768604166682</v>
      </c>
      <c r="K22" s="18">
        <v>68696.537759375002</v>
      </c>
      <c r="L22" s="18">
        <v>78516.420150000005</v>
      </c>
      <c r="M22" s="18">
        <v>87946.625937499994</v>
      </c>
      <c r="N22" s="18">
        <v>97085.659709375002</v>
      </c>
      <c r="O22" s="18">
        <v>106513.85503437502</v>
      </c>
      <c r="P22" s="36"/>
    </row>
    <row r="23" spans="1:16" x14ac:dyDescent="0.2">
      <c r="A23" s="10">
        <f t="shared" si="1"/>
        <v>16</v>
      </c>
    </row>
    <row r="24" spans="1:16" x14ac:dyDescent="0.2">
      <c r="A24" s="10">
        <f t="shared" si="1"/>
        <v>17</v>
      </c>
      <c r="B24" s="246" t="s">
        <v>604</v>
      </c>
      <c r="C24" s="18">
        <f>C20+C22</f>
        <v>-90864.720438449542</v>
      </c>
      <c r="D24" s="18">
        <f t="shared" ref="D24:O24" si="6">C24+D20+D22</f>
        <v>2617717.6635073554</v>
      </c>
      <c r="E24" s="18">
        <f t="shared" si="6"/>
        <v>5540899.7871353906</v>
      </c>
      <c r="F24" s="18">
        <f t="shared" si="6"/>
        <v>8304294.5263112094</v>
      </c>
      <c r="G24" s="18">
        <f t="shared" si="6"/>
        <v>10801297.167377833</v>
      </c>
      <c r="H24" s="18">
        <f t="shared" si="6"/>
        <v>13128429.063177587</v>
      </c>
      <c r="I24" s="18">
        <f t="shared" si="6"/>
        <v>16169148.655982729</v>
      </c>
      <c r="J24" s="18">
        <f t="shared" si="6"/>
        <v>19097469.493714161</v>
      </c>
      <c r="K24" s="18">
        <f t="shared" si="6"/>
        <v>22145873.787037954</v>
      </c>
      <c r="L24" s="18">
        <f t="shared" si="6"/>
        <v>25067264.208386794</v>
      </c>
      <c r="M24" s="18">
        <f t="shared" si="6"/>
        <v>27903864.507917158</v>
      </c>
      <c r="N24" s="18">
        <f t="shared" si="6"/>
        <v>30671177.209390286</v>
      </c>
      <c r="O24" s="18">
        <f t="shared" si="6"/>
        <v>33697799.618727528</v>
      </c>
    </row>
    <row r="25" spans="1:16" x14ac:dyDescent="0.2">
      <c r="A25" s="10">
        <f t="shared" si="1"/>
        <v>18</v>
      </c>
    </row>
    <row r="26" spans="1:16" x14ac:dyDescent="0.2">
      <c r="A26" s="10">
        <f t="shared" si="1"/>
        <v>19</v>
      </c>
      <c r="B26" s="435" t="s">
        <v>571</v>
      </c>
      <c r="C26" s="436">
        <v>0</v>
      </c>
      <c r="D26" s="436">
        <v>0</v>
      </c>
      <c r="E26" s="436">
        <v>0</v>
      </c>
      <c r="F26" s="436">
        <v>0</v>
      </c>
      <c r="G26" s="436">
        <v>0</v>
      </c>
      <c r="H26" s="436">
        <v>0</v>
      </c>
      <c r="I26" s="436">
        <v>0</v>
      </c>
      <c r="J26" s="436">
        <v>0</v>
      </c>
      <c r="K26" s="436">
        <v>0</v>
      </c>
      <c r="L26" s="436">
        <v>0</v>
      </c>
      <c r="M26" s="436">
        <v>0</v>
      </c>
      <c r="N26" s="436">
        <v>0</v>
      </c>
      <c r="O26" s="436">
        <v>0</v>
      </c>
    </row>
    <row r="27" spans="1:16" x14ac:dyDescent="0.2">
      <c r="A27" s="10">
        <f t="shared" si="1"/>
        <v>20</v>
      </c>
      <c r="C27" s="27"/>
      <c r="D27" s="27"/>
      <c r="E27" s="27"/>
      <c r="F27" s="27"/>
      <c r="G27" s="27"/>
      <c r="H27" s="27"/>
      <c r="I27" s="27"/>
      <c r="J27" s="27"/>
      <c r="K27" s="27"/>
      <c r="L27" s="27"/>
      <c r="M27" s="27"/>
      <c r="N27" s="27"/>
      <c r="O27" s="27"/>
    </row>
    <row r="28" spans="1:16" x14ac:dyDescent="0.2">
      <c r="A28" s="10">
        <f t="shared" si="1"/>
        <v>21</v>
      </c>
      <c r="B28" s="435" t="s">
        <v>605</v>
      </c>
      <c r="C28" s="436">
        <v>0</v>
      </c>
      <c r="D28" s="436">
        <v>0</v>
      </c>
      <c r="E28" s="436">
        <v>0</v>
      </c>
      <c r="F28" s="436">
        <v>0</v>
      </c>
      <c r="G28" s="436">
        <v>0</v>
      </c>
      <c r="H28" s="436">
        <v>0</v>
      </c>
      <c r="I28" s="436">
        <v>0</v>
      </c>
      <c r="J28" s="436">
        <v>0</v>
      </c>
      <c r="K28" s="436">
        <v>0</v>
      </c>
      <c r="L28" s="436">
        <v>0</v>
      </c>
      <c r="M28" s="436">
        <v>0</v>
      </c>
      <c r="N28" s="436">
        <v>0</v>
      </c>
      <c r="O28" s="436">
        <v>0</v>
      </c>
    </row>
    <row r="29" spans="1:16" x14ac:dyDescent="0.2">
      <c r="A29" s="10">
        <f t="shared" si="1"/>
        <v>22</v>
      </c>
      <c r="C29" s="18"/>
      <c r="D29" s="18"/>
      <c r="E29" s="18"/>
      <c r="F29" s="18"/>
      <c r="G29" s="18"/>
      <c r="H29" s="18"/>
      <c r="I29" s="18"/>
      <c r="J29" s="18"/>
      <c r="K29" s="18"/>
      <c r="L29" s="18"/>
      <c r="M29" s="18"/>
      <c r="N29" s="18"/>
      <c r="O29" s="18"/>
    </row>
    <row r="30" spans="1:16" x14ac:dyDescent="0.2">
      <c r="A30" s="10">
        <f t="shared" si="1"/>
        <v>23</v>
      </c>
      <c r="B30" s="246" t="s">
        <v>292</v>
      </c>
      <c r="C30" s="18">
        <f>(C10*C26)+(C14*C28)</f>
        <v>0</v>
      </c>
      <c r="D30" s="18">
        <f t="shared" ref="D30:O30" si="7">(D10*D26)+(D14*D28)</f>
        <v>0</v>
      </c>
      <c r="E30" s="18">
        <f t="shared" si="7"/>
        <v>0</v>
      </c>
      <c r="F30" s="18">
        <f t="shared" si="7"/>
        <v>0</v>
      </c>
      <c r="G30" s="18">
        <f t="shared" si="7"/>
        <v>0</v>
      </c>
      <c r="H30" s="18">
        <f t="shared" si="7"/>
        <v>0</v>
      </c>
      <c r="I30" s="18">
        <f t="shared" si="7"/>
        <v>0</v>
      </c>
      <c r="J30" s="18">
        <f t="shared" si="7"/>
        <v>0</v>
      </c>
      <c r="K30" s="18">
        <f t="shared" si="7"/>
        <v>0</v>
      </c>
      <c r="L30" s="18">
        <f t="shared" si="7"/>
        <v>0</v>
      </c>
      <c r="M30" s="18">
        <f t="shared" si="7"/>
        <v>0</v>
      </c>
      <c r="N30" s="18">
        <f t="shared" si="7"/>
        <v>0</v>
      </c>
      <c r="O30" s="18">
        <f t="shared" si="7"/>
        <v>0</v>
      </c>
    </row>
    <row r="31" spans="1:16" x14ac:dyDescent="0.2">
      <c r="A31" s="10">
        <f t="shared" si="1"/>
        <v>24</v>
      </c>
      <c r="C31" s="18"/>
      <c r="D31" s="18"/>
      <c r="E31" s="18"/>
      <c r="F31" s="18"/>
      <c r="G31" s="18"/>
      <c r="H31" s="18"/>
      <c r="I31" s="18"/>
      <c r="J31" s="18"/>
      <c r="K31" s="18"/>
      <c r="L31" s="18"/>
      <c r="M31" s="18"/>
      <c r="N31" s="18"/>
      <c r="O31" s="18"/>
    </row>
    <row r="32" spans="1:16" x14ac:dyDescent="0.2">
      <c r="A32" s="10">
        <f t="shared" si="1"/>
        <v>25</v>
      </c>
      <c r="B32" s="246" t="s">
        <v>606</v>
      </c>
      <c r="C32" s="18">
        <f>C24-C30</f>
        <v>-90864.720438449542</v>
      </c>
      <c r="D32" s="18">
        <f>C32+D20+D22-D30</f>
        <v>2617717.6635073554</v>
      </c>
      <c r="E32" s="18">
        <f t="shared" ref="E32:O32" si="8">D32+E20+E22-E30</f>
        <v>5540899.7871353906</v>
      </c>
      <c r="F32" s="18">
        <f t="shared" si="8"/>
        <v>8304294.5263112094</v>
      </c>
      <c r="G32" s="18">
        <f t="shared" si="8"/>
        <v>10801297.167377833</v>
      </c>
      <c r="H32" s="18">
        <f t="shared" si="8"/>
        <v>13128429.063177587</v>
      </c>
      <c r="I32" s="18">
        <f t="shared" si="8"/>
        <v>16169148.655982729</v>
      </c>
      <c r="J32" s="18">
        <f t="shared" si="8"/>
        <v>19097469.493714161</v>
      </c>
      <c r="K32" s="18">
        <f t="shared" si="8"/>
        <v>22145873.787037954</v>
      </c>
      <c r="L32" s="18">
        <f t="shared" si="8"/>
        <v>25067264.208386794</v>
      </c>
      <c r="M32" s="18">
        <f t="shared" si="8"/>
        <v>27903864.507917158</v>
      </c>
      <c r="N32" s="18">
        <f t="shared" si="8"/>
        <v>30671177.209390286</v>
      </c>
      <c r="O32" s="18">
        <f t="shared" si="8"/>
        <v>33697799.618727528</v>
      </c>
    </row>
    <row r="33" spans="1:15" x14ac:dyDescent="0.2">
      <c r="A33" s="10">
        <f t="shared" si="1"/>
        <v>26</v>
      </c>
      <c r="C33" s="18"/>
      <c r="D33" s="18"/>
      <c r="E33" s="18"/>
      <c r="F33" s="18"/>
      <c r="G33" s="18"/>
      <c r="H33" s="18"/>
      <c r="I33" s="18"/>
      <c r="J33" s="18"/>
      <c r="K33" s="18"/>
      <c r="L33" s="18"/>
      <c r="M33" s="18"/>
      <c r="N33" s="18"/>
      <c r="O33" s="18"/>
    </row>
    <row r="34" spans="1:15" x14ac:dyDescent="0.2">
      <c r="A34" s="10">
        <f t="shared" si="1"/>
        <v>27</v>
      </c>
      <c r="B34" s="437" t="s">
        <v>608</v>
      </c>
      <c r="C34" s="438">
        <v>0.95238599999999995</v>
      </c>
      <c r="D34" s="438">
        <v>0.95238599999999995</v>
      </c>
      <c r="E34" s="438">
        <v>0.95238599999999995</v>
      </c>
      <c r="F34" s="438">
        <v>0.95238599999999995</v>
      </c>
      <c r="G34" s="438">
        <v>0.95238599999999995</v>
      </c>
      <c r="H34" s="438">
        <v>0.95238599999999995</v>
      </c>
      <c r="I34" s="438">
        <v>0.95238599999999995</v>
      </c>
      <c r="J34" s="438">
        <v>0.95238599999999995</v>
      </c>
      <c r="K34" s="438">
        <v>0.95238599999999995</v>
      </c>
      <c r="L34" s="438">
        <v>0.95238599999999995</v>
      </c>
      <c r="M34" s="438">
        <v>0.95238599999999995</v>
      </c>
      <c r="N34" s="438">
        <v>0.95238599999999995</v>
      </c>
      <c r="O34" s="438">
        <v>0.95238599999999995</v>
      </c>
    </row>
    <row r="35" spans="1:15" x14ac:dyDescent="0.2">
      <c r="A35" s="10">
        <f t="shared" si="1"/>
        <v>28</v>
      </c>
      <c r="C35" s="28"/>
      <c r="D35" s="28"/>
      <c r="E35" s="28"/>
      <c r="F35" s="28"/>
      <c r="G35" s="28"/>
      <c r="H35" s="28"/>
      <c r="I35" s="28"/>
      <c r="J35" s="28"/>
      <c r="K35" s="28"/>
      <c r="L35" s="28"/>
      <c r="M35" s="28"/>
      <c r="N35" s="28"/>
      <c r="O35" s="28"/>
    </row>
    <row r="36" spans="1:15" ht="13.5" thickBot="1" x14ac:dyDescent="0.25">
      <c r="A36" s="10">
        <f t="shared" si="1"/>
        <v>29</v>
      </c>
      <c r="B36" s="246" t="s">
        <v>609</v>
      </c>
      <c r="C36" s="439">
        <f>ROUND(C20*C34,2)</f>
        <v>-86393.95</v>
      </c>
      <c r="D36" s="439">
        <f t="shared" ref="D36:O36" si="9">ROUND(D20*D34,2)</f>
        <v>2575563.62</v>
      </c>
      <c r="E36" s="439">
        <f t="shared" si="9"/>
        <v>2770928.46</v>
      </c>
      <c r="F36" s="439">
        <f t="shared" si="9"/>
        <v>2609674.71</v>
      </c>
      <c r="G36" s="439">
        <f t="shared" si="9"/>
        <v>2347606.0699999998</v>
      </c>
      <c r="H36" s="439">
        <f t="shared" si="9"/>
        <v>2178190.7200000002</v>
      </c>
      <c r="I36" s="439">
        <f t="shared" si="9"/>
        <v>2849322.66</v>
      </c>
      <c r="J36" s="439">
        <f t="shared" si="9"/>
        <v>2732861.22</v>
      </c>
      <c r="K36" s="439">
        <f t="shared" si="9"/>
        <v>2837831.95</v>
      </c>
      <c r="L36" s="439">
        <f t="shared" si="9"/>
        <v>2707513.4</v>
      </c>
      <c r="M36" s="439">
        <f t="shared" si="9"/>
        <v>2617779.2799999998</v>
      </c>
      <c r="N36" s="439">
        <f t="shared" si="9"/>
        <v>2543086.85</v>
      </c>
      <c r="O36" s="439">
        <f t="shared" si="9"/>
        <v>2781070.51</v>
      </c>
    </row>
    <row r="37" spans="1:15" x14ac:dyDescent="0.2">
      <c r="A37" s="10">
        <f t="shared" si="1"/>
        <v>30</v>
      </c>
    </row>
    <row r="38" spans="1:15" ht="13.5" thickBot="1" x14ac:dyDescent="0.25">
      <c r="A38" s="10">
        <f t="shared" si="1"/>
        <v>31</v>
      </c>
      <c r="B38" s="246" t="s">
        <v>610</v>
      </c>
      <c r="C38" s="439">
        <f>ROUND(C30*C34,2)</f>
        <v>0</v>
      </c>
      <c r="D38" s="439">
        <f t="shared" ref="D38:O38" si="10">ROUND(D30*D34,2)</f>
        <v>0</v>
      </c>
      <c r="E38" s="439">
        <f t="shared" si="10"/>
        <v>0</v>
      </c>
      <c r="F38" s="439">
        <f t="shared" si="10"/>
        <v>0</v>
      </c>
      <c r="G38" s="439">
        <f t="shared" si="10"/>
        <v>0</v>
      </c>
      <c r="H38" s="439">
        <f t="shared" si="10"/>
        <v>0</v>
      </c>
      <c r="I38" s="439">
        <f t="shared" si="10"/>
        <v>0</v>
      </c>
      <c r="J38" s="439">
        <f t="shared" si="10"/>
        <v>0</v>
      </c>
      <c r="K38" s="439">
        <f t="shared" si="10"/>
        <v>0</v>
      </c>
      <c r="L38" s="439">
        <f t="shared" si="10"/>
        <v>0</v>
      </c>
      <c r="M38" s="439">
        <f t="shared" si="10"/>
        <v>0</v>
      </c>
      <c r="N38" s="439">
        <f t="shared" si="10"/>
        <v>0</v>
      </c>
      <c r="O38" s="439">
        <f t="shared" si="10"/>
        <v>0</v>
      </c>
    </row>
    <row r="39" spans="1:15" x14ac:dyDescent="0.2">
      <c r="A39" s="10">
        <f t="shared" si="1"/>
        <v>32</v>
      </c>
    </row>
    <row r="40" spans="1:15" s="432" customFormat="1" x14ac:dyDescent="0.2">
      <c r="A40" s="10">
        <f t="shared" si="1"/>
        <v>33</v>
      </c>
      <c r="B40" s="432" t="s">
        <v>620</v>
      </c>
    </row>
    <row r="41" spans="1:15" s="435" customFormat="1" x14ac:dyDescent="0.2">
      <c r="A41" s="10">
        <f t="shared" si="1"/>
        <v>34</v>
      </c>
      <c r="B41" s="435" t="s">
        <v>612</v>
      </c>
    </row>
    <row r="42" spans="1:15" s="437" customFormat="1" x14ac:dyDescent="0.2">
      <c r="A42" s="10">
        <f t="shared" si="1"/>
        <v>35</v>
      </c>
      <c r="B42" s="437" t="s">
        <v>613</v>
      </c>
    </row>
    <row r="43" spans="1:15" x14ac:dyDescent="0.2">
      <c r="A43" s="414"/>
    </row>
    <row r="44" spans="1:15" x14ac:dyDescent="0.2">
      <c r="A44" s="10"/>
    </row>
    <row r="45" spans="1:15" x14ac:dyDescent="0.2">
      <c r="A45" s="10"/>
      <c r="I45" s="18"/>
    </row>
    <row r="46" spans="1:15" x14ac:dyDescent="0.2">
      <c r="A46" s="10"/>
    </row>
    <row r="47" spans="1:15" x14ac:dyDescent="0.2">
      <c r="A47" s="10"/>
    </row>
    <row r="48" spans="1:15"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sheetData>
  <printOptions horizontalCentered="1"/>
  <pageMargins left="0.45" right="0.45" top="0.75" bottom="0.75" header="0.3" footer="0.3"/>
  <pageSetup scale="55" orientation="landscape" blackAndWhite="1" horizontalDpi="1200" verticalDpi="1200" r:id="rId1"/>
  <headerFooter>
    <oddHeader>&amp;RAdvice No. 2018-xx
Workpaper No. 17</oddHeader>
    <oddFooter>&amp;L&amp;F
&amp;A&amp;R&amp;D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zoomScaleNormal="100" workbookViewId="0">
      <selection activeCell="C48" sqref="C48"/>
    </sheetView>
  </sheetViews>
  <sheetFormatPr defaultColWidth="8.7109375" defaultRowHeight="12.75" x14ac:dyDescent="0.2"/>
  <cols>
    <col min="1" max="1" width="4.42578125" style="277" bestFit="1" customWidth="1"/>
    <col min="2" max="2" width="22.7109375" style="277" bestFit="1" customWidth="1"/>
    <col min="3" max="3" width="16.7109375" style="277" bestFit="1" customWidth="1"/>
    <col min="4" max="4" width="17.7109375" style="277" bestFit="1" customWidth="1"/>
    <col min="5" max="5" width="15.7109375" style="277" bestFit="1" customWidth="1"/>
    <col min="6" max="6" width="15.140625" style="277" bestFit="1" customWidth="1"/>
    <col min="7" max="7" width="13.42578125" style="277" bestFit="1" customWidth="1"/>
    <col min="8" max="9" width="13" style="277" bestFit="1" customWidth="1"/>
    <col min="10" max="11" width="13.42578125" style="277" bestFit="1" customWidth="1"/>
    <col min="12" max="12" width="14.5703125" style="277" bestFit="1" customWidth="1"/>
    <col min="13" max="13" width="15.7109375" style="277" bestFit="1" customWidth="1"/>
    <col min="14" max="14" width="18.7109375" style="277" bestFit="1" customWidth="1"/>
    <col min="15" max="15" width="8.7109375" style="277"/>
    <col min="16" max="16" width="14.140625" style="277" bestFit="1" customWidth="1"/>
    <col min="17" max="17" width="13.28515625" style="277" bestFit="1" customWidth="1"/>
    <col min="18" max="16384" width="8.7109375" style="277"/>
  </cols>
  <sheetData>
    <row r="1" spans="1:18" x14ac:dyDescent="0.2">
      <c r="A1" s="517" t="s">
        <v>0</v>
      </c>
      <c r="B1" s="517"/>
      <c r="C1" s="517"/>
      <c r="D1" s="517"/>
      <c r="E1" s="517"/>
      <c r="F1" s="517"/>
      <c r="G1" s="517"/>
      <c r="H1" s="517"/>
      <c r="I1" s="517"/>
      <c r="J1" s="517"/>
      <c r="K1" s="517"/>
      <c r="L1" s="517"/>
      <c r="M1" s="517"/>
      <c r="N1" s="517"/>
      <c r="O1" s="276"/>
      <c r="P1" s="276"/>
    </row>
    <row r="2" spans="1:18" x14ac:dyDescent="0.2">
      <c r="A2" s="517" t="s">
        <v>1</v>
      </c>
      <c r="B2" s="517"/>
      <c r="C2" s="517"/>
      <c r="D2" s="517"/>
      <c r="E2" s="517"/>
      <c r="F2" s="517"/>
      <c r="G2" s="517"/>
      <c r="H2" s="517"/>
      <c r="I2" s="517"/>
      <c r="J2" s="517"/>
      <c r="K2" s="517"/>
      <c r="L2" s="517"/>
      <c r="M2" s="517"/>
      <c r="N2" s="517"/>
      <c r="O2" s="276"/>
      <c r="P2" s="276"/>
    </row>
    <row r="3" spans="1:18" x14ac:dyDescent="0.2">
      <c r="A3" s="517" t="s">
        <v>632</v>
      </c>
      <c r="B3" s="517"/>
      <c r="C3" s="517"/>
      <c r="D3" s="517"/>
      <c r="E3" s="517"/>
      <c r="F3" s="517"/>
      <c r="G3" s="517"/>
      <c r="H3" s="517"/>
      <c r="I3" s="517"/>
      <c r="J3" s="517"/>
      <c r="K3" s="517"/>
      <c r="L3" s="517"/>
      <c r="M3" s="517"/>
      <c r="N3" s="517"/>
      <c r="O3" s="276"/>
      <c r="P3" s="276"/>
    </row>
    <row r="4" spans="1:18" x14ac:dyDescent="0.2">
      <c r="A4" s="517" t="s">
        <v>164</v>
      </c>
      <c r="B4" s="517"/>
      <c r="C4" s="517"/>
      <c r="D4" s="517"/>
      <c r="E4" s="517"/>
      <c r="F4" s="517"/>
      <c r="G4" s="517"/>
      <c r="H4" s="517"/>
      <c r="I4" s="517"/>
      <c r="J4" s="517"/>
      <c r="K4" s="517"/>
      <c r="L4" s="517"/>
      <c r="M4" s="517"/>
      <c r="N4" s="517"/>
      <c r="O4" s="276"/>
      <c r="P4" s="276"/>
    </row>
    <row r="5" spans="1:18" x14ac:dyDescent="0.2">
      <c r="A5" s="278"/>
      <c r="B5" s="279"/>
      <c r="C5" s="279"/>
      <c r="D5" s="279"/>
      <c r="E5" s="279"/>
      <c r="F5" s="279"/>
      <c r="G5" s="279"/>
      <c r="H5" s="279"/>
      <c r="I5" s="279"/>
      <c r="J5" s="279"/>
      <c r="K5" s="279"/>
      <c r="L5" s="279"/>
      <c r="M5" s="279"/>
      <c r="N5" s="280"/>
    </row>
    <row r="6" spans="1:18" x14ac:dyDescent="0.2">
      <c r="A6" s="278"/>
      <c r="B6" s="279"/>
      <c r="C6" s="279"/>
      <c r="D6" s="279"/>
      <c r="E6" s="279"/>
      <c r="F6" s="279"/>
      <c r="G6" s="279"/>
      <c r="H6" s="279"/>
      <c r="I6" s="279"/>
      <c r="J6" s="279"/>
      <c r="K6" s="279"/>
      <c r="L6" s="279"/>
      <c r="M6" s="279"/>
      <c r="N6" s="281"/>
    </row>
    <row r="7" spans="1:18" ht="38.25" x14ac:dyDescent="0.2">
      <c r="A7" s="282" t="s">
        <v>56</v>
      </c>
      <c r="B7" s="282" t="s">
        <v>31</v>
      </c>
      <c r="C7" s="283" t="s">
        <v>506</v>
      </c>
      <c r="D7" s="284" t="s">
        <v>508</v>
      </c>
      <c r="E7" s="284" t="s">
        <v>58</v>
      </c>
      <c r="F7" s="284" t="s">
        <v>59</v>
      </c>
      <c r="G7" s="284" t="s">
        <v>60</v>
      </c>
      <c r="H7" s="284" t="s">
        <v>61</v>
      </c>
      <c r="I7" s="284" t="s">
        <v>62</v>
      </c>
      <c r="J7" s="284" t="s">
        <v>63</v>
      </c>
      <c r="K7" s="284" t="s">
        <v>64</v>
      </c>
      <c r="L7" s="284" t="s">
        <v>65</v>
      </c>
      <c r="M7" s="284" t="s">
        <v>66</v>
      </c>
      <c r="N7" s="283" t="s">
        <v>509</v>
      </c>
    </row>
    <row r="8" spans="1:18" x14ac:dyDescent="0.2">
      <c r="A8" s="285">
        <v>1</v>
      </c>
      <c r="B8" s="286">
        <v>7</v>
      </c>
      <c r="C8" s="287">
        <v>10803894020.475845</v>
      </c>
      <c r="D8" s="288">
        <v>1177602000</v>
      </c>
      <c r="E8" s="288">
        <v>0</v>
      </c>
      <c r="F8" s="288">
        <v>-26913000</v>
      </c>
      <c r="G8" s="288">
        <v>65634000</v>
      </c>
      <c r="H8" s="288">
        <v>10123000</v>
      </c>
      <c r="I8" s="288">
        <v>-3738000</v>
      </c>
      <c r="J8" s="288">
        <v>-378000</v>
      </c>
      <c r="K8" s="288">
        <v>38937000</v>
      </c>
      <c r="L8" s="288">
        <v>12975000</v>
      </c>
      <c r="M8" s="288">
        <v>-80014000</v>
      </c>
      <c r="N8" s="288">
        <f>SUM(D8:M8)</f>
        <v>1194228000</v>
      </c>
      <c r="P8" s="289"/>
      <c r="Q8" s="289"/>
      <c r="R8" s="289"/>
    </row>
    <row r="9" spans="1:18" x14ac:dyDescent="0.2">
      <c r="A9" s="285">
        <f t="shared" ref="A9:A37" si="0">+A8+1</f>
        <v>2</v>
      </c>
      <c r="B9" s="290" t="s">
        <v>76</v>
      </c>
      <c r="C9" s="287">
        <v>2450009.5812922954</v>
      </c>
      <c r="D9" s="288">
        <v>208000</v>
      </c>
      <c r="E9" s="288">
        <v>0</v>
      </c>
      <c r="F9" s="288">
        <v>-5000</v>
      </c>
      <c r="G9" s="288">
        <v>11000</v>
      </c>
      <c r="H9" s="288">
        <v>2000</v>
      </c>
      <c r="I9" s="288">
        <v>-1000</v>
      </c>
      <c r="J9" s="288">
        <v>0</v>
      </c>
      <c r="K9" s="288">
        <v>6000</v>
      </c>
      <c r="L9" s="288">
        <v>3000</v>
      </c>
      <c r="M9" s="288">
        <v>-18000</v>
      </c>
      <c r="N9" s="288">
        <f>SUM(D9:M9)</f>
        <v>206000</v>
      </c>
      <c r="P9" s="289"/>
      <c r="Q9" s="289"/>
      <c r="R9" s="289"/>
    </row>
    <row r="10" spans="1:18" x14ac:dyDescent="0.2">
      <c r="A10" s="285">
        <f t="shared" si="0"/>
        <v>3</v>
      </c>
      <c r="B10" s="291" t="s">
        <v>77</v>
      </c>
      <c r="C10" s="292">
        <f t="shared" ref="C10:N10" si="1">SUM(C8:C9)</f>
        <v>10806344030.057138</v>
      </c>
      <c r="D10" s="293">
        <f t="shared" si="1"/>
        <v>1177810000</v>
      </c>
      <c r="E10" s="293">
        <f t="shared" si="1"/>
        <v>0</v>
      </c>
      <c r="F10" s="293">
        <f t="shared" si="1"/>
        <v>-26918000</v>
      </c>
      <c r="G10" s="293">
        <f t="shared" si="1"/>
        <v>65645000</v>
      </c>
      <c r="H10" s="293">
        <f t="shared" si="1"/>
        <v>10125000</v>
      </c>
      <c r="I10" s="293">
        <f t="shared" si="1"/>
        <v>-3739000</v>
      </c>
      <c r="J10" s="293">
        <f t="shared" si="1"/>
        <v>-378000</v>
      </c>
      <c r="K10" s="293">
        <f t="shared" si="1"/>
        <v>38943000</v>
      </c>
      <c r="L10" s="293">
        <f t="shared" si="1"/>
        <v>12978000</v>
      </c>
      <c r="M10" s="293">
        <f t="shared" si="1"/>
        <v>-80032000</v>
      </c>
      <c r="N10" s="293">
        <f t="shared" si="1"/>
        <v>1194434000</v>
      </c>
      <c r="P10" s="289"/>
      <c r="Q10" s="289"/>
      <c r="R10" s="289"/>
    </row>
    <row r="11" spans="1:18" x14ac:dyDescent="0.2">
      <c r="A11" s="285">
        <f t="shared" si="0"/>
        <v>4</v>
      </c>
      <c r="B11" s="285"/>
      <c r="C11" s="287"/>
      <c r="D11" s="288"/>
      <c r="E11" s="288"/>
      <c r="F11" s="288"/>
      <c r="G11" s="288"/>
      <c r="H11" s="288"/>
      <c r="I11" s="288"/>
      <c r="J11" s="288"/>
      <c r="K11" s="288"/>
      <c r="L11" s="288"/>
      <c r="M11" s="288"/>
      <c r="N11" s="288"/>
    </row>
    <row r="12" spans="1:18" x14ac:dyDescent="0.2">
      <c r="A12" s="285">
        <f t="shared" si="0"/>
        <v>5</v>
      </c>
      <c r="B12" s="286">
        <v>8</v>
      </c>
      <c r="C12" s="287">
        <v>261706759.21161911</v>
      </c>
      <c r="D12" s="288">
        <v>26247000</v>
      </c>
      <c r="E12" s="288">
        <v>0</v>
      </c>
      <c r="F12" s="288">
        <v>-527000</v>
      </c>
      <c r="G12" s="288">
        <v>1215000</v>
      </c>
      <c r="H12" s="288">
        <v>224000</v>
      </c>
      <c r="I12" s="288">
        <v>-69000</v>
      </c>
      <c r="J12" s="288">
        <v>-7000</v>
      </c>
      <c r="K12" s="288">
        <v>667000</v>
      </c>
      <c r="L12" s="288">
        <v>349000</v>
      </c>
      <c r="M12" s="288">
        <v>-1938000</v>
      </c>
      <c r="N12" s="288">
        <f t="shared" ref="N12:N18" si="2">SUM(D12:M12)</f>
        <v>26161000</v>
      </c>
      <c r="P12" s="289"/>
      <c r="Q12" s="289"/>
      <c r="R12" s="289"/>
    </row>
    <row r="13" spans="1:18" x14ac:dyDescent="0.2">
      <c r="A13" s="285">
        <f t="shared" si="0"/>
        <v>6</v>
      </c>
      <c r="B13" s="286">
        <v>24</v>
      </c>
      <c r="C13" s="287">
        <v>2583235118.9493227</v>
      </c>
      <c r="D13" s="288">
        <v>259078000</v>
      </c>
      <c r="E13" s="288">
        <v>0</v>
      </c>
      <c r="F13" s="288">
        <v>-5197000</v>
      </c>
      <c r="G13" s="288">
        <v>11989000</v>
      </c>
      <c r="H13" s="288">
        <v>2209000</v>
      </c>
      <c r="I13" s="288">
        <v>-679000</v>
      </c>
      <c r="J13" s="288">
        <v>-72000</v>
      </c>
      <c r="K13" s="288">
        <v>6579000</v>
      </c>
      <c r="L13" s="288">
        <v>3449000</v>
      </c>
      <c r="M13" s="288">
        <v>0</v>
      </c>
      <c r="N13" s="288">
        <f t="shared" si="2"/>
        <v>277356000</v>
      </c>
      <c r="P13" s="289"/>
      <c r="Q13" s="289"/>
      <c r="R13" s="289"/>
    </row>
    <row r="14" spans="1:18" x14ac:dyDescent="0.2">
      <c r="A14" s="285">
        <f t="shared" si="0"/>
        <v>7</v>
      </c>
      <c r="B14" s="290">
        <v>11</v>
      </c>
      <c r="C14" s="287">
        <v>150903707.57441968</v>
      </c>
      <c r="D14" s="288">
        <v>13977000</v>
      </c>
      <c r="E14" s="288">
        <v>0</v>
      </c>
      <c r="F14" s="288">
        <v>-311000</v>
      </c>
      <c r="G14" s="288">
        <v>679000</v>
      </c>
      <c r="H14" s="288">
        <v>120000</v>
      </c>
      <c r="I14" s="288">
        <v>-37000</v>
      </c>
      <c r="J14" s="288">
        <v>-4000</v>
      </c>
      <c r="K14" s="288">
        <v>350000</v>
      </c>
      <c r="L14" s="288">
        <v>201000</v>
      </c>
      <c r="M14" s="288">
        <v>-1118000</v>
      </c>
      <c r="N14" s="288">
        <f t="shared" si="2"/>
        <v>13857000</v>
      </c>
      <c r="P14" s="289"/>
      <c r="Q14" s="289"/>
      <c r="R14" s="289"/>
    </row>
    <row r="15" spans="1:18" x14ac:dyDescent="0.2">
      <c r="A15" s="285">
        <f t="shared" si="0"/>
        <v>8</v>
      </c>
      <c r="B15" s="290">
        <v>25</v>
      </c>
      <c r="C15" s="287">
        <v>2747494368.027422</v>
      </c>
      <c r="D15" s="288">
        <v>254470000</v>
      </c>
      <c r="E15" s="288">
        <v>0</v>
      </c>
      <c r="F15" s="288">
        <v>-5657000</v>
      </c>
      <c r="G15" s="288">
        <v>12361000</v>
      </c>
      <c r="H15" s="288">
        <v>2182000</v>
      </c>
      <c r="I15" s="288">
        <v>-673000</v>
      </c>
      <c r="J15" s="288">
        <v>-80000</v>
      </c>
      <c r="K15" s="288">
        <v>6369000</v>
      </c>
      <c r="L15" s="288">
        <v>3668000</v>
      </c>
      <c r="M15" s="288">
        <v>0</v>
      </c>
      <c r="N15" s="288">
        <f t="shared" si="2"/>
        <v>272640000</v>
      </c>
      <c r="P15" s="289"/>
      <c r="Q15" s="289"/>
      <c r="R15" s="289"/>
    </row>
    <row r="16" spans="1:18" x14ac:dyDescent="0.2">
      <c r="A16" s="285">
        <f t="shared" si="0"/>
        <v>9</v>
      </c>
      <c r="B16" s="286">
        <v>12</v>
      </c>
      <c r="C16" s="287">
        <v>17397679.022697907</v>
      </c>
      <c r="D16" s="288">
        <v>1476000</v>
      </c>
      <c r="E16" s="288">
        <v>0</v>
      </c>
      <c r="F16" s="288">
        <v>-36000</v>
      </c>
      <c r="G16" s="288">
        <v>84000</v>
      </c>
      <c r="H16" s="288">
        <v>12000</v>
      </c>
      <c r="I16" s="288">
        <v>-4000</v>
      </c>
      <c r="J16" s="288">
        <v>-1000</v>
      </c>
      <c r="K16" s="288">
        <v>38000</v>
      </c>
      <c r="L16" s="288">
        <v>-8000</v>
      </c>
      <c r="M16" s="288">
        <v>-129000</v>
      </c>
      <c r="N16" s="288">
        <f t="shared" si="2"/>
        <v>1432000</v>
      </c>
      <c r="P16" s="289"/>
      <c r="Q16" s="289"/>
      <c r="R16" s="289"/>
    </row>
    <row r="17" spans="1:18" x14ac:dyDescent="0.2">
      <c r="A17" s="285">
        <f t="shared" si="0"/>
        <v>10</v>
      </c>
      <c r="B17" s="286" t="s">
        <v>78</v>
      </c>
      <c r="C17" s="287">
        <v>1854391529.5442722</v>
      </c>
      <c r="D17" s="288">
        <v>157305000</v>
      </c>
      <c r="E17" s="288">
        <v>0</v>
      </c>
      <c r="F17" s="288">
        <v>-3818000</v>
      </c>
      <c r="G17" s="288">
        <v>8901000</v>
      </c>
      <c r="H17" s="288">
        <v>1311000</v>
      </c>
      <c r="I17" s="288">
        <v>-375000</v>
      </c>
      <c r="J17" s="288">
        <v>-56000</v>
      </c>
      <c r="K17" s="288">
        <v>4091000</v>
      </c>
      <c r="L17" s="288">
        <v>-741000</v>
      </c>
      <c r="M17" s="288">
        <v>0</v>
      </c>
      <c r="N17" s="288">
        <f t="shared" si="2"/>
        <v>166618000</v>
      </c>
      <c r="P17" s="289"/>
      <c r="Q17" s="289"/>
      <c r="R17" s="289"/>
    </row>
    <row r="18" spans="1:18" x14ac:dyDescent="0.2">
      <c r="A18" s="285">
        <f t="shared" si="0"/>
        <v>11</v>
      </c>
      <c r="B18" s="286">
        <v>29</v>
      </c>
      <c r="C18" s="287">
        <v>14376245.905967504</v>
      </c>
      <c r="D18" s="288">
        <v>1175000</v>
      </c>
      <c r="E18" s="288">
        <v>0</v>
      </c>
      <c r="F18" s="288">
        <v>-31000</v>
      </c>
      <c r="G18" s="288">
        <v>66000</v>
      </c>
      <c r="H18" s="288">
        <v>10000</v>
      </c>
      <c r="I18" s="288">
        <v>-4000</v>
      </c>
      <c r="J18" s="288">
        <v>0</v>
      </c>
      <c r="K18" s="288">
        <v>33000</v>
      </c>
      <c r="L18" s="288">
        <v>19000</v>
      </c>
      <c r="M18" s="288">
        <v>-106000</v>
      </c>
      <c r="N18" s="288">
        <f t="shared" si="2"/>
        <v>1162000</v>
      </c>
      <c r="P18" s="289"/>
      <c r="Q18" s="289"/>
      <c r="R18" s="289"/>
    </row>
    <row r="19" spans="1:18" x14ac:dyDescent="0.2">
      <c r="A19" s="285">
        <f t="shared" si="0"/>
        <v>12</v>
      </c>
      <c r="B19" s="294" t="s">
        <v>79</v>
      </c>
      <c r="C19" s="292">
        <f>SUM(C12:C18)</f>
        <v>7629505408.2357206</v>
      </c>
      <c r="D19" s="293">
        <f t="shared" ref="D19:N19" si="3">SUM(D12:D18)</f>
        <v>713728000</v>
      </c>
      <c r="E19" s="293">
        <f t="shared" si="3"/>
        <v>0</v>
      </c>
      <c r="F19" s="293">
        <f t="shared" si="3"/>
        <v>-15577000</v>
      </c>
      <c r="G19" s="293">
        <f>SUM(G12:G18)</f>
        <v>35295000</v>
      </c>
      <c r="H19" s="293">
        <f t="shared" si="3"/>
        <v>6068000</v>
      </c>
      <c r="I19" s="293">
        <f t="shared" si="3"/>
        <v>-1841000</v>
      </c>
      <c r="J19" s="293">
        <f t="shared" si="3"/>
        <v>-220000</v>
      </c>
      <c r="K19" s="293">
        <f t="shared" si="3"/>
        <v>18127000</v>
      </c>
      <c r="L19" s="293">
        <f t="shared" si="3"/>
        <v>6937000</v>
      </c>
      <c r="M19" s="293">
        <f t="shared" si="3"/>
        <v>-3291000</v>
      </c>
      <c r="N19" s="293">
        <f t="shared" si="3"/>
        <v>759226000</v>
      </c>
      <c r="P19" s="289"/>
      <c r="Q19" s="289"/>
      <c r="R19" s="289"/>
    </row>
    <row r="20" spans="1:18" x14ac:dyDescent="0.2">
      <c r="A20" s="285">
        <f t="shared" si="0"/>
        <v>13</v>
      </c>
      <c r="B20" s="285"/>
      <c r="C20" s="287"/>
      <c r="D20" s="288"/>
      <c r="E20" s="288"/>
      <c r="F20" s="288"/>
      <c r="G20" s="288"/>
      <c r="H20" s="288"/>
      <c r="I20" s="288"/>
      <c r="J20" s="288"/>
      <c r="K20" s="288"/>
      <c r="L20" s="288"/>
      <c r="M20" s="288"/>
      <c r="N20" s="288"/>
    </row>
    <row r="21" spans="1:18" x14ac:dyDescent="0.2">
      <c r="A21" s="285">
        <f t="shared" si="0"/>
        <v>14</v>
      </c>
      <c r="B21" s="286">
        <v>10</v>
      </c>
      <c r="C21" s="287">
        <v>32006545.571725868</v>
      </c>
      <c r="D21" s="288">
        <v>2670000</v>
      </c>
      <c r="E21" s="288">
        <v>0</v>
      </c>
      <c r="F21" s="288">
        <v>-64000</v>
      </c>
      <c r="G21" s="288">
        <v>146000</v>
      </c>
      <c r="H21" s="288">
        <v>22000</v>
      </c>
      <c r="I21" s="288">
        <v>-8000</v>
      </c>
      <c r="J21" s="288">
        <v>-1000</v>
      </c>
      <c r="K21" s="288">
        <v>70000</v>
      </c>
      <c r="L21" s="288">
        <v>-3000</v>
      </c>
      <c r="M21" s="288">
        <v>-237000</v>
      </c>
      <c r="N21" s="288">
        <f>SUM(D21:M21)</f>
        <v>2595000</v>
      </c>
      <c r="P21" s="289"/>
      <c r="Q21" s="289"/>
      <c r="R21" s="289"/>
    </row>
    <row r="22" spans="1:18" x14ac:dyDescent="0.2">
      <c r="A22" s="285">
        <f t="shared" si="0"/>
        <v>15</v>
      </c>
      <c r="B22" s="286">
        <v>31</v>
      </c>
      <c r="C22" s="287">
        <v>1281203840.9003561</v>
      </c>
      <c r="D22" s="288">
        <v>106888000</v>
      </c>
      <c r="E22" s="288">
        <v>0</v>
      </c>
      <c r="F22" s="288">
        <v>-2569000</v>
      </c>
      <c r="G22" s="288">
        <v>5832000</v>
      </c>
      <c r="H22" s="288">
        <v>892000</v>
      </c>
      <c r="I22" s="288">
        <v>-305000</v>
      </c>
      <c r="J22" s="288">
        <v>-36000</v>
      </c>
      <c r="K22" s="288">
        <v>2816000</v>
      </c>
      <c r="L22" s="288">
        <v>-127000</v>
      </c>
      <c r="M22" s="288">
        <v>0</v>
      </c>
      <c r="N22" s="288">
        <f>SUM(D22:M22)</f>
        <v>113391000</v>
      </c>
      <c r="P22" s="289"/>
      <c r="Q22" s="289"/>
      <c r="R22" s="289"/>
    </row>
    <row r="23" spans="1:18" x14ac:dyDescent="0.2">
      <c r="A23" s="285">
        <f t="shared" si="0"/>
        <v>16</v>
      </c>
      <c r="B23" s="286">
        <v>35</v>
      </c>
      <c r="C23" s="287">
        <v>3795600</v>
      </c>
      <c r="D23" s="288">
        <v>225000</v>
      </c>
      <c r="E23" s="288">
        <v>0</v>
      </c>
      <c r="F23" s="288">
        <v>-5000</v>
      </c>
      <c r="G23" s="288">
        <v>12000</v>
      </c>
      <c r="H23" s="288">
        <v>2000</v>
      </c>
      <c r="I23" s="288">
        <v>-1000</v>
      </c>
      <c r="J23" s="288">
        <v>0</v>
      </c>
      <c r="K23" s="288">
        <v>8000</v>
      </c>
      <c r="L23" s="288">
        <v>5000</v>
      </c>
      <c r="M23" s="288">
        <v>-28000</v>
      </c>
      <c r="N23" s="288">
        <f>SUM(D23:M23)</f>
        <v>218000</v>
      </c>
      <c r="P23" s="289"/>
      <c r="Q23" s="289"/>
      <c r="R23" s="289"/>
    </row>
    <row r="24" spans="1:18" x14ac:dyDescent="0.2">
      <c r="A24" s="285">
        <f t="shared" si="0"/>
        <v>17</v>
      </c>
      <c r="B24" s="286">
        <v>43</v>
      </c>
      <c r="C24" s="287">
        <v>125504529.54336946</v>
      </c>
      <c r="D24" s="288">
        <v>11421000</v>
      </c>
      <c r="E24" s="288">
        <v>0</v>
      </c>
      <c r="F24" s="288">
        <v>-227000</v>
      </c>
      <c r="G24" s="288">
        <v>533000</v>
      </c>
      <c r="H24" s="288">
        <v>97000</v>
      </c>
      <c r="I24" s="288">
        <v>-30000</v>
      </c>
      <c r="J24" s="288">
        <v>-3000</v>
      </c>
      <c r="K24" s="288">
        <v>473000</v>
      </c>
      <c r="L24" s="288">
        <v>168000</v>
      </c>
      <c r="M24" s="288">
        <v>0</v>
      </c>
      <c r="N24" s="288">
        <f>SUM(D24:M24)</f>
        <v>12432000</v>
      </c>
      <c r="P24" s="289"/>
      <c r="Q24" s="289"/>
      <c r="R24" s="289"/>
    </row>
    <row r="25" spans="1:18" x14ac:dyDescent="0.2">
      <c r="A25" s="285">
        <f t="shared" si="0"/>
        <v>18</v>
      </c>
      <c r="B25" s="291" t="s">
        <v>80</v>
      </c>
      <c r="C25" s="292">
        <f>SUM(C21:C24)</f>
        <v>1442510516.0154514</v>
      </c>
      <c r="D25" s="293">
        <f t="shared" ref="D25:N25" si="4">SUM(D21:D24)</f>
        <v>121204000</v>
      </c>
      <c r="E25" s="293">
        <f t="shared" si="4"/>
        <v>0</v>
      </c>
      <c r="F25" s="293">
        <f t="shared" si="4"/>
        <v>-2865000</v>
      </c>
      <c r="G25" s="293">
        <f>SUM(G21:G24)</f>
        <v>6523000</v>
      </c>
      <c r="H25" s="293">
        <f t="shared" si="4"/>
        <v>1013000</v>
      </c>
      <c r="I25" s="293">
        <f t="shared" si="4"/>
        <v>-344000</v>
      </c>
      <c r="J25" s="293">
        <f t="shared" si="4"/>
        <v>-40000</v>
      </c>
      <c r="K25" s="293">
        <f t="shared" si="4"/>
        <v>3367000</v>
      </c>
      <c r="L25" s="293">
        <f t="shared" si="4"/>
        <v>43000</v>
      </c>
      <c r="M25" s="293">
        <f t="shared" si="4"/>
        <v>-265000</v>
      </c>
      <c r="N25" s="293">
        <f t="shared" si="4"/>
        <v>128636000</v>
      </c>
      <c r="P25" s="289"/>
      <c r="Q25" s="289"/>
      <c r="R25" s="289"/>
    </row>
    <row r="26" spans="1:18" x14ac:dyDescent="0.2">
      <c r="A26" s="285">
        <f t="shared" si="0"/>
        <v>19</v>
      </c>
      <c r="B26" s="285"/>
      <c r="C26" s="287"/>
      <c r="D26" s="288"/>
      <c r="E26" s="288"/>
      <c r="F26" s="288"/>
      <c r="G26" s="288"/>
      <c r="H26" s="288"/>
      <c r="I26" s="288"/>
      <c r="J26" s="288"/>
      <c r="K26" s="288"/>
      <c r="L26" s="288"/>
      <c r="M26" s="288"/>
      <c r="N26" s="288"/>
    </row>
    <row r="27" spans="1:18" x14ac:dyDescent="0.2">
      <c r="A27" s="285">
        <f t="shared" si="0"/>
        <v>20</v>
      </c>
      <c r="B27" s="286">
        <v>40</v>
      </c>
      <c r="C27" s="292">
        <v>589021558.84228396</v>
      </c>
      <c r="D27" s="293">
        <v>44351000</v>
      </c>
      <c r="E27" s="293">
        <v>0</v>
      </c>
      <c r="F27" s="293">
        <v>-1254000</v>
      </c>
      <c r="G27" s="293">
        <v>3029000</v>
      </c>
      <c r="H27" s="293">
        <v>395000</v>
      </c>
      <c r="I27" s="293">
        <v>-77000</v>
      </c>
      <c r="J27" s="293">
        <v>-18000</v>
      </c>
      <c r="K27" s="293">
        <v>1384000</v>
      </c>
      <c r="L27" s="293">
        <v>786000</v>
      </c>
      <c r="M27" s="293">
        <v>0</v>
      </c>
      <c r="N27" s="293">
        <f>SUM(D27:M27)</f>
        <v>48596000</v>
      </c>
      <c r="P27" s="289"/>
      <c r="Q27" s="289"/>
      <c r="R27" s="289"/>
    </row>
    <row r="28" spans="1:18" x14ac:dyDescent="0.2">
      <c r="A28" s="285">
        <f t="shared" si="0"/>
        <v>21</v>
      </c>
      <c r="B28" s="286"/>
      <c r="C28" s="287"/>
      <c r="D28" s="288"/>
      <c r="E28" s="288"/>
      <c r="F28" s="288"/>
      <c r="G28" s="288"/>
      <c r="H28" s="288"/>
      <c r="I28" s="288"/>
      <c r="J28" s="288"/>
      <c r="K28" s="288"/>
      <c r="L28" s="288"/>
      <c r="M28" s="288"/>
      <c r="N28" s="288"/>
    </row>
    <row r="29" spans="1:18" x14ac:dyDescent="0.2">
      <c r="A29" s="285">
        <f t="shared" si="0"/>
        <v>22</v>
      </c>
      <c r="B29" s="286">
        <v>46</v>
      </c>
      <c r="C29" s="287">
        <v>72680991.648498118</v>
      </c>
      <c r="D29" s="288">
        <v>4987000</v>
      </c>
      <c r="E29" s="288">
        <v>0</v>
      </c>
      <c r="F29" s="288">
        <v>-74000</v>
      </c>
      <c r="G29" s="288">
        <v>212000</v>
      </c>
      <c r="H29" s="288">
        <v>43000</v>
      </c>
      <c r="I29" s="288">
        <v>-8000</v>
      </c>
      <c r="J29" s="288">
        <v>-1000</v>
      </c>
      <c r="K29" s="288">
        <v>107000</v>
      </c>
      <c r="L29" s="288">
        <v>97000</v>
      </c>
      <c r="M29" s="288">
        <v>0</v>
      </c>
      <c r="N29" s="288">
        <f>SUM(D29:M29)</f>
        <v>5363000</v>
      </c>
      <c r="P29" s="289"/>
      <c r="Q29" s="289"/>
      <c r="R29" s="289"/>
    </row>
    <row r="30" spans="1:18" x14ac:dyDescent="0.2">
      <c r="A30" s="285">
        <f t="shared" si="0"/>
        <v>23</v>
      </c>
      <c r="B30" s="286">
        <v>49</v>
      </c>
      <c r="C30" s="287">
        <v>551178809.92550194</v>
      </c>
      <c r="D30" s="288">
        <v>37113000</v>
      </c>
      <c r="E30" s="288">
        <v>0</v>
      </c>
      <c r="F30" s="288">
        <v>-1123000</v>
      </c>
      <c r="G30" s="288">
        <v>2440000</v>
      </c>
      <c r="H30" s="288">
        <v>317000</v>
      </c>
      <c r="I30" s="288">
        <v>-61000</v>
      </c>
      <c r="J30" s="288">
        <v>-15000</v>
      </c>
      <c r="K30" s="288">
        <v>808000</v>
      </c>
      <c r="L30" s="288">
        <v>736000</v>
      </c>
      <c r="M30" s="288">
        <v>0</v>
      </c>
      <c r="N30" s="288">
        <f>SUM(D30:M30)</f>
        <v>40215000</v>
      </c>
      <c r="P30" s="289"/>
      <c r="Q30" s="289"/>
      <c r="R30" s="289"/>
    </row>
    <row r="31" spans="1:18" x14ac:dyDescent="0.2">
      <c r="A31" s="285">
        <f t="shared" si="0"/>
        <v>24</v>
      </c>
      <c r="B31" s="291" t="s">
        <v>81</v>
      </c>
      <c r="C31" s="292">
        <f>SUM(C29:C30)</f>
        <v>623859801.57400012</v>
      </c>
      <c r="D31" s="293">
        <f t="shared" ref="D31:N31" si="5">SUM(D29:D30)</f>
        <v>42100000</v>
      </c>
      <c r="E31" s="293">
        <f t="shared" si="5"/>
        <v>0</v>
      </c>
      <c r="F31" s="293">
        <f t="shared" si="5"/>
        <v>-1197000</v>
      </c>
      <c r="G31" s="293">
        <f>SUM(G29:G30)</f>
        <v>2652000</v>
      </c>
      <c r="H31" s="293">
        <f t="shared" si="5"/>
        <v>360000</v>
      </c>
      <c r="I31" s="293">
        <f t="shared" si="5"/>
        <v>-69000</v>
      </c>
      <c r="J31" s="293">
        <f t="shared" si="5"/>
        <v>-16000</v>
      </c>
      <c r="K31" s="293">
        <f t="shared" si="5"/>
        <v>915000</v>
      </c>
      <c r="L31" s="293">
        <f t="shared" si="5"/>
        <v>833000</v>
      </c>
      <c r="M31" s="293">
        <f t="shared" si="5"/>
        <v>0</v>
      </c>
      <c r="N31" s="293">
        <f t="shared" si="5"/>
        <v>45578000</v>
      </c>
      <c r="P31" s="289"/>
      <c r="Q31" s="289"/>
      <c r="R31" s="289"/>
    </row>
    <row r="32" spans="1:18" x14ac:dyDescent="0.2">
      <c r="A32" s="285">
        <f t="shared" si="0"/>
        <v>25</v>
      </c>
      <c r="B32" s="286"/>
      <c r="C32" s="287"/>
      <c r="D32" s="288"/>
      <c r="E32" s="288"/>
      <c r="F32" s="288"/>
      <c r="G32" s="288"/>
      <c r="H32" s="288"/>
      <c r="I32" s="288"/>
      <c r="J32" s="288"/>
      <c r="K32" s="288"/>
      <c r="L32" s="288"/>
      <c r="M32" s="288"/>
      <c r="N32" s="288"/>
    </row>
    <row r="33" spans="1:18" x14ac:dyDescent="0.2">
      <c r="A33" s="285">
        <f t="shared" si="0"/>
        <v>26</v>
      </c>
      <c r="B33" s="286" t="s">
        <v>82</v>
      </c>
      <c r="C33" s="292">
        <v>72835386.840000004</v>
      </c>
      <c r="D33" s="293">
        <v>18003000</v>
      </c>
      <c r="E33" s="293">
        <v>0</v>
      </c>
      <c r="F33" s="293">
        <v>-185000</v>
      </c>
      <c r="G33" s="293">
        <v>457000</v>
      </c>
      <c r="H33" s="293">
        <v>158000</v>
      </c>
      <c r="I33" s="293">
        <v>-102000</v>
      </c>
      <c r="J33" s="293">
        <v>-3000</v>
      </c>
      <c r="K33" s="293">
        <v>744000</v>
      </c>
      <c r="L33" s="293">
        <v>0</v>
      </c>
      <c r="M33" s="293">
        <v>-15000</v>
      </c>
      <c r="N33" s="293">
        <f>SUM(D33:M33)</f>
        <v>19057000</v>
      </c>
      <c r="P33" s="289"/>
      <c r="Q33" s="289"/>
      <c r="R33" s="289"/>
    </row>
    <row r="34" spans="1:18" x14ac:dyDescent="0.2">
      <c r="A34" s="285">
        <f t="shared" si="0"/>
        <v>27</v>
      </c>
      <c r="B34" s="286"/>
      <c r="C34" s="287"/>
      <c r="D34" s="288"/>
      <c r="E34" s="288"/>
      <c r="F34" s="288"/>
      <c r="G34" s="288"/>
      <c r="H34" s="288"/>
      <c r="I34" s="288"/>
      <c r="J34" s="288"/>
      <c r="K34" s="288"/>
      <c r="L34" s="288"/>
      <c r="M34" s="288"/>
      <c r="N34" s="288"/>
    </row>
    <row r="35" spans="1:18" x14ac:dyDescent="0.2">
      <c r="A35" s="285">
        <f t="shared" si="0"/>
        <v>28</v>
      </c>
      <c r="B35" s="286" t="s">
        <v>83</v>
      </c>
      <c r="C35" s="292">
        <v>2001244000</v>
      </c>
      <c r="D35" s="293">
        <v>8149000</v>
      </c>
      <c r="E35" s="293">
        <v>0</v>
      </c>
      <c r="F35" s="293">
        <v>0</v>
      </c>
      <c r="G35" s="293">
        <v>2165000</v>
      </c>
      <c r="H35" s="293">
        <v>66000</v>
      </c>
      <c r="I35" s="293">
        <v>-56000</v>
      </c>
      <c r="J35" s="293">
        <v>0</v>
      </c>
      <c r="K35" s="293">
        <v>598000</v>
      </c>
      <c r="L35" s="293">
        <v>0</v>
      </c>
      <c r="M35" s="293">
        <v>0</v>
      </c>
      <c r="N35" s="293">
        <f>SUM(D35:M35)</f>
        <v>10922000</v>
      </c>
      <c r="P35" s="289"/>
      <c r="Q35" s="289"/>
      <c r="R35" s="289"/>
    </row>
    <row r="36" spans="1:18" x14ac:dyDescent="0.2">
      <c r="A36" s="285">
        <f t="shared" si="0"/>
        <v>29</v>
      </c>
      <c r="B36" s="286"/>
      <c r="C36" s="287"/>
      <c r="D36" s="288"/>
      <c r="E36" s="288"/>
      <c r="F36" s="288"/>
      <c r="G36" s="288"/>
      <c r="H36" s="288"/>
      <c r="I36" s="288"/>
      <c r="J36" s="288"/>
      <c r="K36" s="288"/>
      <c r="L36" s="288"/>
      <c r="M36" s="288"/>
      <c r="N36" s="288"/>
    </row>
    <row r="37" spans="1:18" ht="13.5" thickBot="1" x14ac:dyDescent="0.25">
      <c r="A37" s="285">
        <f t="shared" si="0"/>
        <v>30</v>
      </c>
      <c r="B37" s="291" t="s">
        <v>84</v>
      </c>
      <c r="C37" s="295">
        <f t="shared" ref="C37:N37" si="6">SUM(C10,C19,C25,C27,C31,C33,C35)</f>
        <v>23165320701.564598</v>
      </c>
      <c r="D37" s="296">
        <f t="shared" si="6"/>
        <v>2125345000</v>
      </c>
      <c r="E37" s="296">
        <f t="shared" si="6"/>
        <v>0</v>
      </c>
      <c r="F37" s="296">
        <f t="shared" si="6"/>
        <v>-47996000</v>
      </c>
      <c r="G37" s="296">
        <f t="shared" si="6"/>
        <v>115766000</v>
      </c>
      <c r="H37" s="296">
        <f t="shared" si="6"/>
        <v>18185000</v>
      </c>
      <c r="I37" s="296">
        <f t="shared" si="6"/>
        <v>-6228000</v>
      </c>
      <c r="J37" s="296">
        <f t="shared" si="6"/>
        <v>-675000</v>
      </c>
      <c r="K37" s="296">
        <f t="shared" si="6"/>
        <v>64078000</v>
      </c>
      <c r="L37" s="296">
        <f t="shared" si="6"/>
        <v>21577000</v>
      </c>
      <c r="M37" s="296">
        <f t="shared" si="6"/>
        <v>-83603000</v>
      </c>
      <c r="N37" s="296">
        <f t="shared" si="6"/>
        <v>2206449000</v>
      </c>
      <c r="P37" s="288"/>
      <c r="Q37" s="288"/>
      <c r="R37" s="289"/>
    </row>
    <row r="38" spans="1:18" ht="13.5" thickTop="1" x14ac:dyDescent="0.2"/>
    <row r="39" spans="1:18" x14ac:dyDescent="0.2">
      <c r="B39" s="297" t="s">
        <v>507</v>
      </c>
    </row>
    <row r="40" spans="1:18" x14ac:dyDescent="0.2">
      <c r="D40" s="288"/>
      <c r="N40" s="298"/>
    </row>
  </sheetData>
  <mergeCells count="4">
    <mergeCell ref="A1:N1"/>
    <mergeCell ref="A2:N2"/>
    <mergeCell ref="A3:N3"/>
    <mergeCell ref="A4:N4"/>
  </mergeCells>
  <printOptions horizontalCentered="1"/>
  <pageMargins left="0.25" right="0.25" top="0.75" bottom="0.75" header="0.3" footer="0.3"/>
  <pageSetup scale="64" orientation="landscape" r:id="rId1"/>
  <headerFooter>
    <oddHeader>&amp;RAdvice No. 2018-xx
Workpaper No. 18</oddHeader>
    <oddFooter>&amp;L&amp;F
&amp;A&amp;R&amp;D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zoomScaleNormal="100" workbookViewId="0">
      <selection activeCell="C48" sqref="C48"/>
    </sheetView>
  </sheetViews>
  <sheetFormatPr defaultRowHeight="12.75" x14ac:dyDescent="0.2"/>
  <cols>
    <col min="1" max="1" width="5.5703125" style="54" customWidth="1"/>
    <col min="2" max="2" width="44.42578125" style="54" customWidth="1"/>
    <col min="3" max="3" width="15.7109375" style="54" customWidth="1"/>
    <col min="4" max="16384" width="9.140625" style="54"/>
  </cols>
  <sheetData>
    <row r="1" spans="1:3" x14ac:dyDescent="0.2">
      <c r="A1" s="504" t="s">
        <v>0</v>
      </c>
      <c r="B1" s="504"/>
      <c r="C1" s="504"/>
    </row>
    <row r="2" spans="1:3" x14ac:dyDescent="0.2">
      <c r="A2" s="506" t="s">
        <v>1</v>
      </c>
      <c r="B2" s="506"/>
      <c r="C2" s="506"/>
    </row>
    <row r="3" spans="1:3" x14ac:dyDescent="0.2">
      <c r="A3" s="504" t="s">
        <v>195</v>
      </c>
      <c r="B3" s="504"/>
      <c r="C3" s="504"/>
    </row>
    <row r="4" spans="1:3" x14ac:dyDescent="0.2">
      <c r="A4" s="504"/>
      <c r="B4" s="504"/>
      <c r="C4" s="504"/>
    </row>
    <row r="5" spans="1:3" x14ac:dyDescent="0.2">
      <c r="A5" s="9"/>
      <c r="B5" s="9"/>
      <c r="C5" s="56"/>
    </row>
    <row r="6" spans="1:3" ht="25.5" x14ac:dyDescent="0.2">
      <c r="A6" s="57" t="s">
        <v>56</v>
      </c>
      <c r="B6" s="8"/>
      <c r="C6" s="58" t="s">
        <v>196</v>
      </c>
    </row>
    <row r="7" spans="1:3" x14ac:dyDescent="0.2">
      <c r="A7" s="9"/>
      <c r="B7" s="10" t="s">
        <v>9</v>
      </c>
      <c r="C7" s="10" t="s">
        <v>10</v>
      </c>
    </row>
    <row r="8" spans="1:3" x14ac:dyDescent="0.2">
      <c r="A8" s="10">
        <v>1</v>
      </c>
      <c r="B8" s="11"/>
      <c r="C8" s="9"/>
    </row>
    <row r="9" spans="1:3" x14ac:dyDescent="0.2">
      <c r="A9" s="10">
        <f t="shared" ref="A9:A25" si="0">A8+1</f>
        <v>2</v>
      </c>
      <c r="B9" s="59" t="s">
        <v>86</v>
      </c>
      <c r="C9" s="9"/>
    </row>
    <row r="10" spans="1:3" x14ac:dyDescent="0.2">
      <c r="A10" s="10">
        <f t="shared" si="0"/>
        <v>3</v>
      </c>
      <c r="B10" s="9" t="s">
        <v>87</v>
      </c>
      <c r="C10" s="60">
        <f>'Average Cust Counts'!N57</f>
        <v>998075.41666666663</v>
      </c>
    </row>
    <row r="11" spans="1:3" x14ac:dyDescent="0.2">
      <c r="A11" s="10">
        <f t="shared" si="0"/>
        <v>4</v>
      </c>
      <c r="B11" s="9" t="s">
        <v>397</v>
      </c>
      <c r="C11" s="60">
        <f>'Average Cust Counts'!N58</f>
        <v>128109.91666666667</v>
      </c>
    </row>
    <row r="12" spans="1:3" x14ac:dyDescent="0.2">
      <c r="A12" s="10">
        <f t="shared" si="0"/>
        <v>5</v>
      </c>
      <c r="B12" s="9" t="s">
        <v>197</v>
      </c>
      <c r="C12" s="60">
        <f>'Average Cust Counts'!N59</f>
        <v>793.91666666666663</v>
      </c>
    </row>
    <row r="13" spans="1:3" x14ac:dyDescent="0.2">
      <c r="A13" s="10">
        <f t="shared" si="0"/>
        <v>6</v>
      </c>
      <c r="B13" s="9" t="s">
        <v>198</v>
      </c>
      <c r="C13" s="60">
        <f>'Average Cust Counts'!N60</f>
        <v>480.66666666666669</v>
      </c>
    </row>
    <row r="14" spans="1:3" x14ac:dyDescent="0.2">
      <c r="A14" s="10">
        <f t="shared" si="0"/>
        <v>7</v>
      </c>
      <c r="B14" s="9"/>
      <c r="C14" s="25"/>
    </row>
    <row r="15" spans="1:3" x14ac:dyDescent="0.2">
      <c r="A15" s="10">
        <f t="shared" si="0"/>
        <v>8</v>
      </c>
      <c r="B15" s="61" t="s">
        <v>634</v>
      </c>
      <c r="C15" s="25"/>
    </row>
    <row r="16" spans="1:3" x14ac:dyDescent="0.2">
      <c r="A16" s="10">
        <f t="shared" si="0"/>
        <v>9</v>
      </c>
      <c r="B16" s="9" t="s">
        <v>87</v>
      </c>
      <c r="C16" s="20">
        <f>'ERF Allowed'!D27</f>
        <v>449.85</v>
      </c>
    </row>
    <row r="17" spans="1:4" x14ac:dyDescent="0.2">
      <c r="A17" s="10">
        <f t="shared" si="0"/>
        <v>10</v>
      </c>
      <c r="B17" s="9" t="s">
        <v>397</v>
      </c>
      <c r="C17" s="20">
        <f>'ERF Allowed'!E27</f>
        <v>1705.96</v>
      </c>
    </row>
    <row r="18" spans="1:4" x14ac:dyDescent="0.2">
      <c r="A18" s="10">
        <f t="shared" si="0"/>
        <v>11</v>
      </c>
      <c r="B18" s="9" t="s">
        <v>197</v>
      </c>
      <c r="C18" s="20">
        <f>'ERF Allowed 26&amp;31'!D28</f>
        <v>52433.57</v>
      </c>
    </row>
    <row r="19" spans="1:4" x14ac:dyDescent="0.2">
      <c r="A19" s="10">
        <f t="shared" si="0"/>
        <v>12</v>
      </c>
      <c r="B19" s="9" t="s">
        <v>198</v>
      </c>
      <c r="C19" s="20">
        <f>'ERF Allowed 26&amp;31'!E28</f>
        <v>64640.11</v>
      </c>
    </row>
    <row r="20" spans="1:4" x14ac:dyDescent="0.2">
      <c r="A20" s="10">
        <f t="shared" si="0"/>
        <v>13</v>
      </c>
      <c r="B20" s="9"/>
      <c r="C20" s="9"/>
    </row>
    <row r="21" spans="1:4" x14ac:dyDescent="0.2">
      <c r="A21" s="10">
        <f t="shared" si="0"/>
        <v>14</v>
      </c>
      <c r="B21" s="61" t="s">
        <v>633</v>
      </c>
      <c r="C21" s="9"/>
    </row>
    <row r="22" spans="1:4" x14ac:dyDescent="0.2">
      <c r="A22" s="10">
        <f t="shared" si="0"/>
        <v>15</v>
      </c>
      <c r="B22" s="9" t="s">
        <v>87</v>
      </c>
      <c r="C22" s="18">
        <f>ROUND(C10*C16,0)</f>
        <v>448984226</v>
      </c>
      <c r="D22" s="62"/>
    </row>
    <row r="23" spans="1:4" x14ac:dyDescent="0.2">
      <c r="A23" s="10">
        <f t="shared" si="0"/>
        <v>16</v>
      </c>
      <c r="B23" s="9" t="s">
        <v>397</v>
      </c>
      <c r="C23" s="18">
        <f t="shared" ref="C23:C24" si="1">ROUND(C11*C17,0)</f>
        <v>218550393</v>
      </c>
      <c r="D23" s="62"/>
    </row>
    <row r="24" spans="1:4" x14ac:dyDescent="0.2">
      <c r="A24" s="10">
        <f t="shared" si="0"/>
        <v>17</v>
      </c>
      <c r="B24" s="9" t="s">
        <v>197</v>
      </c>
      <c r="C24" s="18">
        <f t="shared" si="1"/>
        <v>41627885</v>
      </c>
      <c r="D24" s="62"/>
    </row>
    <row r="25" spans="1:4" x14ac:dyDescent="0.2">
      <c r="A25" s="10">
        <f t="shared" si="0"/>
        <v>18</v>
      </c>
      <c r="B25" s="9" t="s">
        <v>198</v>
      </c>
      <c r="C25" s="18">
        <f>ROUND(C13*C19,0)</f>
        <v>31070346</v>
      </c>
      <c r="D25" s="62"/>
    </row>
    <row r="26" spans="1:4" x14ac:dyDescent="0.2">
      <c r="A26" s="9"/>
      <c r="B26" s="9"/>
      <c r="C26" s="9"/>
    </row>
    <row r="27" spans="1:4" x14ac:dyDescent="0.2">
      <c r="A27" s="9"/>
      <c r="B27" s="9" t="s">
        <v>635</v>
      </c>
      <c r="C27" s="9"/>
    </row>
  </sheetData>
  <mergeCells count="4">
    <mergeCell ref="A1:C1"/>
    <mergeCell ref="A2:C2"/>
    <mergeCell ref="A3:C3"/>
    <mergeCell ref="A4:C4"/>
  </mergeCells>
  <printOptions horizontalCentered="1"/>
  <pageMargins left="0.45" right="0.45" top="0.75" bottom="0.75" header="0.3" footer="0.3"/>
  <pageSetup orientation="portrait" blackAndWhite="1" r:id="rId1"/>
  <headerFooter>
    <oddHeader>&amp;RAdvice No. 2018-xx
Workpaper No. 19</oddHeader>
    <oddFooter>&amp;L&amp;F
&amp;A&amp;R&amp;D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selection activeCell="C48" sqref="C48"/>
    </sheetView>
  </sheetViews>
  <sheetFormatPr defaultRowHeight="12.75" x14ac:dyDescent="0.2"/>
  <cols>
    <col min="1" max="1" width="5.28515625" style="54" customWidth="1"/>
    <col min="2" max="2" width="34.85546875" style="54" customWidth="1"/>
    <col min="3" max="14" width="13.5703125" style="54" customWidth="1"/>
    <col min="15" max="15" width="13.85546875" style="54" customWidth="1"/>
    <col min="16" max="16384" width="9.140625" style="54"/>
  </cols>
  <sheetData>
    <row r="1" spans="1:16" x14ac:dyDescent="0.2">
      <c r="A1" s="504" t="s">
        <v>0</v>
      </c>
      <c r="B1" s="504"/>
      <c r="C1" s="504"/>
      <c r="D1" s="504"/>
      <c r="E1" s="504"/>
      <c r="F1" s="504"/>
      <c r="G1" s="504"/>
      <c r="H1" s="504"/>
      <c r="I1" s="504"/>
      <c r="J1" s="504"/>
      <c r="K1" s="504"/>
      <c r="L1" s="504"/>
      <c r="M1" s="504"/>
      <c r="N1" s="504"/>
      <c r="O1" s="504"/>
      <c r="P1" s="9"/>
    </row>
    <row r="2" spans="1:16" x14ac:dyDescent="0.2">
      <c r="A2" s="506" t="s">
        <v>1</v>
      </c>
      <c r="B2" s="506"/>
      <c r="C2" s="506"/>
      <c r="D2" s="506"/>
      <c r="E2" s="506"/>
      <c r="F2" s="506"/>
      <c r="G2" s="506"/>
      <c r="H2" s="506"/>
      <c r="I2" s="506"/>
      <c r="J2" s="506"/>
      <c r="K2" s="506"/>
      <c r="L2" s="506"/>
      <c r="M2" s="506"/>
      <c r="N2" s="506"/>
      <c r="O2" s="506"/>
      <c r="P2" s="9"/>
    </row>
    <row r="3" spans="1:16" x14ac:dyDescent="0.2">
      <c r="A3" s="506" t="s">
        <v>367</v>
      </c>
      <c r="B3" s="506"/>
      <c r="C3" s="506"/>
      <c r="D3" s="506"/>
      <c r="E3" s="506"/>
      <c r="F3" s="506"/>
      <c r="G3" s="506"/>
      <c r="H3" s="506"/>
      <c r="I3" s="506"/>
      <c r="J3" s="506"/>
      <c r="K3" s="506"/>
      <c r="L3" s="506"/>
      <c r="M3" s="506"/>
      <c r="N3" s="506"/>
      <c r="O3" s="506"/>
      <c r="P3" s="9"/>
    </row>
    <row r="4" spans="1:16" x14ac:dyDescent="0.2">
      <c r="A4" s="506"/>
      <c r="B4" s="506"/>
      <c r="C4" s="506"/>
      <c r="D4" s="506"/>
      <c r="E4" s="506"/>
      <c r="F4" s="506"/>
      <c r="G4" s="506"/>
      <c r="H4" s="506"/>
      <c r="I4" s="506"/>
      <c r="J4" s="506"/>
      <c r="K4" s="506"/>
      <c r="L4" s="506"/>
      <c r="M4" s="506"/>
      <c r="N4" s="506"/>
      <c r="O4" s="506"/>
      <c r="P4" s="9"/>
    </row>
    <row r="5" spans="1:16" x14ac:dyDescent="0.2">
      <c r="A5" s="504"/>
      <c r="B5" s="504"/>
      <c r="C5" s="504"/>
      <c r="D5" s="504"/>
      <c r="E5" s="504"/>
      <c r="F5" s="504"/>
      <c r="G5" s="504"/>
      <c r="H5" s="504"/>
      <c r="I5" s="504"/>
      <c r="J5" s="504"/>
      <c r="K5" s="504"/>
      <c r="L5" s="504"/>
      <c r="M5" s="504"/>
      <c r="N5" s="504"/>
      <c r="O5" s="504"/>
      <c r="P5" s="9"/>
    </row>
    <row r="6" spans="1:16" x14ac:dyDescent="0.2">
      <c r="A6" s="9"/>
      <c r="B6" s="9"/>
      <c r="C6" s="9"/>
      <c r="D6" s="9"/>
      <c r="E6" s="9"/>
      <c r="F6" s="9"/>
      <c r="G6" s="9"/>
      <c r="H6" s="9"/>
      <c r="I6" s="9"/>
      <c r="J6" s="9"/>
      <c r="K6" s="9"/>
      <c r="L6" s="9"/>
      <c r="M6" s="56"/>
      <c r="N6" s="56"/>
      <c r="O6" s="56"/>
      <c r="P6" s="9"/>
    </row>
    <row r="7" spans="1:16" ht="38.25" x14ac:dyDescent="0.2">
      <c r="A7" s="57" t="s">
        <v>56</v>
      </c>
      <c r="B7" s="8"/>
      <c r="C7" s="58">
        <v>42736</v>
      </c>
      <c r="D7" s="58">
        <f>EDATE(C7,1)</f>
        <v>42767</v>
      </c>
      <c r="E7" s="58">
        <f t="shared" ref="E7:N7" si="0">EDATE(D7,1)</f>
        <v>42795</v>
      </c>
      <c r="F7" s="58">
        <f t="shared" si="0"/>
        <v>42826</v>
      </c>
      <c r="G7" s="58">
        <f t="shared" si="0"/>
        <v>42856</v>
      </c>
      <c r="H7" s="58">
        <f t="shared" si="0"/>
        <v>42887</v>
      </c>
      <c r="I7" s="58">
        <f t="shared" si="0"/>
        <v>42917</v>
      </c>
      <c r="J7" s="58">
        <f t="shared" si="0"/>
        <v>42948</v>
      </c>
      <c r="K7" s="58">
        <f t="shared" si="0"/>
        <v>42979</v>
      </c>
      <c r="L7" s="58">
        <f t="shared" si="0"/>
        <v>43009</v>
      </c>
      <c r="M7" s="58">
        <f t="shared" si="0"/>
        <v>43040</v>
      </c>
      <c r="N7" s="58">
        <f t="shared" si="0"/>
        <v>43070</v>
      </c>
      <c r="O7" s="58" t="s">
        <v>84</v>
      </c>
      <c r="P7" s="9"/>
    </row>
    <row r="8" spans="1:16" x14ac:dyDescent="0.2">
      <c r="A8" s="9"/>
      <c r="B8" s="10" t="s">
        <v>9</v>
      </c>
      <c r="C8" s="10" t="s">
        <v>10</v>
      </c>
      <c r="D8" s="10" t="s">
        <v>11</v>
      </c>
      <c r="E8" s="10" t="s">
        <v>12</v>
      </c>
      <c r="F8" s="10" t="s">
        <v>13</v>
      </c>
      <c r="G8" s="10" t="s">
        <v>14</v>
      </c>
      <c r="H8" s="10" t="s">
        <v>67</v>
      </c>
      <c r="I8" s="10" t="s">
        <v>68</v>
      </c>
      <c r="J8" s="100" t="s">
        <v>69</v>
      </c>
      <c r="K8" s="100" t="s">
        <v>70</v>
      </c>
      <c r="L8" s="100" t="s">
        <v>71</v>
      </c>
      <c r="M8" s="100" t="s">
        <v>72</v>
      </c>
      <c r="N8" s="100" t="s">
        <v>73</v>
      </c>
      <c r="O8" s="100" t="s">
        <v>74</v>
      </c>
      <c r="P8" s="9"/>
    </row>
    <row r="9" spans="1:16" x14ac:dyDescent="0.2">
      <c r="A9" s="10">
        <v>1</v>
      </c>
      <c r="B9" s="11"/>
      <c r="C9" s="11"/>
      <c r="D9" s="11"/>
      <c r="E9" s="11"/>
      <c r="F9" s="11"/>
      <c r="G9" s="11"/>
      <c r="H9" s="11"/>
      <c r="I9" s="10"/>
      <c r="J9" s="10"/>
      <c r="K9" s="10"/>
      <c r="L9" s="10"/>
      <c r="M9" s="9"/>
      <c r="N9" s="9"/>
      <c r="O9" s="9"/>
      <c r="P9" s="9"/>
    </row>
    <row r="10" spans="1:16" x14ac:dyDescent="0.2">
      <c r="A10" s="10">
        <f t="shared" ref="A10:A35" si="1">A9+1</f>
        <v>2</v>
      </c>
      <c r="B10" s="59" t="s">
        <v>199</v>
      </c>
      <c r="C10" s="59"/>
      <c r="D10" s="59"/>
      <c r="E10" s="59"/>
      <c r="F10" s="59"/>
      <c r="G10" s="59"/>
      <c r="H10" s="59"/>
      <c r="I10" s="71"/>
      <c r="J10" s="72"/>
      <c r="K10" s="18"/>
      <c r="L10" s="18"/>
      <c r="M10" s="9"/>
      <c r="N10" s="9"/>
      <c r="O10" s="9"/>
      <c r="P10" s="9"/>
    </row>
    <row r="11" spans="1:16" x14ac:dyDescent="0.2">
      <c r="A11" s="10">
        <f t="shared" si="1"/>
        <v>3</v>
      </c>
      <c r="B11" s="9" t="s">
        <v>88</v>
      </c>
      <c r="C11" s="35">
        <f>'Elec 2017 Norm Total Usage'!B13</f>
        <v>282068237.67989683</v>
      </c>
      <c r="D11" s="35">
        <f>'Elec 2017 Norm Total Usage'!C13</f>
        <v>260283139.90980548</v>
      </c>
      <c r="E11" s="35">
        <f>'Elec 2017 Norm Total Usage'!D13</f>
        <v>274691572.7681728</v>
      </c>
      <c r="F11" s="35">
        <f>'Elec 2017 Norm Total Usage'!E13</f>
        <v>230308283.89087585</v>
      </c>
      <c r="G11" s="35">
        <f>'Elec 2017 Norm Total Usage'!F13</f>
        <v>221568987.20596281</v>
      </c>
      <c r="H11" s="35">
        <f>'Elec 2017 Norm Total Usage'!G13</f>
        <v>217305331.70995194</v>
      </c>
      <c r="I11" s="35">
        <f>'Elec 2017 Norm Total Usage'!H13</f>
        <v>214418263.01737416</v>
      </c>
      <c r="J11" s="35">
        <f>'Elec 2017 Norm Total Usage'!I13</f>
        <v>222034889.81666097</v>
      </c>
      <c r="K11" s="35">
        <f>'Elec 2017 Norm Total Usage'!J13</f>
        <v>223843308.67060781</v>
      </c>
      <c r="L11" s="35">
        <f>'Elec 2017 Norm Total Usage'!K13</f>
        <v>216464006.05387628</v>
      </c>
      <c r="M11" s="35">
        <f>'Elec 2017 Norm Total Usage'!L13</f>
        <v>232560771.03685063</v>
      </c>
      <c r="N11" s="35">
        <f>'Elec 2017 Norm Total Usage'!M13</f>
        <v>249395086.40090618</v>
      </c>
      <c r="O11" s="115">
        <f t="shared" ref="O11:O17" si="2">SUM(C11:N11)</f>
        <v>2844941878.1609411</v>
      </c>
      <c r="P11" s="9"/>
    </row>
    <row r="12" spans="1:16" x14ac:dyDescent="0.2">
      <c r="A12" s="10">
        <f t="shared" si="1"/>
        <v>4</v>
      </c>
      <c r="B12" s="9" t="s">
        <v>368</v>
      </c>
      <c r="C12" s="35">
        <f>'Elec 2017 Norm Total Usage'!B17</f>
        <v>258632411.97217053</v>
      </c>
      <c r="D12" s="35">
        <f>'Elec 2017 Norm Total Usage'!C17</f>
        <v>244862629.3971996</v>
      </c>
      <c r="E12" s="35">
        <f>'Elec 2017 Norm Total Usage'!D17</f>
        <v>267725702.21033037</v>
      </c>
      <c r="F12" s="35">
        <f>'Elec 2017 Norm Total Usage'!E17</f>
        <v>226830361.03695038</v>
      </c>
      <c r="G12" s="35">
        <f>'Elec 2017 Norm Total Usage'!F17</f>
        <v>231261219.19315684</v>
      </c>
      <c r="H12" s="35">
        <f>'Elec 2017 Norm Total Usage'!G17</f>
        <v>235845999.40198097</v>
      </c>
      <c r="I12" s="35">
        <f>'Elec 2017 Norm Total Usage'!H17</f>
        <v>232388249.26332164</v>
      </c>
      <c r="J12" s="35">
        <f>'Elec 2017 Norm Total Usage'!I17</f>
        <v>236888403.38971779</v>
      </c>
      <c r="K12" s="35">
        <f>'Elec 2017 Norm Total Usage'!J17</f>
        <v>240287712.66469985</v>
      </c>
      <c r="L12" s="35">
        <f>'Elec 2017 Norm Total Usage'!K17</f>
        <v>235187975.02352422</v>
      </c>
      <c r="M12" s="35">
        <f>'Elec 2017 Norm Total Usage'!L17</f>
        <v>239278076.23332879</v>
      </c>
      <c r="N12" s="35">
        <f>'Elec 2017 Norm Total Usage'!M17</f>
        <v>251659345.39675266</v>
      </c>
      <c r="O12" s="115">
        <f t="shared" si="2"/>
        <v>2900848085.1831341</v>
      </c>
      <c r="P12" s="9"/>
    </row>
    <row r="13" spans="1:16" x14ac:dyDescent="0.2">
      <c r="A13" s="10">
        <f t="shared" si="1"/>
        <v>5</v>
      </c>
      <c r="B13" s="9" t="s">
        <v>200</v>
      </c>
      <c r="C13" s="35">
        <f>'Elec 2017 Norm Total Usage'!B27</f>
        <v>261450.65400000001</v>
      </c>
      <c r="D13" s="35">
        <f>'Elec 2017 Norm Total Usage'!C27</f>
        <v>230414.712</v>
      </c>
      <c r="E13" s="35">
        <f>'Elec 2017 Norm Total Usage'!D27</f>
        <v>250140.027</v>
      </c>
      <c r="F13" s="35">
        <f>'Elec 2017 Norm Total Usage'!E27</f>
        <v>243224.34299999999</v>
      </c>
      <c r="G13" s="35">
        <f>'Elec 2017 Norm Total Usage'!F27</f>
        <v>403861.72200000001</v>
      </c>
      <c r="H13" s="35">
        <f>'Elec 2017 Norm Total Usage'!G27</f>
        <v>1045681.6638982329</v>
      </c>
      <c r="I13" s="35">
        <f>'Elec 2017 Norm Total Usage'!H27</f>
        <v>2328156.7911858237</v>
      </c>
      <c r="J13" s="35">
        <f>'Elec 2017 Norm Total Usage'!I27</f>
        <v>3992407.1712656985</v>
      </c>
      <c r="K13" s="35">
        <f>'Elec 2017 Norm Total Usage'!J27</f>
        <v>3525454.561617746</v>
      </c>
      <c r="L13" s="35">
        <f>'Elec 2017 Norm Total Usage'!K27</f>
        <v>1543509.81</v>
      </c>
      <c r="M13" s="35">
        <f>'Elec 2017 Norm Total Usage'!L27</f>
        <v>346375.08299999998</v>
      </c>
      <c r="N13" s="35">
        <f>'Elec 2017 Norm Total Usage'!M27</f>
        <v>205569.367</v>
      </c>
      <c r="O13" s="115">
        <f t="shared" si="2"/>
        <v>14376245.905967504</v>
      </c>
      <c r="P13" s="9"/>
    </row>
    <row r="14" spans="1:16" x14ac:dyDescent="0.2">
      <c r="A14" s="10">
        <f t="shared" si="1"/>
        <v>6</v>
      </c>
      <c r="B14" s="9" t="s">
        <v>201</v>
      </c>
      <c r="C14" s="35">
        <f>'Elec 2017 Norm Total Usage'!B40</f>
        <v>2400</v>
      </c>
      <c r="D14" s="35">
        <f>'Elec 2017 Norm Total Usage'!C40</f>
        <v>3600</v>
      </c>
      <c r="E14" s="35">
        <f>'Elec 2017 Norm Total Usage'!D40</f>
        <v>3000</v>
      </c>
      <c r="F14" s="35">
        <f>'Elec 2017 Norm Total Usage'!E40</f>
        <v>2400</v>
      </c>
      <c r="G14" s="35">
        <f>'Elec 2017 Norm Total Usage'!F40</f>
        <v>3000</v>
      </c>
      <c r="H14" s="35">
        <f>'Elec 2017 Norm Total Usage'!G40</f>
        <v>442800</v>
      </c>
      <c r="I14" s="35">
        <f>'Elec 2017 Norm Total Usage'!H40</f>
        <v>526200</v>
      </c>
      <c r="J14" s="35">
        <f>'Elec 2017 Norm Total Usage'!I40</f>
        <v>1019400</v>
      </c>
      <c r="K14" s="35">
        <f>'Elec 2017 Norm Total Usage'!J40</f>
        <v>791400</v>
      </c>
      <c r="L14" s="35">
        <f>'Elec 2017 Norm Total Usage'!K40</f>
        <v>672600</v>
      </c>
      <c r="M14" s="35">
        <f>'Elec 2017 Norm Total Usage'!L40</f>
        <v>325800</v>
      </c>
      <c r="N14" s="35">
        <f>'Elec 2017 Norm Total Usage'!M40</f>
        <v>3000</v>
      </c>
      <c r="O14" s="115">
        <f t="shared" si="2"/>
        <v>3795600</v>
      </c>
      <c r="P14" s="9"/>
    </row>
    <row r="15" spans="1:16" x14ac:dyDescent="0.2">
      <c r="A15" s="10">
        <f t="shared" si="1"/>
        <v>7</v>
      </c>
      <c r="B15" s="9" t="s">
        <v>202</v>
      </c>
      <c r="C15" s="35">
        <f>'Elec 2017 Norm Total Usage'!B28</f>
        <v>56535826.724061377</v>
      </c>
      <c r="D15" s="35">
        <f>'Elec 2017 Norm Total Usage'!C28</f>
        <v>49768077.763657287</v>
      </c>
      <c r="E15" s="35">
        <f>'Elec 2017 Norm Total Usage'!D28</f>
        <v>51883938.3625369</v>
      </c>
      <c r="F15" s="35">
        <f>'Elec 2017 Norm Total Usage'!E28</f>
        <v>46552219.153936379</v>
      </c>
      <c r="G15" s="35">
        <f>'Elec 2017 Norm Total Usage'!F28</f>
        <v>46341976.790178865</v>
      </c>
      <c r="H15" s="35">
        <f>'Elec 2017 Norm Total Usage'!G28</f>
        <v>50158845.914856829</v>
      </c>
      <c r="I15" s="35">
        <f>'Elec 2017 Norm Total Usage'!H28</f>
        <v>49870083.449338317</v>
      </c>
      <c r="J15" s="35">
        <f>'Elec 2017 Norm Total Usage'!I28</f>
        <v>49047738.409360357</v>
      </c>
      <c r="K15" s="35">
        <f>'Elec 2017 Norm Total Usage'!J28</f>
        <v>49884119.088857777</v>
      </c>
      <c r="L15" s="35">
        <f>'Elec 2017 Norm Total Usage'!K28</f>
        <v>48663657.419437096</v>
      </c>
      <c r="M15" s="35">
        <f>'Elec 2017 Norm Total Usage'!L28</f>
        <v>42306826.226782486</v>
      </c>
      <c r="N15" s="35">
        <f>'Elec 2017 Norm Total Usage'!M28</f>
        <v>48008249.539280318</v>
      </c>
      <c r="O15" s="115">
        <f t="shared" si="2"/>
        <v>589021558.84228396</v>
      </c>
      <c r="P15" s="9"/>
    </row>
    <row r="16" spans="1:16" x14ac:dyDescent="0.2">
      <c r="A16" s="10">
        <f t="shared" si="1"/>
        <v>8</v>
      </c>
      <c r="B16" s="9" t="s">
        <v>203</v>
      </c>
      <c r="C16" s="35">
        <f>'Elec 2017 Norm Total Usage'!B29</f>
        <v>13164973.711563468</v>
      </c>
      <c r="D16" s="35">
        <f>'Elec 2017 Norm Total Usage'!C29</f>
        <v>15946938.001801016</v>
      </c>
      <c r="E16" s="35">
        <f>'Elec 2017 Norm Total Usage'!D29</f>
        <v>17571955.324937694</v>
      </c>
      <c r="F16" s="35">
        <f>'Elec 2017 Norm Total Usage'!E29</f>
        <v>12359719.531756025</v>
      </c>
      <c r="G16" s="35">
        <f>'Elec 2017 Norm Total Usage'!F29</f>
        <v>10076522.178438982</v>
      </c>
      <c r="H16" s="35">
        <f>'Elec 2017 Norm Total Usage'!G29</f>
        <v>8777983.3408971783</v>
      </c>
      <c r="I16" s="35">
        <f>'Elec 2017 Norm Total Usage'!H29</f>
        <v>6487316.735755275</v>
      </c>
      <c r="J16" s="35">
        <f>'Elec 2017 Norm Total Usage'!I29</f>
        <v>4976338.2230755351</v>
      </c>
      <c r="K16" s="35">
        <f>'Elec 2017 Norm Total Usage'!J29</f>
        <v>5677747.8044299232</v>
      </c>
      <c r="L16" s="35">
        <f>'Elec 2017 Norm Total Usage'!K29</f>
        <v>7995411.0430061752</v>
      </c>
      <c r="M16" s="35">
        <f>'Elec 2017 Norm Total Usage'!L29</f>
        <v>10218285.767696336</v>
      </c>
      <c r="N16" s="35">
        <f>'Elec 2017 Norm Total Usage'!M29</f>
        <v>12251337.880011858</v>
      </c>
      <c r="O16" s="115">
        <f t="shared" si="2"/>
        <v>125504529.54336946</v>
      </c>
      <c r="P16" s="9"/>
    </row>
    <row r="17" spans="1:16" x14ac:dyDescent="0.2">
      <c r="A17" s="10">
        <f t="shared" si="1"/>
        <v>9</v>
      </c>
      <c r="B17" s="9" t="s">
        <v>369</v>
      </c>
      <c r="C17" s="35">
        <f>'Elec 2017 Norm Total Usage'!B39</f>
        <v>44941413.318000004</v>
      </c>
      <c r="D17" s="35">
        <f>'Elec 2017 Norm Total Usage'!C39</f>
        <v>57077216.847000003</v>
      </c>
      <c r="E17" s="35">
        <f>'Elec 2017 Norm Total Usage'!D39</f>
        <v>47641471.173</v>
      </c>
      <c r="F17" s="35">
        <f>'Elec 2017 Norm Total Usage'!E39</f>
        <v>53676137.343000002</v>
      </c>
      <c r="G17" s="35">
        <f>'Elec 2017 Norm Total Usage'!F39</f>
        <v>49111634.311999999</v>
      </c>
      <c r="H17" s="35">
        <f>'Elec 2017 Norm Total Usage'!G39</f>
        <v>52102885.515000001</v>
      </c>
      <c r="I17" s="35">
        <f>'Elec 2017 Norm Total Usage'!H39</f>
        <v>50982145.237999998</v>
      </c>
      <c r="J17" s="35">
        <f>'Elec 2017 Norm Total Usage'!I39</f>
        <v>55577022.233000003</v>
      </c>
      <c r="K17" s="35">
        <f>'Elec 2017 Norm Total Usage'!J39</f>
        <v>55220358.689999998</v>
      </c>
      <c r="L17" s="35">
        <f>'Elec 2017 Norm Total Usage'!K39</f>
        <v>53158183.479000002</v>
      </c>
      <c r="M17" s="35">
        <f>'Elec 2017 Norm Total Usage'!L39</f>
        <v>55187671.693000004</v>
      </c>
      <c r="N17" s="35">
        <f>'Elec 2017 Norm Total Usage'!M39</f>
        <v>49183661.733000003</v>
      </c>
      <c r="O17" s="115">
        <f t="shared" si="2"/>
        <v>623859801.574</v>
      </c>
      <c r="P17" s="9"/>
    </row>
    <row r="18" spans="1:16" x14ac:dyDescent="0.2">
      <c r="A18" s="10">
        <f t="shared" si="1"/>
        <v>10</v>
      </c>
      <c r="C18" s="9"/>
      <c r="D18" s="9"/>
      <c r="E18" s="9"/>
      <c r="F18" s="9"/>
      <c r="G18" s="9"/>
      <c r="H18" s="9"/>
      <c r="I18" s="71"/>
      <c r="J18" s="71"/>
      <c r="K18" s="18"/>
      <c r="L18" s="18"/>
      <c r="M18" s="9"/>
      <c r="N18" s="9"/>
      <c r="O18" s="9"/>
      <c r="P18" s="9"/>
    </row>
    <row r="19" spans="1:16" x14ac:dyDescent="0.2">
      <c r="A19" s="10">
        <f t="shared" si="1"/>
        <v>11</v>
      </c>
      <c r="B19" s="61" t="s">
        <v>204</v>
      </c>
      <c r="C19" s="61"/>
      <c r="D19" s="61"/>
      <c r="E19" s="61"/>
      <c r="F19" s="61"/>
      <c r="G19" s="61"/>
      <c r="H19" s="61"/>
      <c r="I19" s="10"/>
      <c r="J19" s="72"/>
      <c r="K19" s="18"/>
      <c r="L19" s="18"/>
      <c r="M19" s="9"/>
      <c r="N19" s="9"/>
      <c r="O19" s="9"/>
      <c r="P19" s="9"/>
    </row>
    <row r="20" spans="1:16" x14ac:dyDescent="0.2">
      <c r="A20" s="10">
        <f t="shared" si="1"/>
        <v>12</v>
      </c>
      <c r="B20" s="9" t="s">
        <v>88</v>
      </c>
      <c r="C20" s="116">
        <v>2.4187E-2</v>
      </c>
      <c r="D20" s="116">
        <v>2.4187E-2</v>
      </c>
      <c r="E20" s="116">
        <v>2.4187E-2</v>
      </c>
      <c r="F20" s="116">
        <v>2.4187E-2</v>
      </c>
      <c r="G20" s="116">
        <v>2.5144E-2</v>
      </c>
      <c r="H20" s="116">
        <v>2.5144E-2</v>
      </c>
      <c r="I20" s="116">
        <v>2.5144E-2</v>
      </c>
      <c r="J20" s="116">
        <v>2.5144E-2</v>
      </c>
      <c r="K20" s="116">
        <v>2.5144E-2</v>
      </c>
      <c r="L20" s="116">
        <v>2.5144E-2</v>
      </c>
      <c r="M20" s="116">
        <v>2.5144E-2</v>
      </c>
      <c r="N20" s="116">
        <v>2.5144E-2</v>
      </c>
      <c r="O20" s="36"/>
      <c r="P20" s="9"/>
    </row>
    <row r="21" spans="1:16" x14ac:dyDescent="0.2">
      <c r="A21" s="10">
        <f t="shared" si="1"/>
        <v>13</v>
      </c>
      <c r="B21" s="9" t="s">
        <v>368</v>
      </c>
      <c r="C21" s="116">
        <v>2.4187E-2</v>
      </c>
      <c r="D21" s="116">
        <v>2.4187E-2</v>
      </c>
      <c r="E21" s="116">
        <v>2.4187E-2</v>
      </c>
      <c r="F21" s="116">
        <v>2.4187E-2</v>
      </c>
      <c r="G21" s="116">
        <v>2.5144E-2</v>
      </c>
      <c r="H21" s="116">
        <v>2.5144E-2</v>
      </c>
      <c r="I21" s="116">
        <v>2.5144E-2</v>
      </c>
      <c r="J21" s="116">
        <v>2.5144E-2</v>
      </c>
      <c r="K21" s="116">
        <v>2.5144E-2</v>
      </c>
      <c r="L21" s="116">
        <v>2.5144E-2</v>
      </c>
      <c r="M21" s="116">
        <v>2.5144E-2</v>
      </c>
      <c r="N21" s="116">
        <v>2.5144E-2</v>
      </c>
      <c r="O21" s="36"/>
      <c r="P21" s="9"/>
    </row>
    <row r="22" spans="1:16" x14ac:dyDescent="0.2">
      <c r="A22" s="10">
        <f t="shared" si="1"/>
        <v>14</v>
      </c>
      <c r="B22" s="9" t="s">
        <v>200</v>
      </c>
      <c r="C22" s="116">
        <v>2.4187E-2</v>
      </c>
      <c r="D22" s="116">
        <v>2.4187E-2</v>
      </c>
      <c r="E22" s="116">
        <v>2.4187E-2</v>
      </c>
      <c r="F22" s="116">
        <v>2.4187E-2</v>
      </c>
      <c r="G22" s="116">
        <v>2.5144E-2</v>
      </c>
      <c r="H22" s="116">
        <v>2.5144E-2</v>
      </c>
      <c r="I22" s="116">
        <v>2.5144E-2</v>
      </c>
      <c r="J22" s="116">
        <v>2.5144E-2</v>
      </c>
      <c r="K22" s="116">
        <v>2.5144E-2</v>
      </c>
      <c r="L22" s="116">
        <v>2.5144E-2</v>
      </c>
      <c r="M22" s="116">
        <v>2.5144E-2</v>
      </c>
      <c r="N22" s="116">
        <v>2.5144E-2</v>
      </c>
      <c r="O22" s="36"/>
      <c r="P22" s="9"/>
    </row>
    <row r="23" spans="1:16" x14ac:dyDescent="0.2">
      <c r="A23" s="10">
        <f t="shared" si="1"/>
        <v>15</v>
      </c>
      <c r="B23" s="9" t="s">
        <v>201</v>
      </c>
      <c r="C23" s="116">
        <v>2.4187E-2</v>
      </c>
      <c r="D23" s="116">
        <v>2.4187E-2</v>
      </c>
      <c r="E23" s="116">
        <v>2.4187E-2</v>
      </c>
      <c r="F23" s="116">
        <v>2.4187E-2</v>
      </c>
      <c r="G23" s="116">
        <v>2.5144E-2</v>
      </c>
      <c r="H23" s="116">
        <v>2.5144E-2</v>
      </c>
      <c r="I23" s="116">
        <v>2.5144E-2</v>
      </c>
      <c r="J23" s="116">
        <v>2.5144E-2</v>
      </c>
      <c r="K23" s="116">
        <v>2.5144E-2</v>
      </c>
      <c r="L23" s="116">
        <v>2.5144E-2</v>
      </c>
      <c r="M23" s="116">
        <v>2.5144E-2</v>
      </c>
      <c r="N23" s="116">
        <v>2.5144E-2</v>
      </c>
      <c r="O23" s="36"/>
      <c r="P23" s="9"/>
    </row>
    <row r="24" spans="1:16" x14ac:dyDescent="0.2">
      <c r="A24" s="10">
        <f t="shared" si="1"/>
        <v>16</v>
      </c>
      <c r="B24" s="9" t="s">
        <v>202</v>
      </c>
      <c r="C24" s="116">
        <v>2.4187E-2</v>
      </c>
      <c r="D24" s="116">
        <v>2.4187E-2</v>
      </c>
      <c r="E24" s="116">
        <v>2.4187E-2</v>
      </c>
      <c r="F24" s="116">
        <v>2.4187E-2</v>
      </c>
      <c r="G24" s="116">
        <v>2.5144E-2</v>
      </c>
      <c r="H24" s="116">
        <v>2.5144E-2</v>
      </c>
      <c r="I24" s="116">
        <v>2.5144E-2</v>
      </c>
      <c r="J24" s="116">
        <v>2.5144E-2</v>
      </c>
      <c r="K24" s="116">
        <v>2.5144E-2</v>
      </c>
      <c r="L24" s="116">
        <v>2.5144E-2</v>
      </c>
      <c r="M24" s="116">
        <v>2.5144E-2</v>
      </c>
      <c r="N24" s="116">
        <v>2.5144E-2</v>
      </c>
      <c r="O24" s="36"/>
      <c r="P24" s="9"/>
    </row>
    <row r="25" spans="1:16" x14ac:dyDescent="0.2">
      <c r="A25" s="10">
        <f t="shared" si="1"/>
        <v>17</v>
      </c>
      <c r="B25" s="9" t="s">
        <v>203</v>
      </c>
      <c r="C25" s="116">
        <v>2.4187E-2</v>
      </c>
      <c r="D25" s="116">
        <v>2.4187E-2</v>
      </c>
      <c r="E25" s="116">
        <v>2.4187E-2</v>
      </c>
      <c r="F25" s="116">
        <v>2.4187E-2</v>
      </c>
      <c r="G25" s="116">
        <v>2.5144E-2</v>
      </c>
      <c r="H25" s="116">
        <v>2.5144E-2</v>
      </c>
      <c r="I25" s="116">
        <v>2.5144E-2</v>
      </c>
      <c r="J25" s="116">
        <v>2.5144E-2</v>
      </c>
      <c r="K25" s="116">
        <v>2.5144E-2</v>
      </c>
      <c r="L25" s="116">
        <v>2.5144E-2</v>
      </c>
      <c r="M25" s="116">
        <v>2.5144E-2</v>
      </c>
      <c r="N25" s="116">
        <v>2.5144E-2</v>
      </c>
      <c r="O25" s="36"/>
      <c r="P25" s="9"/>
    </row>
    <row r="26" spans="1:16" x14ac:dyDescent="0.2">
      <c r="A26" s="10">
        <f t="shared" si="1"/>
        <v>18</v>
      </c>
      <c r="B26" s="9" t="s">
        <v>369</v>
      </c>
      <c r="C26" s="116">
        <v>2.4187E-2</v>
      </c>
      <c r="D26" s="116">
        <v>2.4187E-2</v>
      </c>
      <c r="E26" s="116">
        <v>2.4187E-2</v>
      </c>
      <c r="F26" s="116">
        <v>2.4187E-2</v>
      </c>
      <c r="G26" s="116">
        <v>2.5144E-2</v>
      </c>
      <c r="H26" s="116">
        <v>2.5144E-2</v>
      </c>
      <c r="I26" s="116">
        <v>2.5144E-2</v>
      </c>
      <c r="J26" s="116">
        <v>2.5144E-2</v>
      </c>
      <c r="K26" s="116">
        <v>2.5144E-2</v>
      </c>
      <c r="L26" s="116">
        <v>2.5144E-2</v>
      </c>
      <c r="M26" s="116">
        <v>2.5144E-2</v>
      </c>
      <c r="N26" s="116">
        <v>2.5144E-2</v>
      </c>
      <c r="O26" s="36"/>
      <c r="P26" s="9"/>
    </row>
    <row r="27" spans="1:16" x14ac:dyDescent="0.2">
      <c r="A27" s="10">
        <f t="shared" si="1"/>
        <v>19</v>
      </c>
      <c r="B27" s="9"/>
      <c r="C27" s="9"/>
      <c r="D27" s="9"/>
      <c r="E27" s="9"/>
      <c r="F27" s="9"/>
      <c r="G27" s="9"/>
      <c r="H27" s="9"/>
      <c r="I27" s="117"/>
      <c r="J27" s="9"/>
      <c r="K27" s="18"/>
      <c r="L27" s="18"/>
      <c r="M27" s="9"/>
      <c r="N27" s="9"/>
      <c r="O27" s="9"/>
      <c r="P27" s="9"/>
    </row>
    <row r="28" spans="1:16" x14ac:dyDescent="0.2">
      <c r="A28" s="10">
        <f t="shared" si="1"/>
        <v>20</v>
      </c>
      <c r="B28" s="61" t="s">
        <v>205</v>
      </c>
      <c r="C28" s="61"/>
      <c r="D28" s="61"/>
      <c r="E28" s="61"/>
      <c r="F28" s="61"/>
      <c r="G28" s="61"/>
      <c r="H28" s="61"/>
      <c r="I28" s="9"/>
      <c r="J28" s="9"/>
      <c r="K28" s="18"/>
      <c r="L28" s="18"/>
      <c r="M28" s="9"/>
      <c r="N28" s="9"/>
      <c r="O28" s="9"/>
      <c r="P28" s="9"/>
    </row>
    <row r="29" spans="1:16" x14ac:dyDescent="0.2">
      <c r="A29" s="10">
        <f t="shared" si="1"/>
        <v>21</v>
      </c>
      <c r="B29" s="9" t="s">
        <v>88</v>
      </c>
      <c r="C29" s="18">
        <f t="shared" ref="C29:N35" si="3">C11*C20</f>
        <v>6822384.4647636646</v>
      </c>
      <c r="D29" s="18">
        <f t="shared" si="3"/>
        <v>6295468.3049984649</v>
      </c>
      <c r="E29" s="18">
        <f t="shared" si="3"/>
        <v>6643965.0705437958</v>
      </c>
      <c r="F29" s="18">
        <f t="shared" si="3"/>
        <v>5570466.4624686139</v>
      </c>
      <c r="G29" s="18">
        <f t="shared" si="3"/>
        <v>5571130.6143067284</v>
      </c>
      <c r="H29" s="18">
        <f t="shared" si="3"/>
        <v>5463925.2605150314</v>
      </c>
      <c r="I29" s="18">
        <f t="shared" si="3"/>
        <v>5391332.8053088561</v>
      </c>
      <c r="J29" s="18">
        <f t="shared" si="3"/>
        <v>5582845.2695501233</v>
      </c>
      <c r="K29" s="18">
        <f t="shared" si="3"/>
        <v>5628316.1532137627</v>
      </c>
      <c r="L29" s="18">
        <f t="shared" si="3"/>
        <v>5442770.9682186656</v>
      </c>
      <c r="M29" s="18">
        <f t="shared" si="3"/>
        <v>5847508.0269505726</v>
      </c>
      <c r="N29" s="18">
        <f t="shared" si="3"/>
        <v>6270790.0524643846</v>
      </c>
      <c r="O29" s="18">
        <f t="shared" ref="O29:O35" si="4">SUM(C29:N29)</f>
        <v>70530903.453302667</v>
      </c>
      <c r="P29" s="9"/>
    </row>
    <row r="30" spans="1:16" x14ac:dyDescent="0.2">
      <c r="A30" s="10">
        <f t="shared" si="1"/>
        <v>22</v>
      </c>
      <c r="B30" s="9" t="s">
        <v>368</v>
      </c>
      <c r="C30" s="18">
        <f t="shared" si="3"/>
        <v>6255542.148370889</v>
      </c>
      <c r="D30" s="18">
        <f t="shared" si="3"/>
        <v>5922492.4172300668</v>
      </c>
      <c r="E30" s="18">
        <f t="shared" si="3"/>
        <v>6475481.5593612604</v>
      </c>
      <c r="F30" s="18">
        <f t="shared" si="3"/>
        <v>5486345.942400719</v>
      </c>
      <c r="G30" s="18">
        <f t="shared" si="3"/>
        <v>5814832.0953927357</v>
      </c>
      <c r="H30" s="18">
        <f t="shared" si="3"/>
        <v>5930111.8089634096</v>
      </c>
      <c r="I30" s="18">
        <f t="shared" si="3"/>
        <v>5843170.1394769596</v>
      </c>
      <c r="J30" s="18">
        <f t="shared" si="3"/>
        <v>5956322.0148310643</v>
      </c>
      <c r="K30" s="18">
        <f t="shared" si="3"/>
        <v>6041794.247241213</v>
      </c>
      <c r="L30" s="18">
        <f t="shared" si="3"/>
        <v>5913566.4439914934</v>
      </c>
      <c r="M30" s="18">
        <f t="shared" si="3"/>
        <v>6016407.9488108186</v>
      </c>
      <c r="N30" s="18">
        <f t="shared" si="3"/>
        <v>6327722.5806559483</v>
      </c>
      <c r="O30" s="18">
        <f t="shared" si="4"/>
        <v>71983789.346726581</v>
      </c>
      <c r="P30" s="9"/>
    </row>
    <row r="31" spans="1:16" x14ac:dyDescent="0.2">
      <c r="A31" s="10">
        <f t="shared" si="1"/>
        <v>23</v>
      </c>
      <c r="B31" s="9" t="s">
        <v>200</v>
      </c>
      <c r="C31" s="18">
        <f t="shared" si="3"/>
        <v>6323.706968298</v>
      </c>
      <c r="D31" s="18">
        <f t="shared" si="3"/>
        <v>5573.0406391440001</v>
      </c>
      <c r="E31" s="18">
        <f t="shared" si="3"/>
        <v>6050.1368330490004</v>
      </c>
      <c r="F31" s="18">
        <f t="shared" si="3"/>
        <v>5882.8671841409996</v>
      </c>
      <c r="G31" s="18">
        <f t="shared" si="3"/>
        <v>10154.699137968</v>
      </c>
      <c r="H31" s="18">
        <f t="shared" si="3"/>
        <v>26292.619757057168</v>
      </c>
      <c r="I31" s="18">
        <f t="shared" si="3"/>
        <v>58539.174357576354</v>
      </c>
      <c r="J31" s="18">
        <f t="shared" si="3"/>
        <v>100385.08591430473</v>
      </c>
      <c r="K31" s="18">
        <f t="shared" si="3"/>
        <v>88644.029497316602</v>
      </c>
      <c r="L31" s="18">
        <f t="shared" si="3"/>
        <v>38810.010662640001</v>
      </c>
      <c r="M31" s="18">
        <f t="shared" si="3"/>
        <v>8709.2550869520001</v>
      </c>
      <c r="N31" s="18">
        <f t="shared" si="3"/>
        <v>5168.8361638480001</v>
      </c>
      <c r="O31" s="18">
        <f t="shared" si="4"/>
        <v>360533.46220229479</v>
      </c>
      <c r="P31" s="9"/>
    </row>
    <row r="32" spans="1:16" x14ac:dyDescent="0.2">
      <c r="A32" s="10">
        <f t="shared" si="1"/>
        <v>24</v>
      </c>
      <c r="B32" s="9" t="s">
        <v>201</v>
      </c>
      <c r="C32" s="18">
        <f t="shared" si="3"/>
        <v>58.0488</v>
      </c>
      <c r="D32" s="18">
        <f t="shared" si="3"/>
        <v>87.0732</v>
      </c>
      <c r="E32" s="18">
        <f t="shared" si="3"/>
        <v>72.561000000000007</v>
      </c>
      <c r="F32" s="18">
        <f t="shared" si="3"/>
        <v>58.0488</v>
      </c>
      <c r="G32" s="18">
        <f t="shared" si="3"/>
        <v>75.432000000000002</v>
      </c>
      <c r="H32" s="18">
        <f t="shared" si="3"/>
        <v>11133.763199999999</v>
      </c>
      <c r="I32" s="18">
        <f t="shared" si="3"/>
        <v>13230.772800000001</v>
      </c>
      <c r="J32" s="18">
        <f t="shared" si="3"/>
        <v>25631.793600000001</v>
      </c>
      <c r="K32" s="18">
        <f t="shared" si="3"/>
        <v>19898.961599999999</v>
      </c>
      <c r="L32" s="18">
        <f t="shared" si="3"/>
        <v>16911.8544</v>
      </c>
      <c r="M32" s="18">
        <f t="shared" si="3"/>
        <v>8191.9151999999995</v>
      </c>
      <c r="N32" s="18">
        <f t="shared" si="3"/>
        <v>75.432000000000002</v>
      </c>
      <c r="O32" s="18">
        <f t="shared" si="4"/>
        <v>95425.656600000002</v>
      </c>
      <c r="P32" s="9"/>
    </row>
    <row r="33" spans="1:16" x14ac:dyDescent="0.2">
      <c r="A33" s="10">
        <f t="shared" si="1"/>
        <v>25</v>
      </c>
      <c r="B33" s="9" t="s">
        <v>202</v>
      </c>
      <c r="C33" s="18">
        <f t="shared" si="3"/>
        <v>1367432.0409748727</v>
      </c>
      <c r="D33" s="18">
        <f t="shared" si="3"/>
        <v>1203740.4968695787</v>
      </c>
      <c r="E33" s="18">
        <f t="shared" si="3"/>
        <v>1254916.8171746801</v>
      </c>
      <c r="F33" s="18">
        <f t="shared" si="3"/>
        <v>1125958.5246762591</v>
      </c>
      <c r="G33" s="18">
        <f t="shared" si="3"/>
        <v>1165222.6644122573</v>
      </c>
      <c r="H33" s="18">
        <f t="shared" si="3"/>
        <v>1261194.02168316</v>
      </c>
      <c r="I33" s="18">
        <f t="shared" si="3"/>
        <v>1253933.3782501626</v>
      </c>
      <c r="J33" s="18">
        <f t="shared" si="3"/>
        <v>1233256.3345649568</v>
      </c>
      <c r="K33" s="18">
        <f t="shared" si="3"/>
        <v>1254286.2903702399</v>
      </c>
      <c r="L33" s="18">
        <f t="shared" si="3"/>
        <v>1223599.0021543263</v>
      </c>
      <c r="M33" s="18">
        <f t="shared" si="3"/>
        <v>1063762.8386462189</v>
      </c>
      <c r="N33" s="18">
        <f t="shared" si="3"/>
        <v>1207119.4264156644</v>
      </c>
      <c r="O33" s="18">
        <f t="shared" si="4"/>
        <v>14614421.836192377</v>
      </c>
      <c r="P33" s="9"/>
    </row>
    <row r="34" spans="1:16" x14ac:dyDescent="0.2">
      <c r="A34" s="10">
        <f t="shared" si="1"/>
        <v>26</v>
      </c>
      <c r="B34" s="9" t="s">
        <v>203</v>
      </c>
      <c r="C34" s="18">
        <f t="shared" si="3"/>
        <v>318421.21916158561</v>
      </c>
      <c r="D34" s="18">
        <f t="shared" si="3"/>
        <v>385708.5894495612</v>
      </c>
      <c r="E34" s="18">
        <f t="shared" si="3"/>
        <v>425012.88344426802</v>
      </c>
      <c r="F34" s="18">
        <f t="shared" si="3"/>
        <v>298944.53631458298</v>
      </c>
      <c r="G34" s="18">
        <f t="shared" si="3"/>
        <v>253364.07365466977</v>
      </c>
      <c r="H34" s="18">
        <f t="shared" si="3"/>
        <v>220713.61312351865</v>
      </c>
      <c r="I34" s="18">
        <f t="shared" si="3"/>
        <v>163117.09200383062</v>
      </c>
      <c r="J34" s="18">
        <f t="shared" si="3"/>
        <v>125125.04828101126</v>
      </c>
      <c r="K34" s="18">
        <f t="shared" si="3"/>
        <v>142761.29079458598</v>
      </c>
      <c r="L34" s="18">
        <f t="shared" si="3"/>
        <v>201036.61526534727</v>
      </c>
      <c r="M34" s="18">
        <f t="shared" si="3"/>
        <v>256928.57734295668</v>
      </c>
      <c r="N34" s="18">
        <f t="shared" si="3"/>
        <v>308047.63965501817</v>
      </c>
      <c r="O34" s="18">
        <f t="shared" si="4"/>
        <v>3099181.1784909363</v>
      </c>
    </row>
    <row r="35" spans="1:16" x14ac:dyDescent="0.2">
      <c r="A35" s="10">
        <f t="shared" si="1"/>
        <v>27</v>
      </c>
      <c r="B35" s="9" t="s">
        <v>369</v>
      </c>
      <c r="C35" s="18">
        <f t="shared" si="3"/>
        <v>1086997.9639224662</v>
      </c>
      <c r="D35" s="18">
        <f t="shared" si="3"/>
        <v>1380526.6438783891</v>
      </c>
      <c r="E35" s="18">
        <f t="shared" si="3"/>
        <v>1152304.263261351</v>
      </c>
      <c r="F35" s="18">
        <f t="shared" si="3"/>
        <v>1298264.7339151411</v>
      </c>
      <c r="G35" s="18">
        <f t="shared" si="3"/>
        <v>1234862.9331409279</v>
      </c>
      <c r="H35" s="18">
        <f t="shared" si="3"/>
        <v>1310074.9533891601</v>
      </c>
      <c r="I35" s="18">
        <f t="shared" si="3"/>
        <v>1281895.0598642719</v>
      </c>
      <c r="J35" s="18">
        <f t="shared" si="3"/>
        <v>1397428.6470265521</v>
      </c>
      <c r="K35" s="18">
        <f t="shared" si="3"/>
        <v>1388460.6989013599</v>
      </c>
      <c r="L35" s="18">
        <f t="shared" si="3"/>
        <v>1336609.365395976</v>
      </c>
      <c r="M35" s="18">
        <f t="shared" si="3"/>
        <v>1387638.817048792</v>
      </c>
      <c r="N35" s="18">
        <f t="shared" si="3"/>
        <v>1236673.9906145521</v>
      </c>
      <c r="O35" s="18">
        <f t="shared" si="4"/>
        <v>15491738.070358938</v>
      </c>
    </row>
  </sheetData>
  <mergeCells count="5">
    <mergeCell ref="A1:O1"/>
    <mergeCell ref="A2:O2"/>
    <mergeCell ref="A3:O3"/>
    <mergeCell ref="A4:O4"/>
    <mergeCell ref="A5:O5"/>
  </mergeCells>
  <printOptions horizontalCentered="1"/>
  <pageMargins left="0.45" right="0.45" top="0.75" bottom="0.75" header="0.3" footer="0.3"/>
  <pageSetup scale="59" orientation="landscape" blackAndWhite="1" horizontalDpi="1200" verticalDpi="1200" r:id="rId1"/>
  <headerFooter>
    <oddHeader>&amp;RAdvice No. 2018-xx
Workpaper No. 20</oddHeader>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31"/>
  <sheetViews>
    <sheetView zoomScaleNormal="100" workbookViewId="0">
      <selection activeCell="J38" sqref="J38"/>
    </sheetView>
  </sheetViews>
  <sheetFormatPr defaultRowHeight="15" customHeight="1" x14ac:dyDescent="0.2"/>
  <cols>
    <col min="1" max="1" width="5.5703125" style="64" bestFit="1" customWidth="1"/>
    <col min="2" max="2" width="3.28515625" style="64" customWidth="1"/>
    <col min="3" max="3" width="33.85546875" style="85" customWidth="1"/>
    <col min="4" max="4" width="9.85546875" style="85" bestFit="1" customWidth="1"/>
    <col min="5" max="5" width="17.28515625" style="85" customWidth="1"/>
    <col min="6" max="6" width="6.140625" style="64" customWidth="1"/>
    <col min="7" max="8" width="15.42578125" style="64" customWidth="1"/>
    <col min="9" max="10" width="9.140625" style="64" customWidth="1"/>
    <col min="11" max="16384" width="9.140625" style="64"/>
  </cols>
  <sheetData>
    <row r="1" spans="1:18" ht="15" customHeight="1" x14ac:dyDescent="0.2">
      <c r="A1" s="504" t="s">
        <v>0</v>
      </c>
      <c r="B1" s="504"/>
      <c r="C1" s="504"/>
      <c r="D1" s="504"/>
      <c r="E1" s="504"/>
      <c r="F1" s="504"/>
      <c r="G1" s="504"/>
      <c r="H1" s="504"/>
      <c r="I1" s="73"/>
      <c r="J1" s="74"/>
      <c r="K1" s="74"/>
      <c r="L1" s="74"/>
      <c r="M1" s="74"/>
      <c r="N1" s="74"/>
      <c r="O1" s="74"/>
    </row>
    <row r="2" spans="1:18" ht="15" customHeight="1" x14ac:dyDescent="0.2">
      <c r="A2" s="506" t="str">
        <f>'Delivery Rate Change Calc'!A2:H2</f>
        <v>2018 Electric Decoupling Filing</v>
      </c>
      <c r="B2" s="506"/>
      <c r="C2" s="506"/>
      <c r="D2" s="506"/>
      <c r="E2" s="506"/>
      <c r="F2" s="506"/>
      <c r="G2" s="506"/>
      <c r="H2" s="506"/>
      <c r="I2" s="73"/>
      <c r="J2" s="74"/>
      <c r="K2" s="74"/>
      <c r="L2" s="74"/>
      <c r="M2" s="74"/>
      <c r="N2" s="74"/>
      <c r="O2" s="74"/>
    </row>
    <row r="3" spans="1:18" ht="15" customHeight="1" x14ac:dyDescent="0.2">
      <c r="A3" s="504" t="s">
        <v>466</v>
      </c>
      <c r="B3" s="504"/>
      <c r="C3" s="504"/>
      <c r="D3" s="504"/>
      <c r="E3" s="504"/>
      <c r="F3" s="504"/>
      <c r="G3" s="504"/>
      <c r="H3" s="504"/>
      <c r="I3" s="73"/>
      <c r="J3" s="74"/>
      <c r="K3" s="74"/>
      <c r="L3" s="74"/>
      <c r="M3" s="74"/>
      <c r="N3" s="74"/>
      <c r="O3" s="74"/>
    </row>
    <row r="4" spans="1:18" ht="15" customHeight="1" x14ac:dyDescent="0.2">
      <c r="A4" s="506" t="str">
        <f>'Delivery Rate Change Calc'!A4:H4</f>
        <v>Proposed Effective May 1, 2018</v>
      </c>
      <c r="B4" s="506"/>
      <c r="C4" s="506"/>
      <c r="D4" s="506"/>
      <c r="E4" s="506"/>
      <c r="F4" s="506"/>
      <c r="G4" s="506"/>
      <c r="H4" s="506"/>
      <c r="I4" s="75"/>
      <c r="J4" s="76"/>
      <c r="K4" s="76"/>
      <c r="L4" s="76"/>
      <c r="M4" s="76"/>
      <c r="N4" s="76"/>
      <c r="O4" s="76"/>
      <c r="P4" s="77"/>
      <c r="Q4" s="77"/>
      <c r="R4" s="77"/>
    </row>
    <row r="5" spans="1:18" ht="15" customHeight="1" x14ac:dyDescent="0.2">
      <c r="B5" s="78"/>
      <c r="C5" s="78"/>
      <c r="D5" s="78"/>
      <c r="E5" s="78"/>
      <c r="F5" s="79"/>
      <c r="G5" s="76"/>
      <c r="H5" s="76"/>
      <c r="I5" s="75"/>
      <c r="J5" s="76"/>
      <c r="K5" s="76"/>
      <c r="L5" s="76"/>
      <c r="M5" s="76"/>
      <c r="N5" s="76"/>
      <c r="O5" s="76"/>
      <c r="P5" s="77"/>
      <c r="Q5" s="77"/>
      <c r="R5" s="77"/>
    </row>
    <row r="6" spans="1:18" ht="15" customHeight="1" x14ac:dyDescent="0.2">
      <c r="B6" s="78"/>
      <c r="C6" s="78"/>
      <c r="D6" s="78"/>
      <c r="E6" s="80" t="s">
        <v>100</v>
      </c>
      <c r="F6" s="79"/>
      <c r="G6" s="505" t="s">
        <v>101</v>
      </c>
      <c r="H6" s="505"/>
      <c r="I6" s="75"/>
      <c r="J6" s="76"/>
      <c r="K6" s="76"/>
      <c r="L6" s="76"/>
      <c r="M6" s="76"/>
      <c r="N6" s="76"/>
      <c r="O6" s="76"/>
      <c r="P6" s="77"/>
      <c r="Q6" s="77"/>
      <c r="R6" s="77"/>
    </row>
    <row r="7" spans="1:18" ht="15" customHeight="1" x14ac:dyDescent="0.2">
      <c r="A7" s="6" t="s">
        <v>2</v>
      </c>
      <c r="C7" s="80"/>
      <c r="D7" s="80"/>
      <c r="E7" s="80" t="s">
        <v>102</v>
      </c>
      <c r="F7" s="80"/>
      <c r="G7" s="81" t="s">
        <v>103</v>
      </c>
      <c r="H7" s="64" t="s">
        <v>104</v>
      </c>
      <c r="I7" s="74"/>
      <c r="J7" s="74"/>
      <c r="K7" s="74"/>
      <c r="L7" s="74"/>
      <c r="M7" s="74"/>
      <c r="N7" s="74"/>
      <c r="O7" s="74"/>
    </row>
    <row r="8" spans="1:18" ht="15" customHeight="1" x14ac:dyDescent="0.2">
      <c r="A8" s="57" t="s">
        <v>5</v>
      </c>
      <c r="B8" s="82"/>
      <c r="C8" s="83"/>
      <c r="D8" s="83" t="s">
        <v>105</v>
      </c>
      <c r="E8" s="83" t="s">
        <v>106</v>
      </c>
      <c r="F8" s="80"/>
      <c r="G8" s="83" t="s">
        <v>107</v>
      </c>
      <c r="H8" s="83" t="s">
        <v>107</v>
      </c>
      <c r="I8" s="74"/>
      <c r="J8" s="83" t="s">
        <v>85</v>
      </c>
      <c r="K8" s="74"/>
      <c r="L8" s="74"/>
      <c r="M8" s="74"/>
      <c r="N8" s="74"/>
      <c r="O8" s="74"/>
    </row>
    <row r="9" spans="1:18" ht="15" customHeight="1" x14ac:dyDescent="0.2">
      <c r="A9" s="84"/>
      <c r="B9" s="85"/>
      <c r="C9" s="80" t="s">
        <v>9</v>
      </c>
      <c r="D9" s="80" t="s">
        <v>10</v>
      </c>
      <c r="E9" s="10" t="s">
        <v>11</v>
      </c>
      <c r="F9" s="10"/>
      <c r="G9" s="10" t="s">
        <v>12</v>
      </c>
      <c r="H9" s="10" t="s">
        <v>13</v>
      </c>
      <c r="I9" s="74"/>
      <c r="J9" s="74"/>
      <c r="K9" s="74"/>
      <c r="L9" s="74"/>
      <c r="M9" s="74"/>
      <c r="N9" s="74"/>
      <c r="O9" s="74"/>
    </row>
    <row r="10" spans="1:18" ht="15" customHeight="1" x14ac:dyDescent="0.2">
      <c r="A10" s="10">
        <v>1</v>
      </c>
      <c r="B10" s="86" t="s">
        <v>108</v>
      </c>
      <c r="C10" s="46"/>
      <c r="D10" s="80"/>
      <c r="E10" s="10"/>
      <c r="F10" s="80"/>
      <c r="G10" s="74"/>
      <c r="H10" s="74"/>
      <c r="I10" s="74"/>
      <c r="J10" s="74"/>
      <c r="K10" s="74"/>
      <c r="L10" s="74"/>
      <c r="M10" s="74"/>
      <c r="N10" s="74"/>
      <c r="O10" s="74"/>
    </row>
    <row r="11" spans="1:18" ht="15" customHeight="1" x14ac:dyDescent="0.2">
      <c r="A11" s="10">
        <f>A10+1</f>
        <v>2</v>
      </c>
      <c r="B11" s="46"/>
      <c r="C11" s="87" t="s">
        <v>109</v>
      </c>
      <c r="D11" s="85" t="s">
        <v>110</v>
      </c>
      <c r="E11" s="88">
        <f>SUM(G11:H11)</f>
        <v>-1.237E-3</v>
      </c>
      <c r="F11" s="89"/>
      <c r="G11" s="90">
        <f>'Delivery Rate Change Calc'!D26</f>
        <v>-1.1150000000000001E-3</v>
      </c>
      <c r="H11" s="90">
        <f>'FPC Rate Change Calc'!D26</f>
        <v>-1.22E-4</v>
      </c>
      <c r="I11" s="74"/>
      <c r="J11" s="91">
        <f>E11-'Rate Test'!D43</f>
        <v>0</v>
      </c>
      <c r="K11" s="74"/>
      <c r="L11" s="74"/>
      <c r="M11" s="74"/>
      <c r="N11" s="74"/>
      <c r="O11" s="74"/>
    </row>
    <row r="12" spans="1:18" ht="15" customHeight="1" x14ac:dyDescent="0.2">
      <c r="A12" s="10">
        <f t="shared" ref="A12:A31" si="0">A11+1</f>
        <v>3</v>
      </c>
      <c r="B12" s="46"/>
      <c r="C12" s="64"/>
      <c r="E12" s="90"/>
      <c r="F12" s="89"/>
      <c r="G12" s="90"/>
      <c r="H12" s="90"/>
      <c r="I12" s="74"/>
      <c r="J12" s="74"/>
      <c r="K12" s="74"/>
      <c r="L12" s="74"/>
      <c r="M12" s="74"/>
      <c r="N12" s="74"/>
      <c r="O12" s="74"/>
    </row>
    <row r="13" spans="1:18" ht="15" customHeight="1" x14ac:dyDescent="0.2">
      <c r="A13" s="10">
        <f t="shared" si="0"/>
        <v>4</v>
      </c>
      <c r="B13" s="86" t="s">
        <v>111</v>
      </c>
      <c r="C13" s="46"/>
      <c r="D13" s="80"/>
      <c r="E13" s="90"/>
      <c r="F13" s="89"/>
      <c r="G13" s="90"/>
      <c r="H13" s="90"/>
      <c r="I13" s="74"/>
      <c r="J13" s="74"/>
      <c r="K13" s="74"/>
      <c r="L13" s="74"/>
      <c r="M13" s="74"/>
      <c r="N13" s="74"/>
      <c r="O13" s="74"/>
    </row>
    <row r="14" spans="1:18" ht="15" customHeight="1" x14ac:dyDescent="0.2">
      <c r="A14" s="10">
        <f t="shared" si="0"/>
        <v>5</v>
      </c>
      <c r="B14" s="46"/>
      <c r="C14" s="87" t="s">
        <v>109</v>
      </c>
      <c r="D14" s="85" t="s">
        <v>110</v>
      </c>
      <c r="E14" s="88">
        <f>SUM(G14:H14)</f>
        <v>1.2509999999999999E-3</v>
      </c>
      <c r="F14" s="89"/>
      <c r="G14" s="90">
        <f>'Delivery Rate Change Calc'!E26</f>
        <v>1.3129999999999999E-3</v>
      </c>
      <c r="H14" s="90">
        <f>'FPC Rate Change Calc'!E26</f>
        <v>-6.2000000000000003E-5</v>
      </c>
      <c r="I14" s="74"/>
      <c r="J14" s="91">
        <f>E14-'Rate Test'!E43</f>
        <v>0</v>
      </c>
      <c r="K14" s="74"/>
      <c r="L14" s="74"/>
      <c r="M14" s="74"/>
      <c r="N14" s="74"/>
      <c r="O14" s="74"/>
    </row>
    <row r="15" spans="1:18" ht="15" customHeight="1" x14ac:dyDescent="0.2">
      <c r="A15" s="10">
        <f t="shared" si="0"/>
        <v>6</v>
      </c>
      <c r="B15" s="46"/>
      <c r="C15" s="64"/>
      <c r="E15" s="90"/>
      <c r="F15" s="89"/>
      <c r="G15" s="90"/>
      <c r="H15" s="90"/>
      <c r="I15" s="74"/>
      <c r="J15" s="74"/>
      <c r="K15" s="74"/>
      <c r="L15" s="74"/>
      <c r="M15" s="74"/>
      <c r="N15" s="74"/>
      <c r="O15" s="74"/>
    </row>
    <row r="16" spans="1:18" ht="15" customHeight="1" x14ac:dyDescent="0.2">
      <c r="A16" s="10">
        <f t="shared" si="0"/>
        <v>7</v>
      </c>
      <c r="B16" s="86" t="s">
        <v>112</v>
      </c>
      <c r="C16" s="46"/>
      <c r="D16" s="80"/>
      <c r="E16" s="90"/>
      <c r="F16" s="89"/>
      <c r="G16" s="90"/>
      <c r="H16" s="90"/>
      <c r="I16" s="74"/>
      <c r="J16" s="74"/>
      <c r="K16" s="74"/>
      <c r="L16" s="74"/>
      <c r="M16" s="74"/>
      <c r="N16" s="74"/>
      <c r="O16" s="74"/>
    </row>
    <row r="17" spans="1:15" ht="15" customHeight="1" x14ac:dyDescent="0.2">
      <c r="A17" s="10">
        <f t="shared" si="0"/>
        <v>8</v>
      </c>
      <c r="B17" s="46"/>
      <c r="C17" s="87" t="s">
        <v>109</v>
      </c>
      <c r="D17" s="85" t="s">
        <v>110</v>
      </c>
      <c r="E17" s="88">
        <f>SUM(G17:H17)</f>
        <v>1.408E-3</v>
      </c>
      <c r="F17" s="89"/>
      <c r="G17" s="90">
        <f>'Delivery Rate Change Calc'!F26</f>
        <v>1.408E-3</v>
      </c>
      <c r="H17" s="90">
        <f>'FPC Rate Change Calc'!F26</f>
        <v>0</v>
      </c>
      <c r="I17" s="74"/>
      <c r="J17" s="91">
        <f>E17-'Rate Test'!F43</f>
        <v>0</v>
      </c>
      <c r="K17" s="74"/>
      <c r="L17" s="74"/>
      <c r="M17" s="74"/>
      <c r="N17" s="74"/>
      <c r="O17" s="74"/>
    </row>
    <row r="18" spans="1:15" ht="15" customHeight="1" x14ac:dyDescent="0.2">
      <c r="A18" s="10">
        <f t="shared" si="0"/>
        <v>9</v>
      </c>
      <c r="B18" s="46"/>
      <c r="C18" s="64"/>
      <c r="E18" s="90"/>
      <c r="F18" s="89"/>
      <c r="G18" s="90"/>
      <c r="H18" s="90"/>
      <c r="I18" s="74"/>
      <c r="J18" s="74"/>
      <c r="K18" s="74"/>
      <c r="L18" s="74"/>
      <c r="M18" s="74"/>
      <c r="N18" s="74"/>
      <c r="O18" s="74"/>
    </row>
    <row r="19" spans="1:15" ht="15" customHeight="1" x14ac:dyDescent="0.2">
      <c r="A19" s="10">
        <f t="shared" si="0"/>
        <v>10</v>
      </c>
      <c r="B19" s="86" t="s">
        <v>389</v>
      </c>
      <c r="C19" s="46"/>
      <c r="D19" s="64"/>
      <c r="E19" s="92"/>
      <c r="G19" s="25"/>
      <c r="H19" s="92"/>
      <c r="I19" s="74"/>
      <c r="J19" s="74"/>
      <c r="K19" s="74"/>
      <c r="L19" s="74"/>
      <c r="M19" s="74"/>
      <c r="N19" s="74"/>
      <c r="O19" s="74"/>
    </row>
    <row r="20" spans="1:15" ht="15" customHeight="1" x14ac:dyDescent="0.2">
      <c r="A20" s="10">
        <f t="shared" si="0"/>
        <v>11</v>
      </c>
      <c r="B20" s="46"/>
      <c r="C20" s="87" t="s">
        <v>109</v>
      </c>
      <c r="D20" s="85" t="s">
        <v>110</v>
      </c>
      <c r="E20" s="88">
        <f>SUM(G20:H20)</f>
        <v>1.7980000000000001E-3</v>
      </c>
      <c r="G20" s="90">
        <f>'Delivery Rate Change Calc'!G26</f>
        <v>1.5690000000000001E-3</v>
      </c>
      <c r="H20" s="90">
        <f>'FPC Rate Change Calc'!G26</f>
        <v>2.2900000000000001E-4</v>
      </c>
      <c r="I20" s="74"/>
      <c r="J20" s="91">
        <f>E20-'Rate Test'!G43</f>
        <v>0</v>
      </c>
      <c r="K20" s="74"/>
      <c r="L20" s="74"/>
      <c r="M20" s="74"/>
      <c r="N20" s="74"/>
      <c r="O20" s="74"/>
    </row>
    <row r="21" spans="1:15" ht="15" customHeight="1" x14ac:dyDescent="0.2">
      <c r="A21" s="10">
        <f t="shared" si="0"/>
        <v>12</v>
      </c>
      <c r="G21" s="25"/>
      <c r="I21" s="74"/>
      <c r="J21" s="74"/>
      <c r="K21" s="74"/>
      <c r="L21" s="74"/>
      <c r="M21" s="74"/>
      <c r="N21" s="74"/>
      <c r="O21" s="74"/>
    </row>
    <row r="22" spans="1:15" ht="15" customHeight="1" x14ac:dyDescent="0.2">
      <c r="A22" s="10">
        <f t="shared" si="0"/>
        <v>13</v>
      </c>
      <c r="B22" s="93" t="s">
        <v>113</v>
      </c>
      <c r="C22" s="64"/>
      <c r="D22" s="94"/>
      <c r="E22" s="90"/>
      <c r="F22" s="89"/>
      <c r="G22" s="90"/>
      <c r="H22" s="90"/>
    </row>
    <row r="23" spans="1:15" ht="15" customHeight="1" x14ac:dyDescent="0.2">
      <c r="A23" s="10">
        <f t="shared" si="0"/>
        <v>14</v>
      </c>
      <c r="C23" s="85" t="s">
        <v>114</v>
      </c>
      <c r="D23" s="85" t="s">
        <v>115</v>
      </c>
      <c r="E23" s="95">
        <f>SUM(G23:H23)</f>
        <v>-0.06</v>
      </c>
      <c r="F23" s="89"/>
      <c r="G23" s="96">
        <f>'Delivery Rate Change Calc 26&amp;31'!D26</f>
        <v>-0.06</v>
      </c>
      <c r="H23" s="96"/>
      <c r="J23" s="91">
        <f>E23-'Rate Test 26&amp;31'!D45</f>
        <v>0</v>
      </c>
    </row>
    <row r="24" spans="1:15" ht="15" customHeight="1" x14ac:dyDescent="0.2">
      <c r="A24" s="10">
        <f t="shared" si="0"/>
        <v>15</v>
      </c>
      <c r="C24" s="85" t="s">
        <v>109</v>
      </c>
      <c r="D24" s="85" t="s">
        <v>116</v>
      </c>
      <c r="E24" s="88">
        <f>SUM(G24:H24)</f>
        <v>8.5000000000000006E-5</v>
      </c>
      <c r="F24" s="89"/>
      <c r="G24" s="96"/>
      <c r="H24" s="90">
        <f>'FPC Rate Change Calc'!H26</f>
        <v>8.5000000000000006E-5</v>
      </c>
      <c r="J24" s="91">
        <f>E24-'Rate Test 26&amp;31'!D47</f>
        <v>0</v>
      </c>
    </row>
    <row r="25" spans="1:15" ht="15" customHeight="1" x14ac:dyDescent="0.2">
      <c r="A25" s="10">
        <f t="shared" si="0"/>
        <v>16</v>
      </c>
      <c r="E25" s="96"/>
      <c r="F25" s="80"/>
      <c r="G25" s="97"/>
      <c r="H25" s="98"/>
    </row>
    <row r="26" spans="1:15" ht="15" customHeight="1" x14ac:dyDescent="0.2">
      <c r="A26" s="10">
        <f t="shared" si="0"/>
        <v>17</v>
      </c>
      <c r="B26" s="93" t="s">
        <v>117</v>
      </c>
      <c r="C26" s="64"/>
      <c r="D26" s="94"/>
      <c r="E26" s="96"/>
      <c r="G26" s="25"/>
      <c r="H26" s="98"/>
    </row>
    <row r="27" spans="1:15" ht="15" customHeight="1" x14ac:dyDescent="0.2">
      <c r="A27" s="10">
        <f t="shared" si="0"/>
        <v>18</v>
      </c>
      <c r="B27" s="85"/>
      <c r="C27" s="85" t="s">
        <v>114</v>
      </c>
      <c r="D27" s="85" t="s">
        <v>118</v>
      </c>
      <c r="E27" s="95">
        <f>SUM(G27:H27)</f>
        <v>-0.08</v>
      </c>
      <c r="G27" s="96">
        <f>'Delivery Rate Change Calc 26&amp;31'!E26</f>
        <v>-0.08</v>
      </c>
      <c r="H27" s="96"/>
      <c r="J27" s="91">
        <f>E27-'Rate Test 26&amp;31'!E45</f>
        <v>0</v>
      </c>
    </row>
    <row r="28" spans="1:15" ht="15" customHeight="1" x14ac:dyDescent="0.2">
      <c r="A28" s="10">
        <f t="shared" si="0"/>
        <v>19</v>
      </c>
      <c r="B28" s="85"/>
      <c r="C28" s="94" t="s">
        <v>109</v>
      </c>
      <c r="D28" s="85" t="s">
        <v>116</v>
      </c>
      <c r="E28" s="88">
        <f>SUM(G28:H28)</f>
        <v>-5.5999999999999999E-5</v>
      </c>
      <c r="H28" s="90">
        <f>'FPC Rate Change Calc'!I26</f>
        <v>-5.5999999999999999E-5</v>
      </c>
      <c r="J28" s="91">
        <f>E28-'Rate Test 26&amp;31'!E47</f>
        <v>0</v>
      </c>
    </row>
    <row r="29" spans="1:15" ht="15" customHeight="1" x14ac:dyDescent="0.2">
      <c r="A29" s="10">
        <f t="shared" si="0"/>
        <v>20</v>
      </c>
    </row>
    <row r="30" spans="1:15" ht="15" customHeight="1" x14ac:dyDescent="0.2">
      <c r="A30" s="10">
        <f t="shared" si="0"/>
        <v>21</v>
      </c>
      <c r="B30" s="86" t="s">
        <v>288</v>
      </c>
      <c r="C30" s="46"/>
      <c r="D30" s="64"/>
      <c r="E30" s="92"/>
      <c r="G30" s="25"/>
      <c r="H30" s="92"/>
      <c r="I30" s="74"/>
      <c r="J30" s="74"/>
    </row>
    <row r="31" spans="1:15" ht="15" customHeight="1" x14ac:dyDescent="0.2">
      <c r="A31" s="10">
        <f t="shared" si="0"/>
        <v>22</v>
      </c>
      <c r="B31" s="46"/>
      <c r="C31" s="87" t="s">
        <v>109</v>
      </c>
      <c r="D31" s="85" t="s">
        <v>110</v>
      </c>
      <c r="E31" s="88">
        <f>SUM(G31:H31)</f>
        <v>1.323E-3</v>
      </c>
      <c r="G31" s="90">
        <f>'Delivery Rate Change Calc'!H26</f>
        <v>1.312E-3</v>
      </c>
      <c r="H31" s="90">
        <f>'FPC Rate Change Calc'!J26</f>
        <v>1.1E-5</v>
      </c>
      <c r="I31" s="74"/>
      <c r="J31" s="91">
        <f>E31-'Rate Test'!H43</f>
        <v>0</v>
      </c>
    </row>
  </sheetData>
  <mergeCells count="5">
    <mergeCell ref="G6:H6"/>
    <mergeCell ref="A1:H1"/>
    <mergeCell ref="A2:H2"/>
    <mergeCell ref="A3:H3"/>
    <mergeCell ref="A4:H4"/>
  </mergeCells>
  <printOptions horizontalCentered="1"/>
  <pageMargins left="0.7" right="0.7" top="0.75" bottom="0.75" header="0.3" footer="0.3"/>
  <pageSetup orientation="landscape" blackAndWhite="1" cellComments="asDisplayed" horizontalDpi="1200" verticalDpi="1200" r:id="rId1"/>
  <headerFooter>
    <oddHeader>&amp;RAdvice No. 2018-xx
Exhibit No. 4</oddHeader>
    <oddFooter>&amp;L&amp;F
&amp;A&amp;R&amp;D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workbookViewId="0">
      <selection activeCell="C48" sqref="C48"/>
    </sheetView>
  </sheetViews>
  <sheetFormatPr defaultRowHeight="12.75" x14ac:dyDescent="0.2"/>
  <cols>
    <col min="1" max="1" width="5.28515625" style="2" customWidth="1"/>
    <col min="2" max="2" width="51.5703125" style="2" bestFit="1" customWidth="1"/>
    <col min="3" max="3" width="19.42578125" style="2" bestFit="1" customWidth="1"/>
    <col min="4" max="4" width="19.42578125" style="2" customWidth="1"/>
    <col min="5" max="5" width="16.7109375" style="2" customWidth="1"/>
    <col min="6" max="6" width="20.5703125" style="2" bestFit="1" customWidth="1"/>
    <col min="7" max="8" width="16.7109375" style="2" customWidth="1"/>
    <col min="9" max="16384" width="9.140625" style="2"/>
  </cols>
  <sheetData>
    <row r="1" spans="1:15" x14ac:dyDescent="0.2">
      <c r="A1" s="504" t="s">
        <v>0</v>
      </c>
      <c r="B1" s="504"/>
      <c r="C1" s="504"/>
      <c r="D1" s="504"/>
      <c r="E1" s="504"/>
      <c r="F1" s="504"/>
      <c r="G1" s="504"/>
      <c r="H1" s="504"/>
      <c r="I1" s="76"/>
      <c r="J1" s="1"/>
      <c r="K1" s="1"/>
      <c r="L1" s="1"/>
      <c r="M1" s="1"/>
      <c r="N1" s="1"/>
      <c r="O1" s="1"/>
    </row>
    <row r="2" spans="1:15" x14ac:dyDescent="0.2">
      <c r="A2" s="504" t="s">
        <v>1</v>
      </c>
      <c r="B2" s="504"/>
      <c r="C2" s="504"/>
      <c r="D2" s="504"/>
      <c r="E2" s="504"/>
      <c r="F2" s="504"/>
      <c r="G2" s="504"/>
      <c r="H2" s="504"/>
      <c r="I2" s="76"/>
      <c r="J2" s="1"/>
      <c r="K2" s="1"/>
      <c r="L2" s="1"/>
      <c r="M2" s="1"/>
      <c r="N2" s="1"/>
      <c r="O2" s="1"/>
    </row>
    <row r="3" spans="1:15" x14ac:dyDescent="0.2">
      <c r="A3" s="504" t="s">
        <v>636</v>
      </c>
      <c r="B3" s="504"/>
      <c r="C3" s="504"/>
      <c r="D3" s="504"/>
      <c r="E3" s="504"/>
      <c r="F3" s="504"/>
      <c r="G3" s="504"/>
      <c r="H3" s="504"/>
      <c r="I3" s="76"/>
      <c r="J3" s="1"/>
      <c r="K3" s="1"/>
      <c r="L3" s="1"/>
      <c r="M3" s="1"/>
      <c r="N3" s="1"/>
      <c r="O3" s="1"/>
    </row>
    <row r="4" spans="1:15" x14ac:dyDescent="0.2">
      <c r="A4" s="504"/>
      <c r="B4" s="504"/>
      <c r="C4" s="504"/>
      <c r="D4" s="504"/>
      <c r="E4" s="504"/>
      <c r="F4" s="504"/>
      <c r="G4" s="504"/>
      <c r="H4" s="504"/>
      <c r="I4" s="76"/>
      <c r="J4" s="1"/>
      <c r="K4" s="1"/>
      <c r="L4" s="1"/>
      <c r="M4" s="1"/>
      <c r="N4" s="1"/>
      <c r="O4" s="1"/>
    </row>
    <row r="5" spans="1:15" x14ac:dyDescent="0.2">
      <c r="A5" s="3"/>
      <c r="B5" s="3"/>
      <c r="C5" s="3"/>
      <c r="D5" s="3"/>
      <c r="E5" s="3"/>
      <c r="F5" s="3"/>
      <c r="G5" s="3"/>
      <c r="H5" s="3"/>
      <c r="I5" s="3"/>
    </row>
    <row r="6" spans="1:15" x14ac:dyDescent="0.2">
      <c r="A6" s="3"/>
      <c r="B6" s="3"/>
      <c r="C6" s="3"/>
      <c r="D6" s="3"/>
      <c r="E6" s="3"/>
      <c r="F6" s="3"/>
      <c r="G6" s="3"/>
      <c r="H6" s="3"/>
      <c r="I6" s="3"/>
    </row>
    <row r="7" spans="1:15" x14ac:dyDescent="0.2">
      <c r="A7" s="5" t="s">
        <v>2</v>
      </c>
      <c r="B7" s="3"/>
      <c r="C7" s="3"/>
      <c r="D7" s="3"/>
      <c r="E7" s="6" t="s">
        <v>4</v>
      </c>
      <c r="F7" s="6" t="s">
        <v>4</v>
      </c>
      <c r="G7" s="6" t="s">
        <v>3</v>
      </c>
      <c r="H7" s="6" t="s">
        <v>4</v>
      </c>
      <c r="I7" s="3"/>
    </row>
    <row r="8" spans="1:15" x14ac:dyDescent="0.2">
      <c r="A8" s="7" t="s">
        <v>5</v>
      </c>
      <c r="B8" s="8"/>
      <c r="C8" s="7" t="s">
        <v>6</v>
      </c>
      <c r="D8" s="7" t="s">
        <v>84</v>
      </c>
      <c r="E8" s="7" t="s">
        <v>7</v>
      </c>
      <c r="F8" s="7" t="s">
        <v>8</v>
      </c>
      <c r="G8" s="7">
        <v>40</v>
      </c>
      <c r="H8" s="7" t="s">
        <v>268</v>
      </c>
      <c r="I8" s="3"/>
    </row>
    <row r="9" spans="1:15" x14ac:dyDescent="0.2">
      <c r="A9" s="9"/>
      <c r="B9" s="10" t="s">
        <v>9</v>
      </c>
      <c r="C9" s="10" t="s">
        <v>10</v>
      </c>
      <c r="D9" s="10" t="s">
        <v>11</v>
      </c>
      <c r="E9" s="10" t="s">
        <v>12</v>
      </c>
      <c r="F9" s="10" t="s">
        <v>13</v>
      </c>
      <c r="G9" s="10" t="s">
        <v>14</v>
      </c>
      <c r="H9" s="10" t="s">
        <v>67</v>
      </c>
      <c r="I9" s="3"/>
    </row>
    <row r="10" spans="1:15" x14ac:dyDescent="0.2">
      <c r="A10" s="10">
        <v>1</v>
      </c>
      <c r="B10" s="11"/>
      <c r="C10" s="10"/>
      <c r="D10" s="10"/>
      <c r="E10" s="10"/>
      <c r="F10" s="10"/>
      <c r="G10" s="10"/>
      <c r="H10" s="10"/>
      <c r="I10" s="3"/>
    </row>
    <row r="11" spans="1:15" x14ac:dyDescent="0.2">
      <c r="A11" s="10">
        <f t="shared" ref="A11:A41" si="0">A10+1</f>
        <v>2</v>
      </c>
      <c r="B11" s="9" t="s">
        <v>89</v>
      </c>
      <c r="C11" s="71" t="s">
        <v>15</v>
      </c>
      <c r="D11" s="72">
        <f>SUM(E11:H11)</f>
        <v>176175993.00387377</v>
      </c>
      <c r="E11" s="24">
        <f>'Elec Margin Calc NonRes 2017'!O29</f>
        <v>70530903.453302667</v>
      </c>
      <c r="F11" s="24">
        <f>SUM('Elec Margin Calc NonRes 2017'!O30:O32,'Elec Margin Calc NonRes 2017'!O34)</f>
        <v>75538929.644019812</v>
      </c>
      <c r="G11" s="24">
        <f>SUM('Elec Margin Calc NonRes 2017'!O33)</f>
        <v>14614421.836192377</v>
      </c>
      <c r="H11" s="24">
        <f>SUM('Elec Margin Calc NonRes 2017'!O35:O35)</f>
        <v>15491738.070358938</v>
      </c>
      <c r="I11" s="3"/>
    </row>
    <row r="12" spans="1:15" x14ac:dyDescent="0.2">
      <c r="A12" s="10">
        <f t="shared" si="0"/>
        <v>3</v>
      </c>
      <c r="B12" s="9"/>
      <c r="C12" s="10"/>
      <c r="D12" s="10"/>
      <c r="E12" s="9"/>
      <c r="F12" s="9"/>
      <c r="G12" s="9"/>
      <c r="H12" s="9"/>
      <c r="I12" s="3"/>
    </row>
    <row r="13" spans="1:15" x14ac:dyDescent="0.2">
      <c r="A13" s="10">
        <f t="shared" si="0"/>
        <v>4</v>
      </c>
      <c r="B13" s="9" t="s">
        <v>180</v>
      </c>
      <c r="C13" s="71" t="s">
        <v>170</v>
      </c>
      <c r="D13" s="33">
        <f>SUM(E13:H13)</f>
        <v>0.99999999999999989</v>
      </c>
      <c r="E13" s="33">
        <f>ROUND(E11/D11,4)</f>
        <v>0.40029999999999999</v>
      </c>
      <c r="F13" s="33">
        <f>ROUND(F11/D11,4)</f>
        <v>0.42880000000000001</v>
      </c>
      <c r="G13" s="33">
        <f>ROUND(G11/D11,4)</f>
        <v>8.3000000000000004E-2</v>
      </c>
      <c r="H13" s="33">
        <f>ROUND(H11/D11,4)</f>
        <v>8.7900000000000006E-2</v>
      </c>
      <c r="I13" s="3"/>
    </row>
    <row r="14" spans="1:15" x14ac:dyDescent="0.2">
      <c r="A14" s="10">
        <f t="shared" si="0"/>
        <v>5</v>
      </c>
      <c r="B14" s="3"/>
      <c r="C14" s="71"/>
      <c r="D14" s="71"/>
      <c r="E14" s="18"/>
      <c r="F14" s="18"/>
      <c r="G14" s="18"/>
      <c r="H14" s="18"/>
      <c r="I14" s="3"/>
    </row>
    <row r="15" spans="1:15" x14ac:dyDescent="0.2">
      <c r="A15" s="10">
        <f t="shared" si="0"/>
        <v>6</v>
      </c>
      <c r="B15" s="106" t="s">
        <v>171</v>
      </c>
      <c r="C15" s="71"/>
      <c r="D15" s="71"/>
      <c r="E15" s="18"/>
      <c r="F15" s="18"/>
      <c r="G15" s="18"/>
      <c r="H15" s="18"/>
      <c r="I15" s="3"/>
    </row>
    <row r="16" spans="1:15" x14ac:dyDescent="0.2">
      <c r="A16" s="10">
        <f t="shared" si="0"/>
        <v>7</v>
      </c>
      <c r="B16" s="9" t="s">
        <v>181</v>
      </c>
      <c r="C16" s="10" t="s">
        <v>365</v>
      </c>
      <c r="D16" s="112">
        <v>4071075.57</v>
      </c>
      <c r="E16" s="36"/>
      <c r="F16" s="36"/>
      <c r="G16" s="36"/>
      <c r="H16" s="36"/>
      <c r="I16" s="3"/>
    </row>
    <row r="17" spans="1:9" x14ac:dyDescent="0.2">
      <c r="A17" s="10">
        <f t="shared" si="0"/>
        <v>8</v>
      </c>
      <c r="D17" s="113"/>
      <c r="E17" s="107"/>
      <c r="F17" s="107"/>
      <c r="G17" s="107"/>
      <c r="H17" s="107"/>
      <c r="I17" s="3"/>
    </row>
    <row r="18" spans="1:9" x14ac:dyDescent="0.2">
      <c r="A18" s="10">
        <f t="shared" si="0"/>
        <v>9</v>
      </c>
      <c r="B18" s="9" t="s">
        <v>182</v>
      </c>
      <c r="C18" s="71" t="s">
        <v>183</v>
      </c>
      <c r="D18" s="108">
        <f>SUM(E18:H18)</f>
        <v>4071075.57</v>
      </c>
      <c r="E18" s="108">
        <f>D16*$E$13</f>
        <v>1629651.5506709998</v>
      </c>
      <c r="F18" s="108">
        <f>D16*$F$13</f>
        <v>1745677.2044160001</v>
      </c>
      <c r="G18" s="108">
        <f>D16*$G$13</f>
        <v>337899.27231000003</v>
      </c>
      <c r="H18" s="108">
        <f>D16*$H$13</f>
        <v>357847.54260300001</v>
      </c>
      <c r="I18" s="3"/>
    </row>
    <row r="19" spans="1:9" x14ac:dyDescent="0.2">
      <c r="A19" s="10">
        <f t="shared" si="0"/>
        <v>10</v>
      </c>
      <c r="B19" s="9"/>
      <c r="C19" s="71"/>
      <c r="D19" s="112"/>
      <c r="E19" s="108"/>
      <c r="F19" s="108"/>
      <c r="G19" s="108"/>
      <c r="H19" s="108"/>
      <c r="I19" s="3"/>
    </row>
    <row r="20" spans="1:9" x14ac:dyDescent="0.2">
      <c r="A20" s="10">
        <f t="shared" si="0"/>
        <v>11</v>
      </c>
      <c r="B20" s="9" t="s">
        <v>184</v>
      </c>
      <c r="C20" s="10" t="s">
        <v>365</v>
      </c>
      <c r="D20" s="112">
        <v>11496655.73</v>
      </c>
      <c r="E20" s="36"/>
      <c r="F20" s="36"/>
      <c r="G20" s="36"/>
      <c r="H20" s="36"/>
      <c r="I20" s="3"/>
    </row>
    <row r="21" spans="1:9" x14ac:dyDescent="0.2">
      <c r="A21" s="10">
        <f t="shared" si="0"/>
        <v>12</v>
      </c>
      <c r="D21" s="113"/>
      <c r="E21" s="107"/>
      <c r="F21" s="107"/>
      <c r="G21" s="107"/>
      <c r="H21" s="107"/>
      <c r="I21" s="3"/>
    </row>
    <row r="22" spans="1:9" x14ac:dyDescent="0.2">
      <c r="A22" s="10">
        <f t="shared" si="0"/>
        <v>13</v>
      </c>
      <c r="B22" s="9" t="s">
        <v>173</v>
      </c>
      <c r="C22" s="71" t="s">
        <v>185</v>
      </c>
      <c r="D22" s="108">
        <f>SUM(E22:H22)</f>
        <v>11496655.73</v>
      </c>
      <c r="E22" s="108">
        <f>D20*$E$13</f>
        <v>4602111.2887190003</v>
      </c>
      <c r="F22" s="108">
        <f>D20*$F$13</f>
        <v>4929765.9770240001</v>
      </c>
      <c r="G22" s="108">
        <f>D20*$G$13</f>
        <v>954222.42559000012</v>
      </c>
      <c r="H22" s="108">
        <f>D20*$H$13</f>
        <v>1010556.0386670001</v>
      </c>
      <c r="I22" s="3"/>
    </row>
    <row r="23" spans="1:9" x14ac:dyDescent="0.2">
      <c r="A23" s="10">
        <f t="shared" si="0"/>
        <v>14</v>
      </c>
      <c r="B23" s="9"/>
      <c r="C23" s="10"/>
      <c r="D23" s="112"/>
      <c r="E23" s="36"/>
      <c r="F23" s="36"/>
      <c r="G23" s="36"/>
      <c r="H23" s="36"/>
      <c r="I23" s="3"/>
    </row>
    <row r="24" spans="1:9" x14ac:dyDescent="0.2">
      <c r="A24" s="10">
        <f t="shared" si="0"/>
        <v>15</v>
      </c>
      <c r="B24" s="9" t="s">
        <v>186</v>
      </c>
      <c r="C24" s="10" t="s">
        <v>365</v>
      </c>
      <c r="D24" s="112">
        <v>515962.22</v>
      </c>
      <c r="E24" s="36"/>
      <c r="F24" s="36"/>
      <c r="G24" s="36"/>
      <c r="H24" s="36"/>
      <c r="I24" s="3"/>
    </row>
    <row r="25" spans="1:9" x14ac:dyDescent="0.2">
      <c r="A25" s="10">
        <f t="shared" si="0"/>
        <v>16</v>
      </c>
      <c r="D25" s="107"/>
      <c r="E25" s="107"/>
      <c r="F25" s="107"/>
      <c r="G25" s="107"/>
      <c r="H25" s="107"/>
      <c r="I25" s="3"/>
    </row>
    <row r="26" spans="1:9" x14ac:dyDescent="0.2">
      <c r="A26" s="10">
        <f t="shared" si="0"/>
        <v>17</v>
      </c>
      <c r="B26" s="9" t="s">
        <v>187</v>
      </c>
      <c r="C26" s="71" t="s">
        <v>188</v>
      </c>
      <c r="D26" s="108">
        <f>SUM(E26:H26)</f>
        <v>515962.22</v>
      </c>
      <c r="E26" s="108">
        <f>D24*$E$13</f>
        <v>206539.67666599998</v>
      </c>
      <c r="F26" s="108">
        <f>D24*$F$13</f>
        <v>221244.59993599998</v>
      </c>
      <c r="G26" s="108">
        <f>D24*$G$13</f>
        <v>42824.864260000002</v>
      </c>
      <c r="H26" s="108">
        <f>D24*$H$13</f>
        <v>45353.079138000001</v>
      </c>
      <c r="I26" s="3"/>
    </row>
    <row r="27" spans="1:9" x14ac:dyDescent="0.2">
      <c r="A27" s="10">
        <f>A26+1</f>
        <v>18</v>
      </c>
      <c r="B27" s="9"/>
      <c r="C27" s="10"/>
      <c r="D27" s="68"/>
      <c r="E27" s="36"/>
      <c r="F27" s="36"/>
      <c r="G27" s="36"/>
      <c r="H27" s="36"/>
      <c r="I27" s="3"/>
    </row>
    <row r="28" spans="1:9" x14ac:dyDescent="0.2">
      <c r="A28" s="10">
        <f t="shared" si="0"/>
        <v>19</v>
      </c>
      <c r="B28" s="106" t="s">
        <v>175</v>
      </c>
      <c r="C28" s="10" t="s">
        <v>90</v>
      </c>
      <c r="D28" s="109">
        <v>0.95238599999999995</v>
      </c>
      <c r="E28" s="110"/>
      <c r="F28" s="110"/>
      <c r="G28" s="110"/>
      <c r="H28" s="110"/>
      <c r="I28" s="3"/>
    </row>
    <row r="29" spans="1:9" x14ac:dyDescent="0.2">
      <c r="A29" s="10">
        <f t="shared" si="0"/>
        <v>20</v>
      </c>
      <c r="B29" s="9"/>
      <c r="C29" s="10"/>
      <c r="D29" s="68"/>
      <c r="E29" s="36"/>
      <c r="F29" s="36"/>
      <c r="G29" s="36"/>
      <c r="H29" s="36"/>
      <c r="I29" s="3"/>
    </row>
    <row r="30" spans="1:9" x14ac:dyDescent="0.2">
      <c r="A30" s="10">
        <f t="shared" si="0"/>
        <v>21</v>
      </c>
      <c r="B30" s="106" t="s">
        <v>176</v>
      </c>
      <c r="C30" s="71"/>
      <c r="D30" s="111"/>
      <c r="E30" s="36"/>
      <c r="F30" s="36"/>
      <c r="G30" s="36"/>
      <c r="H30" s="36"/>
      <c r="I30" s="3"/>
    </row>
    <row r="31" spans="1:9" x14ac:dyDescent="0.2">
      <c r="A31" s="10">
        <f t="shared" si="0"/>
        <v>22</v>
      </c>
      <c r="B31" s="9" t="s">
        <v>181</v>
      </c>
      <c r="C31" s="10" t="s">
        <v>189</v>
      </c>
      <c r="D31" s="112">
        <f>D16/D$28</f>
        <v>4274606.6930845268</v>
      </c>
      <c r="E31" s="36"/>
      <c r="F31" s="36"/>
      <c r="G31" s="36"/>
      <c r="H31" s="36"/>
      <c r="I31" s="3"/>
    </row>
    <row r="32" spans="1:9" x14ac:dyDescent="0.2">
      <c r="A32" s="10">
        <f t="shared" si="0"/>
        <v>23</v>
      </c>
      <c r="D32" s="113"/>
      <c r="E32" s="107"/>
      <c r="F32" s="107"/>
      <c r="G32" s="107"/>
      <c r="H32" s="107"/>
      <c r="I32" s="3"/>
    </row>
    <row r="33" spans="1:9" x14ac:dyDescent="0.2">
      <c r="A33" s="10">
        <f t="shared" si="0"/>
        <v>24</v>
      </c>
      <c r="B33" s="9" t="s">
        <v>182</v>
      </c>
      <c r="C33" s="71" t="s">
        <v>190</v>
      </c>
      <c r="D33" s="108">
        <f>SUM(E33:H33)</f>
        <v>4274606.6930845268</v>
      </c>
      <c r="E33" s="108">
        <f>D31*$E$13</f>
        <v>1711125.0592417361</v>
      </c>
      <c r="F33" s="108">
        <f>D31*$F$13</f>
        <v>1832951.3499946452</v>
      </c>
      <c r="G33" s="108">
        <f>D31*$G$13</f>
        <v>354792.35552601574</v>
      </c>
      <c r="H33" s="108">
        <f>D31*$H$13</f>
        <v>375737.92832212994</v>
      </c>
      <c r="I33" s="3"/>
    </row>
    <row r="34" spans="1:9" x14ac:dyDescent="0.2">
      <c r="A34" s="10">
        <f t="shared" si="0"/>
        <v>25</v>
      </c>
      <c r="B34" s="9"/>
      <c r="C34" s="71"/>
      <c r="D34" s="114"/>
      <c r="E34" s="36"/>
      <c r="F34" s="36"/>
      <c r="G34" s="36"/>
      <c r="H34" s="36"/>
      <c r="I34" s="3"/>
    </row>
    <row r="35" spans="1:9" x14ac:dyDescent="0.2">
      <c r="A35" s="10">
        <f t="shared" si="0"/>
        <v>26</v>
      </c>
      <c r="B35" s="9" t="s">
        <v>184</v>
      </c>
      <c r="C35" s="10" t="s">
        <v>191</v>
      </c>
      <c r="D35" s="112">
        <f>D20/D$28</f>
        <v>12071424.53794995</v>
      </c>
      <c r="E35" s="36"/>
      <c r="F35" s="36"/>
      <c r="G35" s="36"/>
      <c r="H35" s="36"/>
      <c r="I35" s="3"/>
    </row>
    <row r="36" spans="1:9" x14ac:dyDescent="0.2">
      <c r="A36" s="10">
        <f t="shared" si="0"/>
        <v>27</v>
      </c>
      <c r="C36" s="71"/>
      <c r="D36" s="114"/>
      <c r="E36" s="36"/>
      <c r="F36" s="36"/>
      <c r="G36" s="36"/>
      <c r="H36" s="36"/>
      <c r="I36" s="3"/>
    </row>
    <row r="37" spans="1:9" x14ac:dyDescent="0.2">
      <c r="A37" s="10">
        <f t="shared" si="0"/>
        <v>28</v>
      </c>
      <c r="B37" s="9" t="s">
        <v>173</v>
      </c>
      <c r="C37" s="71" t="s">
        <v>192</v>
      </c>
      <c r="D37" s="108">
        <f>SUM(E37:H37)</f>
        <v>12071424.537949951</v>
      </c>
      <c r="E37" s="108">
        <f>D35*E13</f>
        <v>4832191.2425413644</v>
      </c>
      <c r="F37" s="108">
        <f>D35*F13</f>
        <v>5176226.8418729389</v>
      </c>
      <c r="G37" s="108">
        <f>D35*G13</f>
        <v>1001928.2366498458</v>
      </c>
      <c r="H37" s="108">
        <f>D35*H13</f>
        <v>1061078.2168858007</v>
      </c>
      <c r="I37" s="3"/>
    </row>
    <row r="38" spans="1:9" x14ac:dyDescent="0.2">
      <c r="A38" s="10">
        <f t="shared" si="0"/>
        <v>29</v>
      </c>
      <c r="B38" s="9"/>
      <c r="C38" s="71"/>
      <c r="D38" s="114"/>
      <c r="E38" s="36"/>
      <c r="F38" s="36"/>
      <c r="G38" s="36"/>
      <c r="H38" s="36"/>
      <c r="I38" s="3"/>
    </row>
    <row r="39" spans="1:9" x14ac:dyDescent="0.2">
      <c r="A39" s="10">
        <f t="shared" si="0"/>
        <v>30</v>
      </c>
      <c r="B39" s="9" t="s">
        <v>186</v>
      </c>
      <c r="C39" s="10" t="s">
        <v>193</v>
      </c>
      <c r="D39" s="112">
        <f>D24/D$28</f>
        <v>541757.45968546369</v>
      </c>
      <c r="E39" s="36"/>
      <c r="F39" s="36"/>
      <c r="G39" s="36"/>
      <c r="H39" s="36"/>
      <c r="I39" s="3"/>
    </row>
    <row r="40" spans="1:9" x14ac:dyDescent="0.2">
      <c r="A40" s="10">
        <f t="shared" si="0"/>
        <v>31</v>
      </c>
      <c r="C40" s="71"/>
      <c r="D40" s="108"/>
      <c r="E40" s="36"/>
      <c r="F40" s="36"/>
      <c r="G40" s="36"/>
      <c r="H40" s="36"/>
      <c r="I40" s="3"/>
    </row>
    <row r="41" spans="1:9" x14ac:dyDescent="0.2">
      <c r="A41" s="10">
        <f t="shared" si="0"/>
        <v>32</v>
      </c>
      <c r="B41" s="9" t="s">
        <v>187</v>
      </c>
      <c r="C41" s="71" t="s">
        <v>194</v>
      </c>
      <c r="D41" s="108">
        <f>SUM(E41:H41)</f>
        <v>541757.45968546369</v>
      </c>
      <c r="E41" s="108">
        <f>$D$39*E13</f>
        <v>216865.5111120911</v>
      </c>
      <c r="F41" s="108">
        <f>$D$39*F13</f>
        <v>232305.59871312685</v>
      </c>
      <c r="G41" s="108">
        <f>$D$39*G13</f>
        <v>44965.869153893487</v>
      </c>
      <c r="H41" s="108">
        <f>$D$39*H13</f>
        <v>47620.48070635226</v>
      </c>
      <c r="I41" s="3"/>
    </row>
    <row r="42" spans="1:9" x14ac:dyDescent="0.2">
      <c r="A42" s="10"/>
      <c r="B42" s="9"/>
      <c r="C42" s="3"/>
      <c r="D42" s="3"/>
      <c r="E42" s="18"/>
      <c r="F42" s="18"/>
      <c r="G42" s="3"/>
      <c r="H42" s="3"/>
      <c r="I42" s="3"/>
    </row>
    <row r="43" spans="1:9" x14ac:dyDescent="0.2">
      <c r="A43" s="10"/>
      <c r="B43" s="3"/>
      <c r="C43" s="3"/>
      <c r="D43" s="3"/>
      <c r="E43" s="18"/>
      <c r="F43" s="18"/>
      <c r="G43" s="3"/>
      <c r="H43" s="3"/>
      <c r="I43" s="3"/>
    </row>
    <row r="44" spans="1:9" x14ac:dyDescent="0.2">
      <c r="A44" s="10"/>
      <c r="B44" s="3"/>
      <c r="C44" s="3"/>
      <c r="D44" s="3"/>
      <c r="E44" s="18"/>
      <c r="F44" s="18"/>
      <c r="G44" s="3"/>
      <c r="H44" s="3"/>
      <c r="I44" s="3"/>
    </row>
    <row r="45" spans="1:9" x14ac:dyDescent="0.2">
      <c r="A45" s="3"/>
      <c r="B45" s="3"/>
      <c r="C45" s="3"/>
      <c r="D45" s="3"/>
      <c r="E45" s="3"/>
      <c r="F45" s="3"/>
      <c r="G45" s="3"/>
      <c r="H45" s="3"/>
      <c r="I45" s="3"/>
    </row>
    <row r="46" spans="1:9" x14ac:dyDescent="0.2">
      <c r="A46" s="3"/>
      <c r="B46" s="3"/>
      <c r="C46" s="3"/>
      <c r="D46" s="3"/>
      <c r="E46" s="3"/>
      <c r="F46" s="3"/>
      <c r="G46" s="3"/>
      <c r="H46" s="3"/>
      <c r="I46" s="3"/>
    </row>
    <row r="47" spans="1:9" x14ac:dyDescent="0.2">
      <c r="A47" s="3"/>
      <c r="B47" s="3"/>
      <c r="C47" s="3"/>
      <c r="D47" s="3"/>
      <c r="E47" s="3"/>
      <c r="F47" s="3"/>
      <c r="G47" s="3"/>
      <c r="H47" s="3"/>
      <c r="I47" s="3"/>
    </row>
    <row r="48" spans="1:9" x14ac:dyDescent="0.2">
      <c r="A48" s="3"/>
      <c r="B48" s="3"/>
      <c r="C48" s="3"/>
      <c r="D48" s="3"/>
      <c r="E48" s="3"/>
      <c r="F48" s="3"/>
      <c r="G48" s="3"/>
      <c r="H48" s="3"/>
      <c r="I48" s="3"/>
    </row>
    <row r="49" spans="1:9" x14ac:dyDescent="0.2">
      <c r="A49" s="3"/>
      <c r="B49" s="3"/>
      <c r="C49" s="3"/>
      <c r="D49" s="3"/>
      <c r="E49" s="3"/>
      <c r="F49" s="3"/>
      <c r="G49" s="3"/>
      <c r="H49" s="3"/>
      <c r="I49" s="3"/>
    </row>
    <row r="50" spans="1:9" x14ac:dyDescent="0.2">
      <c r="A50" s="3"/>
      <c r="B50" s="3"/>
      <c r="C50" s="3"/>
      <c r="D50" s="3"/>
      <c r="E50" s="3"/>
      <c r="F50" s="3"/>
      <c r="G50" s="3"/>
      <c r="H50" s="3"/>
      <c r="I50" s="3"/>
    </row>
    <row r="51" spans="1:9" x14ac:dyDescent="0.2">
      <c r="A51" s="3"/>
      <c r="B51" s="3"/>
      <c r="C51" s="3"/>
      <c r="D51" s="3"/>
      <c r="E51" s="3"/>
      <c r="F51" s="3"/>
      <c r="G51" s="3"/>
      <c r="H51" s="3"/>
      <c r="I51" s="3"/>
    </row>
    <row r="52" spans="1:9" x14ac:dyDescent="0.2">
      <c r="A52" s="3"/>
      <c r="B52" s="3"/>
      <c r="C52" s="3"/>
      <c r="D52" s="3"/>
      <c r="E52" s="3"/>
      <c r="F52" s="3"/>
      <c r="G52" s="3"/>
      <c r="H52" s="3"/>
      <c r="I52" s="3"/>
    </row>
    <row r="53" spans="1:9" x14ac:dyDescent="0.2">
      <c r="A53" s="3"/>
      <c r="B53" s="3"/>
      <c r="C53" s="3"/>
      <c r="D53" s="3"/>
      <c r="E53" s="3"/>
      <c r="F53" s="3"/>
      <c r="G53" s="3"/>
      <c r="H53" s="3"/>
      <c r="I53" s="3"/>
    </row>
    <row r="54" spans="1:9" x14ac:dyDescent="0.2">
      <c r="A54" s="3"/>
      <c r="B54" s="3"/>
      <c r="C54" s="3"/>
      <c r="D54" s="3"/>
      <c r="E54" s="3"/>
      <c r="F54" s="3"/>
      <c r="G54" s="3"/>
      <c r="H54" s="3"/>
      <c r="I54" s="3"/>
    </row>
    <row r="55" spans="1:9" x14ac:dyDescent="0.2">
      <c r="A55" s="3"/>
      <c r="B55" s="3"/>
      <c r="C55" s="3"/>
      <c r="D55" s="3"/>
      <c r="E55" s="3"/>
      <c r="F55" s="3"/>
      <c r="G55" s="3"/>
      <c r="H55" s="3"/>
      <c r="I55" s="3"/>
    </row>
    <row r="56" spans="1:9" x14ac:dyDescent="0.2">
      <c r="A56" s="3"/>
      <c r="B56" s="3"/>
      <c r="C56" s="3"/>
      <c r="D56" s="3"/>
      <c r="E56" s="3"/>
      <c r="F56" s="3"/>
      <c r="G56" s="3"/>
      <c r="H56" s="3"/>
      <c r="I56" s="3"/>
    </row>
    <row r="57" spans="1:9" x14ac:dyDescent="0.2">
      <c r="A57" s="3"/>
      <c r="B57" s="3"/>
      <c r="C57" s="3"/>
      <c r="D57" s="3"/>
      <c r="E57" s="3"/>
      <c r="F57" s="3"/>
      <c r="G57" s="3"/>
      <c r="H57" s="3"/>
      <c r="I57" s="3"/>
    </row>
    <row r="58" spans="1:9" x14ac:dyDescent="0.2">
      <c r="A58" s="3"/>
      <c r="B58" s="3"/>
      <c r="C58" s="3"/>
      <c r="D58" s="3"/>
      <c r="E58" s="3"/>
      <c r="F58" s="3"/>
      <c r="G58" s="3"/>
      <c r="H58" s="3"/>
      <c r="I58" s="3"/>
    </row>
  </sheetData>
  <mergeCells count="4">
    <mergeCell ref="A1:H1"/>
    <mergeCell ref="A2:H2"/>
    <mergeCell ref="A3:H3"/>
    <mergeCell ref="A4:H4"/>
  </mergeCells>
  <printOptions horizontalCentered="1"/>
  <pageMargins left="0.7" right="0.7" top="0.75" bottom="0.75" header="0.3" footer="0.3"/>
  <pageSetup scale="73" orientation="landscape" blackAndWhite="1" horizontalDpi="1200" verticalDpi="1200" r:id="rId1"/>
  <headerFooter>
    <oddHeader>&amp;RAdvice No. 2018-xx
Workpaper No. 21</oddHeader>
    <oddFooter>&amp;L&amp;F
&amp;A&amp;R&amp;D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0"/>
  <sheetViews>
    <sheetView zoomScaleNormal="100" workbookViewId="0">
      <selection activeCell="E31" sqref="E31"/>
    </sheetView>
  </sheetViews>
  <sheetFormatPr defaultRowHeight="12.75" x14ac:dyDescent="0.2"/>
  <cols>
    <col min="1" max="1" width="5.28515625" style="2" customWidth="1"/>
    <col min="2" max="2" width="51.5703125" style="2" bestFit="1" customWidth="1"/>
    <col min="3" max="3" width="19.42578125" style="2" bestFit="1" customWidth="1"/>
    <col min="4" max="4" width="19.42578125" style="2" customWidth="1"/>
    <col min="5" max="6" width="16.7109375" style="2" customWidth="1"/>
    <col min="7" max="7" width="20.5703125" style="2" bestFit="1" customWidth="1"/>
    <col min="8" max="11" width="16.7109375" style="2" customWidth="1"/>
    <col min="12" max="16384" width="9.140625" style="2"/>
  </cols>
  <sheetData>
    <row r="1" spans="1:17" x14ac:dyDescent="0.2">
      <c r="A1" s="504" t="s">
        <v>0</v>
      </c>
      <c r="B1" s="504"/>
      <c r="C1" s="504"/>
      <c r="D1" s="504"/>
      <c r="E1" s="504"/>
      <c r="F1" s="504"/>
      <c r="G1" s="504"/>
      <c r="H1" s="504"/>
      <c r="I1" s="504"/>
      <c r="J1" s="504"/>
      <c r="K1" s="504"/>
      <c r="L1" s="1"/>
      <c r="M1" s="1"/>
      <c r="N1" s="1"/>
      <c r="O1" s="1"/>
      <c r="P1" s="1"/>
      <c r="Q1" s="1"/>
    </row>
    <row r="2" spans="1:17" x14ac:dyDescent="0.2">
      <c r="A2" s="504" t="s">
        <v>1</v>
      </c>
      <c r="B2" s="504"/>
      <c r="C2" s="504"/>
      <c r="D2" s="504"/>
      <c r="E2" s="504"/>
      <c r="F2" s="504"/>
      <c r="G2" s="504"/>
      <c r="H2" s="504"/>
      <c r="I2" s="504"/>
      <c r="J2" s="504"/>
      <c r="K2" s="504"/>
      <c r="L2" s="1"/>
      <c r="M2" s="1"/>
      <c r="N2" s="1"/>
      <c r="O2" s="1"/>
      <c r="P2" s="1"/>
      <c r="Q2" s="1"/>
    </row>
    <row r="3" spans="1:17" x14ac:dyDescent="0.2">
      <c r="A3" s="504" t="s">
        <v>366</v>
      </c>
      <c r="B3" s="504"/>
      <c r="C3" s="504"/>
      <c r="D3" s="504"/>
      <c r="E3" s="504"/>
      <c r="F3" s="504"/>
      <c r="G3" s="504"/>
      <c r="H3" s="504"/>
      <c r="I3" s="504"/>
      <c r="J3" s="504"/>
      <c r="K3" s="504"/>
      <c r="L3" s="1"/>
      <c r="M3" s="1"/>
      <c r="N3" s="1"/>
      <c r="O3" s="1"/>
      <c r="P3" s="1"/>
      <c r="Q3" s="1"/>
    </row>
    <row r="4" spans="1:17" x14ac:dyDescent="0.2">
      <c r="A4" s="504"/>
      <c r="B4" s="504"/>
      <c r="C4" s="504"/>
      <c r="D4" s="504"/>
      <c r="E4" s="504"/>
      <c r="F4" s="504"/>
      <c r="G4" s="504"/>
      <c r="H4" s="504"/>
      <c r="I4" s="504"/>
      <c r="J4" s="504"/>
      <c r="K4" s="504"/>
      <c r="L4" s="1"/>
      <c r="M4" s="1"/>
      <c r="N4" s="1"/>
      <c r="O4" s="1"/>
      <c r="P4" s="1"/>
      <c r="Q4" s="1"/>
    </row>
    <row r="5" spans="1:17" x14ac:dyDescent="0.2">
      <c r="A5" s="3"/>
      <c r="B5" s="3"/>
      <c r="C5" s="3"/>
      <c r="D5" s="3"/>
      <c r="E5" s="3"/>
      <c r="F5" s="3"/>
      <c r="G5" s="3"/>
      <c r="H5" s="3"/>
      <c r="I5" s="3"/>
      <c r="J5" s="3"/>
      <c r="K5" s="3"/>
    </row>
    <row r="6" spans="1:17" x14ac:dyDescent="0.2">
      <c r="A6" s="3"/>
      <c r="B6" s="3"/>
      <c r="C6" s="3"/>
      <c r="D6" s="3"/>
      <c r="E6" s="3"/>
      <c r="F6" s="3"/>
      <c r="G6" s="3"/>
      <c r="H6" s="3"/>
      <c r="I6" s="3"/>
      <c r="J6" s="3"/>
      <c r="K6" s="3"/>
    </row>
    <row r="7" spans="1:17" x14ac:dyDescent="0.2">
      <c r="A7" s="5" t="s">
        <v>2</v>
      </c>
      <c r="B7" s="3"/>
      <c r="C7" s="3"/>
      <c r="D7" s="3"/>
      <c r="E7" s="6" t="s">
        <v>3</v>
      </c>
      <c r="F7" s="6" t="s">
        <v>4</v>
      </c>
      <c r="G7" s="6" t="s">
        <v>4</v>
      </c>
      <c r="H7" s="6" t="s">
        <v>3</v>
      </c>
      <c r="I7" s="6" t="s">
        <v>4</v>
      </c>
      <c r="J7" s="6" t="s">
        <v>4</v>
      </c>
      <c r="K7" s="6" t="s">
        <v>4</v>
      </c>
    </row>
    <row r="8" spans="1:17" x14ac:dyDescent="0.2">
      <c r="A8" s="7" t="s">
        <v>5</v>
      </c>
      <c r="B8" s="8"/>
      <c r="C8" s="7" t="s">
        <v>6</v>
      </c>
      <c r="D8" s="7" t="s">
        <v>84</v>
      </c>
      <c r="E8" s="7">
        <v>7</v>
      </c>
      <c r="F8" s="7" t="s">
        <v>7</v>
      </c>
      <c r="G8" s="7" t="s">
        <v>8</v>
      </c>
      <c r="H8" s="7">
        <v>40</v>
      </c>
      <c r="I8" s="7" t="s">
        <v>268</v>
      </c>
      <c r="J8" s="7" t="s">
        <v>24</v>
      </c>
      <c r="K8" s="7" t="s">
        <v>25</v>
      </c>
    </row>
    <row r="9" spans="1:17" x14ac:dyDescent="0.2">
      <c r="A9" s="9"/>
      <c r="B9" s="10" t="s">
        <v>9</v>
      </c>
      <c r="C9" s="10" t="s">
        <v>10</v>
      </c>
      <c r="D9" s="10" t="s">
        <v>11</v>
      </c>
      <c r="E9" s="10" t="s">
        <v>12</v>
      </c>
      <c r="F9" s="10" t="s">
        <v>13</v>
      </c>
      <c r="G9" s="10" t="s">
        <v>14</v>
      </c>
      <c r="H9" s="10" t="s">
        <v>67</v>
      </c>
      <c r="I9" s="10" t="s">
        <v>68</v>
      </c>
      <c r="J9" s="10" t="s">
        <v>69</v>
      </c>
      <c r="K9" s="10" t="s">
        <v>70</v>
      </c>
    </row>
    <row r="10" spans="1:17" x14ac:dyDescent="0.2">
      <c r="A10" s="10">
        <v>1</v>
      </c>
      <c r="B10" s="11"/>
      <c r="C10" s="10"/>
      <c r="D10" s="10"/>
      <c r="E10" s="10"/>
      <c r="F10" s="10"/>
      <c r="G10" s="10"/>
      <c r="H10" s="10"/>
      <c r="I10" s="10"/>
      <c r="J10" s="10"/>
      <c r="K10" s="10"/>
    </row>
    <row r="11" spans="1:17" x14ac:dyDescent="0.2">
      <c r="A11" s="10">
        <f>A10+1</f>
        <v>2</v>
      </c>
      <c r="B11" s="9" t="s">
        <v>169</v>
      </c>
      <c r="C11" s="71" t="s">
        <v>170</v>
      </c>
      <c r="D11" s="33">
        <f>SUM(E11:K11)</f>
        <v>0.99965899999999996</v>
      </c>
      <c r="E11" s="105">
        <f>'2017 GRC PCA Costs FPC'!E30</f>
        <v>0.53621700000000005</v>
      </c>
      <c r="F11" s="105">
        <f>'2017 GRC PCA Costs FPC'!F30</f>
        <v>0.13145999999999999</v>
      </c>
      <c r="G11" s="105">
        <f>SUM('2017 GRC PCA Costs FPC'!G30,'2017 GRC PCA Costs FPC'!J30:K30)</f>
        <v>0.13710299999999997</v>
      </c>
      <c r="H11" s="105">
        <f>'2017 GRC PCA Costs FPC'!L30</f>
        <v>2.6698E-2</v>
      </c>
      <c r="I11" s="105">
        <f>'2017 GRC PCA Costs FPC'!M30</f>
        <v>2.5627999999999998E-2</v>
      </c>
      <c r="J11" s="105">
        <f>'2017 GRC PCA Costs FPC'!H30</f>
        <v>8.5844999999999991E-2</v>
      </c>
      <c r="K11" s="105">
        <f>'2017 GRC PCA Costs FPC'!I30</f>
        <v>5.6707999999999995E-2</v>
      </c>
    </row>
    <row r="12" spans="1:17" x14ac:dyDescent="0.2">
      <c r="A12" s="10">
        <f t="shared" ref="A12:A23" si="0">A11+1</f>
        <v>3</v>
      </c>
      <c r="B12" s="3"/>
      <c r="C12" s="71"/>
      <c r="D12" s="71"/>
      <c r="E12" s="18"/>
      <c r="F12" s="18"/>
      <c r="G12" s="18"/>
      <c r="H12" s="18"/>
      <c r="I12" s="18"/>
      <c r="J12" s="18"/>
      <c r="K12" s="18"/>
    </row>
    <row r="13" spans="1:17" x14ac:dyDescent="0.2">
      <c r="A13" s="10">
        <f t="shared" si="0"/>
        <v>4</v>
      </c>
      <c r="B13" s="106" t="s">
        <v>171</v>
      </c>
      <c r="C13" s="71"/>
      <c r="D13" s="71"/>
      <c r="E13" s="18"/>
      <c r="F13" s="18"/>
      <c r="G13" s="18"/>
      <c r="H13" s="18"/>
      <c r="I13" s="18"/>
      <c r="J13" s="18"/>
      <c r="K13" s="18"/>
    </row>
    <row r="14" spans="1:17" x14ac:dyDescent="0.2">
      <c r="A14" s="10">
        <f t="shared" si="0"/>
        <v>5</v>
      </c>
      <c r="B14" s="9" t="s">
        <v>172</v>
      </c>
      <c r="C14" s="10" t="s">
        <v>365</v>
      </c>
      <c r="D14" s="465">
        <f>ROUND('PCA Deferral'!Q32,2)</f>
        <v>269782.63</v>
      </c>
      <c r="E14" s="36"/>
      <c r="F14" s="36"/>
      <c r="G14" s="36"/>
      <c r="H14" s="36"/>
      <c r="I14" s="36"/>
      <c r="J14" s="36"/>
      <c r="K14" s="36"/>
    </row>
    <row r="15" spans="1:17" x14ac:dyDescent="0.2">
      <c r="A15" s="10">
        <f t="shared" si="0"/>
        <v>6</v>
      </c>
      <c r="D15" s="107"/>
      <c r="E15" s="107"/>
      <c r="F15" s="107"/>
      <c r="G15" s="107"/>
      <c r="H15" s="107"/>
      <c r="I15" s="107"/>
      <c r="J15" s="107"/>
      <c r="K15" s="107"/>
    </row>
    <row r="16" spans="1:17" x14ac:dyDescent="0.2">
      <c r="A16" s="10">
        <f t="shared" si="0"/>
        <v>7</v>
      </c>
      <c r="B16" s="9" t="s">
        <v>173</v>
      </c>
      <c r="C16" s="71" t="s">
        <v>174</v>
      </c>
      <c r="D16" s="108">
        <f>SUM(E16:K16)</f>
        <v>269690.63412316999</v>
      </c>
      <c r="E16" s="108">
        <f>$D$14*E$11</f>
        <v>144662.03251071001</v>
      </c>
      <c r="F16" s="108">
        <f t="shared" ref="F16:K16" si="1">$D$14*F$11</f>
        <v>35465.624539799996</v>
      </c>
      <c r="G16" s="108">
        <f t="shared" si="1"/>
        <v>36988.007920889992</v>
      </c>
      <c r="H16" s="108">
        <f t="shared" si="1"/>
        <v>7202.6566557400001</v>
      </c>
      <c r="I16" s="108">
        <f t="shared" si="1"/>
        <v>6913.9892416399998</v>
      </c>
      <c r="J16" s="108">
        <f t="shared" si="1"/>
        <v>23159.489872349997</v>
      </c>
      <c r="K16" s="108">
        <f t="shared" si="1"/>
        <v>15298.833382039998</v>
      </c>
    </row>
    <row r="17" spans="1:11" x14ac:dyDescent="0.2">
      <c r="A17" s="10">
        <f t="shared" si="0"/>
        <v>8</v>
      </c>
      <c r="B17" s="9"/>
      <c r="C17" s="10"/>
      <c r="D17" s="68"/>
      <c r="E17" s="36"/>
      <c r="F17" s="36"/>
      <c r="G17" s="36"/>
      <c r="H17" s="36"/>
      <c r="I17" s="36"/>
      <c r="J17" s="36"/>
      <c r="K17" s="36"/>
    </row>
    <row r="18" spans="1:11" x14ac:dyDescent="0.2">
      <c r="A18" s="10">
        <f t="shared" si="0"/>
        <v>9</v>
      </c>
      <c r="B18" s="106" t="s">
        <v>175</v>
      </c>
      <c r="C18" s="10" t="s">
        <v>90</v>
      </c>
      <c r="D18" s="109">
        <v>0.95238599999999995</v>
      </c>
      <c r="E18" s="110"/>
      <c r="F18" s="110"/>
      <c r="G18" s="110"/>
      <c r="H18" s="110"/>
      <c r="I18" s="110"/>
      <c r="J18" s="110"/>
      <c r="K18" s="110"/>
    </row>
    <row r="19" spans="1:11" x14ac:dyDescent="0.2">
      <c r="A19" s="10">
        <f t="shared" si="0"/>
        <v>10</v>
      </c>
      <c r="B19" s="9"/>
      <c r="C19" s="10"/>
      <c r="D19" s="68"/>
      <c r="E19" s="36"/>
      <c r="F19" s="36"/>
      <c r="G19" s="36"/>
      <c r="H19" s="36"/>
      <c r="I19" s="36"/>
      <c r="J19" s="36"/>
      <c r="K19" s="36"/>
    </row>
    <row r="20" spans="1:11" x14ac:dyDescent="0.2">
      <c r="A20" s="10">
        <f t="shared" si="0"/>
        <v>11</v>
      </c>
      <c r="B20" s="106" t="s">
        <v>176</v>
      </c>
      <c r="C20" s="71"/>
      <c r="D20" s="111"/>
      <c r="E20" s="36"/>
      <c r="F20" s="36"/>
      <c r="G20" s="36"/>
      <c r="H20" s="36"/>
      <c r="I20" s="36"/>
      <c r="J20" s="36"/>
      <c r="K20" s="36"/>
    </row>
    <row r="21" spans="1:11" x14ac:dyDescent="0.2">
      <c r="A21" s="10">
        <f t="shared" si="0"/>
        <v>12</v>
      </c>
      <c r="B21" s="9" t="s">
        <v>172</v>
      </c>
      <c r="C21" s="10" t="s">
        <v>177</v>
      </c>
      <c r="D21" s="108">
        <f>D14/D$18</f>
        <v>283270.26016762113</v>
      </c>
      <c r="E21" s="36"/>
      <c r="F21" s="36"/>
      <c r="G21" s="36"/>
      <c r="H21" s="36"/>
      <c r="I21" s="36"/>
      <c r="J21" s="36"/>
      <c r="K21" s="36"/>
    </row>
    <row r="22" spans="1:11" x14ac:dyDescent="0.2">
      <c r="A22" s="10">
        <f t="shared" si="0"/>
        <v>13</v>
      </c>
      <c r="C22" s="71"/>
      <c r="D22" s="111"/>
      <c r="E22" s="36"/>
      <c r="F22" s="36"/>
      <c r="G22" s="36"/>
      <c r="H22" s="36"/>
      <c r="I22" s="36"/>
      <c r="J22" s="36"/>
      <c r="K22" s="36"/>
    </row>
    <row r="23" spans="1:11" x14ac:dyDescent="0.2">
      <c r="A23" s="10">
        <f t="shared" si="0"/>
        <v>14</v>
      </c>
      <c r="B23" s="9" t="s">
        <v>173</v>
      </c>
      <c r="C23" s="71" t="s">
        <v>178</v>
      </c>
      <c r="D23" s="108">
        <f>SUM(E23:K23)</f>
        <v>283173.66500890395</v>
      </c>
      <c r="E23" s="108">
        <f>$D$21*E$11</f>
        <v>151894.32909630131</v>
      </c>
      <c r="F23" s="108">
        <f t="shared" ref="F23:K23" si="2">$D$21*F$11</f>
        <v>37238.708401635471</v>
      </c>
      <c r="G23" s="108">
        <f t="shared" si="2"/>
        <v>38837.202479761356</v>
      </c>
      <c r="H23" s="108">
        <f t="shared" si="2"/>
        <v>7562.7494059551491</v>
      </c>
      <c r="I23" s="108">
        <f t="shared" si="2"/>
        <v>7259.6502275757939</v>
      </c>
      <c r="J23" s="108">
        <f t="shared" si="2"/>
        <v>24317.335484089435</v>
      </c>
      <c r="K23" s="108">
        <f t="shared" si="2"/>
        <v>16063.689913585458</v>
      </c>
    </row>
    <row r="24" spans="1:11" x14ac:dyDescent="0.2">
      <c r="A24" s="10"/>
      <c r="B24" s="9"/>
      <c r="C24" s="3"/>
      <c r="D24" s="3"/>
      <c r="E24" s="3"/>
      <c r="F24" s="18"/>
      <c r="G24" s="18"/>
      <c r="H24" s="3"/>
      <c r="I24" s="3"/>
      <c r="J24" s="3"/>
      <c r="K24" s="3"/>
    </row>
    <row r="25" spans="1:11" x14ac:dyDescent="0.2">
      <c r="A25" s="10"/>
      <c r="B25" s="3" t="s">
        <v>179</v>
      </c>
      <c r="C25" s="3"/>
      <c r="D25" s="3"/>
      <c r="E25" s="3"/>
      <c r="F25" s="18"/>
      <c r="G25" s="18"/>
      <c r="H25" s="3"/>
      <c r="I25" s="3"/>
      <c r="J25" s="3"/>
      <c r="K25" s="3"/>
    </row>
    <row r="26" spans="1:11" x14ac:dyDescent="0.2">
      <c r="A26" s="10"/>
      <c r="B26" s="3"/>
      <c r="C26" s="3"/>
      <c r="D26" s="3"/>
      <c r="E26" s="3"/>
      <c r="F26" s="18"/>
      <c r="G26" s="18"/>
      <c r="H26" s="3"/>
      <c r="I26" s="3"/>
      <c r="J26" s="3"/>
      <c r="K26" s="3"/>
    </row>
    <row r="27" spans="1:11" x14ac:dyDescent="0.2">
      <c r="A27" s="3"/>
      <c r="B27" s="3"/>
      <c r="C27" s="3"/>
      <c r="D27" s="3"/>
      <c r="E27" s="3"/>
      <c r="F27" s="3"/>
      <c r="G27" s="3"/>
      <c r="H27" s="3"/>
      <c r="I27" s="3"/>
      <c r="J27" s="3"/>
      <c r="K27" s="3"/>
    </row>
    <row r="28" spans="1:11" x14ac:dyDescent="0.2">
      <c r="A28" s="3"/>
      <c r="B28" s="3"/>
      <c r="C28" s="3"/>
      <c r="D28" s="42"/>
      <c r="E28" s="3"/>
      <c r="F28" s="3"/>
      <c r="G28" s="3"/>
      <c r="H28" s="3"/>
      <c r="I28" s="3"/>
      <c r="J28" s="3"/>
      <c r="K28" s="3"/>
    </row>
    <row r="29" spans="1:11" x14ac:dyDescent="0.2">
      <c r="A29" s="3"/>
      <c r="B29" s="3"/>
      <c r="C29" s="3"/>
      <c r="D29" s="3"/>
      <c r="E29" s="3"/>
      <c r="F29" s="3"/>
      <c r="G29" s="3"/>
      <c r="H29" s="3"/>
      <c r="I29" s="3"/>
      <c r="J29" s="3"/>
      <c r="K29" s="3"/>
    </row>
    <row r="30" spans="1:11" x14ac:dyDescent="0.2">
      <c r="A30" s="3"/>
      <c r="B30" s="3"/>
      <c r="C30" s="3"/>
      <c r="D30" s="3"/>
      <c r="E30" s="3"/>
      <c r="F30" s="3"/>
      <c r="G30" s="3"/>
      <c r="H30" s="3"/>
      <c r="I30" s="3"/>
      <c r="J30" s="3"/>
      <c r="K30" s="3"/>
    </row>
    <row r="31" spans="1:11" x14ac:dyDescent="0.2">
      <c r="A31" s="3"/>
      <c r="B31" s="3"/>
      <c r="C31" s="3"/>
      <c r="D31" s="3"/>
      <c r="E31" s="3"/>
      <c r="F31" s="3"/>
      <c r="G31" s="3"/>
      <c r="H31" s="3"/>
      <c r="I31" s="3"/>
      <c r="J31" s="3"/>
      <c r="K31" s="3"/>
    </row>
    <row r="32" spans="1:11" x14ac:dyDescent="0.2">
      <c r="A32" s="3"/>
      <c r="B32" s="3"/>
      <c r="C32" s="3"/>
      <c r="D32" s="3"/>
      <c r="E32" s="3"/>
      <c r="F32" s="3"/>
      <c r="G32" s="3"/>
      <c r="H32" s="3"/>
      <c r="I32" s="3"/>
      <c r="J32" s="3"/>
      <c r="K32" s="3"/>
    </row>
    <row r="33" spans="1:11" x14ac:dyDescent="0.2">
      <c r="A33" s="3"/>
      <c r="B33" s="3"/>
      <c r="C33" s="3"/>
      <c r="D33" s="3"/>
      <c r="E33" s="3"/>
      <c r="F33" s="3"/>
      <c r="G33" s="3"/>
      <c r="H33" s="3"/>
      <c r="I33" s="3"/>
      <c r="J33" s="3"/>
      <c r="K33" s="3"/>
    </row>
    <row r="34" spans="1:11" x14ac:dyDescent="0.2">
      <c r="A34" s="3"/>
      <c r="B34" s="3"/>
      <c r="C34" s="3"/>
      <c r="D34" s="3"/>
      <c r="E34" s="3"/>
      <c r="F34" s="3"/>
      <c r="G34" s="3"/>
      <c r="H34" s="3"/>
      <c r="I34" s="3"/>
      <c r="J34" s="3"/>
      <c r="K34" s="3"/>
    </row>
    <row r="35" spans="1:11" x14ac:dyDescent="0.2">
      <c r="A35" s="3"/>
      <c r="B35" s="3"/>
      <c r="C35" s="3"/>
      <c r="D35" s="3"/>
      <c r="E35" s="3"/>
      <c r="F35" s="3"/>
      <c r="G35" s="3"/>
      <c r="H35" s="3"/>
      <c r="I35" s="3"/>
      <c r="J35" s="3"/>
      <c r="K35" s="3"/>
    </row>
    <row r="36" spans="1:11" x14ac:dyDescent="0.2">
      <c r="A36" s="3"/>
      <c r="B36" s="3"/>
      <c r="C36" s="3"/>
      <c r="D36" s="3"/>
      <c r="E36" s="3"/>
      <c r="F36" s="3"/>
      <c r="G36" s="3"/>
      <c r="H36" s="3"/>
      <c r="I36" s="3"/>
      <c r="J36" s="3"/>
      <c r="K36" s="3"/>
    </row>
    <row r="37" spans="1:11" x14ac:dyDescent="0.2">
      <c r="A37" s="3"/>
      <c r="B37" s="3"/>
      <c r="C37" s="3"/>
      <c r="D37" s="3"/>
      <c r="E37" s="3"/>
      <c r="F37" s="3"/>
      <c r="G37" s="3"/>
      <c r="H37" s="3"/>
      <c r="I37" s="3"/>
      <c r="J37" s="3"/>
      <c r="K37" s="3"/>
    </row>
    <row r="38" spans="1:11" x14ac:dyDescent="0.2">
      <c r="A38" s="3"/>
      <c r="B38" s="3"/>
      <c r="C38" s="3"/>
      <c r="D38" s="3"/>
      <c r="E38" s="3"/>
      <c r="F38" s="3"/>
      <c r="G38" s="3"/>
      <c r="H38" s="3"/>
      <c r="I38" s="3"/>
      <c r="J38" s="3"/>
      <c r="K38" s="3"/>
    </row>
    <row r="39" spans="1:11" x14ac:dyDescent="0.2">
      <c r="A39" s="3"/>
      <c r="B39" s="3"/>
      <c r="C39" s="3"/>
      <c r="D39" s="3"/>
      <c r="E39" s="3"/>
      <c r="F39" s="3"/>
      <c r="G39" s="3"/>
      <c r="H39" s="3"/>
      <c r="I39" s="3"/>
      <c r="J39" s="3"/>
      <c r="K39" s="3"/>
    </row>
    <row r="40" spans="1:11" x14ac:dyDescent="0.2">
      <c r="A40" s="3"/>
      <c r="B40" s="3"/>
      <c r="C40" s="3"/>
      <c r="D40" s="3"/>
      <c r="E40" s="3"/>
      <c r="F40" s="3"/>
      <c r="G40" s="3"/>
      <c r="H40" s="3"/>
      <c r="I40" s="3"/>
      <c r="J40" s="3"/>
      <c r="K40" s="3"/>
    </row>
  </sheetData>
  <mergeCells count="4">
    <mergeCell ref="A1:K1"/>
    <mergeCell ref="A2:K2"/>
    <mergeCell ref="A3:K3"/>
    <mergeCell ref="A4:K4"/>
  </mergeCells>
  <printOptions horizontalCentered="1"/>
  <pageMargins left="0.7" right="0.7" top="0.75" bottom="0.75" header="0.3" footer="0.3"/>
  <pageSetup scale="56" orientation="landscape" blackAndWhite="1" horizontalDpi="1200" verticalDpi="1200" r:id="rId1"/>
  <headerFooter>
    <oddHeader>&amp;RAdvice No. 2018-xx
Workpaper No. 22</oddHeader>
    <oddFooter>&amp;L&amp;F
&amp;A&amp;R&amp;D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5"/>
  <sheetViews>
    <sheetView zoomScaleNormal="100" workbookViewId="0">
      <pane xSplit="1" ySplit="7" topLeftCell="C8" activePane="bottomRight" state="frozen"/>
      <selection activeCell="C48" sqref="C48"/>
      <selection pane="topRight" activeCell="C48" sqref="C48"/>
      <selection pane="bottomLeft" activeCell="C48" sqref="C48"/>
      <selection pane="bottomRight" activeCell="C48" sqref="C48"/>
    </sheetView>
  </sheetViews>
  <sheetFormatPr defaultRowHeight="12.75" x14ac:dyDescent="0.2"/>
  <cols>
    <col min="1" max="1" width="27.7109375" style="46" customWidth="1"/>
    <col min="2" max="14" width="16" style="46" customWidth="1"/>
    <col min="15" max="15" width="9.140625" style="46"/>
    <col min="16" max="16" width="14.28515625" style="46" customWidth="1"/>
    <col min="17" max="17" width="12.28515625" style="46" customWidth="1"/>
    <col min="18" max="16384" width="9.140625" style="46"/>
  </cols>
  <sheetData>
    <row r="1" spans="1:28" x14ac:dyDescent="0.2">
      <c r="A1" s="215" t="s">
        <v>370</v>
      </c>
    </row>
    <row r="2" spans="1:28" x14ac:dyDescent="0.2">
      <c r="A2" s="215" t="s">
        <v>371</v>
      </c>
    </row>
    <row r="4" spans="1:28" x14ac:dyDescent="0.2">
      <c r="A4" s="216"/>
    </row>
    <row r="5" spans="1:28" x14ac:dyDescent="0.2">
      <c r="B5" s="217"/>
      <c r="C5" s="217"/>
      <c r="D5" s="217"/>
      <c r="E5" s="217"/>
      <c r="F5" s="217"/>
      <c r="G5" s="217"/>
      <c r="H5" s="217"/>
      <c r="I5" s="217"/>
      <c r="J5" s="217"/>
      <c r="K5" s="217"/>
      <c r="L5" s="217"/>
      <c r="M5" s="217"/>
    </row>
    <row r="6" spans="1:28" x14ac:dyDescent="0.2">
      <c r="A6" s="218" t="s">
        <v>372</v>
      </c>
    </row>
    <row r="7" spans="1:28" x14ac:dyDescent="0.2">
      <c r="A7" s="215" t="s">
        <v>373</v>
      </c>
      <c r="B7" s="219">
        <v>42736</v>
      </c>
      <c r="C7" s="219">
        <v>42767</v>
      </c>
      <c r="D7" s="219">
        <v>42795</v>
      </c>
      <c r="E7" s="219">
        <v>42826</v>
      </c>
      <c r="F7" s="219">
        <v>42856</v>
      </c>
      <c r="G7" s="219">
        <v>42887</v>
      </c>
      <c r="H7" s="219">
        <v>42917</v>
      </c>
      <c r="I7" s="219">
        <v>42948</v>
      </c>
      <c r="J7" s="219">
        <v>42979</v>
      </c>
      <c r="K7" s="219">
        <v>43009</v>
      </c>
      <c r="L7" s="219">
        <v>43040</v>
      </c>
      <c r="M7" s="219">
        <v>43070</v>
      </c>
      <c r="N7" s="45" t="s">
        <v>374</v>
      </c>
    </row>
    <row r="8" spans="1:28" x14ac:dyDescent="0.2">
      <c r="A8" s="104" t="s">
        <v>375</v>
      </c>
      <c r="B8" s="47">
        <v>1309971221.388473</v>
      </c>
      <c r="C8" s="47">
        <v>1149455278.2932305</v>
      </c>
      <c r="D8" s="47">
        <v>1181438708.5424066</v>
      </c>
      <c r="E8" s="47">
        <v>921331428.71742964</v>
      </c>
      <c r="F8" s="47">
        <v>802400987.55604076</v>
      </c>
      <c r="G8" s="47">
        <v>698684214.82078302</v>
      </c>
      <c r="H8" s="47">
        <v>658674513.47654819</v>
      </c>
      <c r="I8" s="47">
        <v>658813653.85452652</v>
      </c>
      <c r="J8" s="47">
        <v>681453593.6896193</v>
      </c>
      <c r="K8" s="47">
        <v>719206659.63200998</v>
      </c>
      <c r="L8" s="47">
        <v>928984158.71704233</v>
      </c>
      <c r="M8" s="47">
        <v>1093479601.7877347</v>
      </c>
      <c r="N8" s="220">
        <f>SUM(B8:M8)</f>
        <v>10803894020.475845</v>
      </c>
      <c r="P8" s="221"/>
    </row>
    <row r="9" spans="1:28" x14ac:dyDescent="0.2">
      <c r="A9" s="50" t="s">
        <v>121</v>
      </c>
      <c r="B9" s="51">
        <f t="shared" ref="B9:M9" si="0">SUM(B8:B8)</f>
        <v>1309971221.388473</v>
      </c>
      <c r="C9" s="51">
        <f t="shared" si="0"/>
        <v>1149455278.2932305</v>
      </c>
      <c r="D9" s="51">
        <f t="shared" si="0"/>
        <v>1181438708.5424066</v>
      </c>
      <c r="E9" s="51">
        <f t="shared" si="0"/>
        <v>921331428.71742964</v>
      </c>
      <c r="F9" s="51">
        <f t="shared" si="0"/>
        <v>802400987.55604076</v>
      </c>
      <c r="G9" s="51">
        <f t="shared" si="0"/>
        <v>698684214.82078302</v>
      </c>
      <c r="H9" s="51">
        <f t="shared" si="0"/>
        <v>658674513.47654819</v>
      </c>
      <c r="I9" s="51">
        <f t="shared" si="0"/>
        <v>658813653.85452652</v>
      </c>
      <c r="J9" s="51">
        <f t="shared" si="0"/>
        <v>681453593.6896193</v>
      </c>
      <c r="K9" s="51">
        <f t="shared" si="0"/>
        <v>719206659.63200998</v>
      </c>
      <c r="L9" s="51">
        <f t="shared" si="0"/>
        <v>928984158.71704233</v>
      </c>
      <c r="M9" s="51">
        <f t="shared" si="0"/>
        <v>1093479601.7877347</v>
      </c>
      <c r="N9" s="51">
        <f>SUM(B9:M9)</f>
        <v>10803894020.475845</v>
      </c>
      <c r="P9" s="222"/>
      <c r="Q9" s="223"/>
    </row>
    <row r="10" spans="1:28" x14ac:dyDescent="0.2">
      <c r="B10" s="47"/>
      <c r="C10" s="47"/>
      <c r="D10" s="47"/>
      <c r="E10" s="47"/>
      <c r="F10" s="47"/>
      <c r="G10" s="47"/>
      <c r="H10" s="47"/>
      <c r="I10" s="47"/>
      <c r="J10" s="47"/>
      <c r="K10" s="47"/>
      <c r="L10" s="47"/>
      <c r="M10" s="47"/>
      <c r="N10" s="47"/>
      <c r="P10" s="221"/>
      <c r="Q10" s="223"/>
    </row>
    <row r="11" spans="1:28" x14ac:dyDescent="0.2">
      <c r="A11" s="104" t="s">
        <v>376</v>
      </c>
      <c r="B11" s="47">
        <v>29048573.489470717</v>
      </c>
      <c r="C11" s="47">
        <v>27092711.011120602</v>
      </c>
      <c r="D11" s="47">
        <v>27135433.338957585</v>
      </c>
      <c r="E11" s="47">
        <v>22454480.676906008</v>
      </c>
      <c r="F11" s="47">
        <v>19429562.054161765</v>
      </c>
      <c r="G11" s="47">
        <v>18582075.858697519</v>
      </c>
      <c r="H11" s="47">
        <v>17543363.288253058</v>
      </c>
      <c r="I11" s="47">
        <v>18153001.715973862</v>
      </c>
      <c r="J11" s="47">
        <v>18187651.688928064</v>
      </c>
      <c r="K11" s="47">
        <v>18574863.480290234</v>
      </c>
      <c r="L11" s="47">
        <v>21053451.224801086</v>
      </c>
      <c r="M11" s="47">
        <v>24451591.384058606</v>
      </c>
      <c r="N11" s="220">
        <f>SUM(B11:M11)</f>
        <v>261706759.21161911</v>
      </c>
      <c r="P11" s="222"/>
      <c r="Q11" s="223"/>
    </row>
    <row r="12" spans="1:28" s="224" customFormat="1" x14ac:dyDescent="0.2">
      <c r="A12" s="104" t="s">
        <v>377</v>
      </c>
      <c r="B12" s="53">
        <v>253019664.19042614</v>
      </c>
      <c r="C12" s="53">
        <v>233190428.89868486</v>
      </c>
      <c r="D12" s="53">
        <v>247556139.42921519</v>
      </c>
      <c r="E12" s="53">
        <v>207853803.21396983</v>
      </c>
      <c r="F12" s="53">
        <v>202139425.15180105</v>
      </c>
      <c r="G12" s="53">
        <v>198723255.8512544</v>
      </c>
      <c r="H12" s="53">
        <v>196874899.72912109</v>
      </c>
      <c r="I12" s="53">
        <v>203881888.10068712</v>
      </c>
      <c r="J12" s="53">
        <v>205655656.98167974</v>
      </c>
      <c r="K12" s="53">
        <v>197889142.57358605</v>
      </c>
      <c r="L12" s="53">
        <v>211507319.81204954</v>
      </c>
      <c r="M12" s="53">
        <v>224943495.01684758</v>
      </c>
      <c r="N12" s="53">
        <f>SUM(B12:M12)</f>
        <v>2583235118.9493227</v>
      </c>
      <c r="P12" s="222"/>
      <c r="Q12" s="223"/>
      <c r="R12" s="225"/>
      <c r="S12" s="225"/>
      <c r="T12" s="225"/>
      <c r="U12" s="225"/>
      <c r="V12" s="225"/>
      <c r="W12" s="225"/>
      <c r="X12" s="225"/>
      <c r="Y12" s="225"/>
      <c r="Z12" s="225"/>
      <c r="AA12" s="225"/>
      <c r="AB12" s="225"/>
    </row>
    <row r="13" spans="1:28" x14ac:dyDescent="0.2">
      <c r="A13" s="50" t="s">
        <v>378</v>
      </c>
      <c r="B13" s="51">
        <f t="shared" ref="B13:M13" si="1">SUM(B11:B12)</f>
        <v>282068237.67989683</v>
      </c>
      <c r="C13" s="51">
        <f t="shared" si="1"/>
        <v>260283139.90980548</v>
      </c>
      <c r="D13" s="51">
        <f t="shared" si="1"/>
        <v>274691572.7681728</v>
      </c>
      <c r="E13" s="51">
        <f t="shared" si="1"/>
        <v>230308283.89087585</v>
      </c>
      <c r="F13" s="51">
        <f t="shared" si="1"/>
        <v>221568987.20596281</v>
      </c>
      <c r="G13" s="51">
        <f t="shared" si="1"/>
        <v>217305331.70995194</v>
      </c>
      <c r="H13" s="51">
        <f t="shared" si="1"/>
        <v>214418263.01737416</v>
      </c>
      <c r="I13" s="51">
        <f t="shared" si="1"/>
        <v>222034889.81666097</v>
      </c>
      <c r="J13" s="51">
        <f t="shared" si="1"/>
        <v>223843308.67060781</v>
      </c>
      <c r="K13" s="51">
        <f t="shared" si="1"/>
        <v>216464006.05387628</v>
      </c>
      <c r="L13" s="51">
        <f t="shared" si="1"/>
        <v>232560771.03685063</v>
      </c>
      <c r="M13" s="51">
        <f t="shared" si="1"/>
        <v>249395086.40090618</v>
      </c>
      <c r="N13" s="51">
        <f>SUM(B13:M13)</f>
        <v>2844941878.1609411</v>
      </c>
      <c r="P13" s="222"/>
      <c r="Q13" s="223"/>
    </row>
    <row r="14" spans="1:28" x14ac:dyDescent="0.2">
      <c r="B14" s="47"/>
      <c r="C14" s="47"/>
      <c r="D14" s="47"/>
      <c r="E14" s="47"/>
      <c r="F14" s="47"/>
      <c r="G14" s="47"/>
      <c r="H14" s="47"/>
      <c r="I14" s="47"/>
      <c r="J14" s="47"/>
      <c r="K14" s="47"/>
      <c r="L14" s="47"/>
      <c r="M14" s="47"/>
      <c r="N14" s="220"/>
      <c r="P14" s="221"/>
      <c r="Q14" s="223"/>
      <c r="R14" s="226"/>
      <c r="S14" s="226"/>
      <c r="T14" s="226"/>
      <c r="U14" s="226"/>
      <c r="V14" s="226"/>
      <c r="W14" s="226"/>
      <c r="X14" s="226"/>
      <c r="Y14" s="226"/>
      <c r="Z14" s="226"/>
      <c r="AA14" s="226"/>
      <c r="AB14" s="226"/>
    </row>
    <row r="15" spans="1:28" x14ac:dyDescent="0.2">
      <c r="A15" s="104" t="s">
        <v>379</v>
      </c>
      <c r="B15" s="47">
        <v>16006221.686035838</v>
      </c>
      <c r="C15" s="47">
        <v>14554412.09033714</v>
      </c>
      <c r="D15" s="47">
        <v>14527472.27268216</v>
      </c>
      <c r="E15" s="47">
        <v>12483089.009905124</v>
      </c>
      <c r="F15" s="47">
        <v>11376312.296633318</v>
      </c>
      <c r="G15" s="47">
        <v>10909941.663687881</v>
      </c>
      <c r="H15" s="47">
        <v>10776579.690240594</v>
      </c>
      <c r="I15" s="47">
        <v>11185678.165622167</v>
      </c>
      <c r="J15" s="47">
        <v>11294676.491838042</v>
      </c>
      <c r="K15" s="47">
        <v>11333976.883918718</v>
      </c>
      <c r="L15" s="47">
        <v>12620391.339671781</v>
      </c>
      <c r="M15" s="47">
        <v>13834955.983846942</v>
      </c>
      <c r="N15" s="220">
        <f>SUM(B15:M15)</f>
        <v>150903707.57441968</v>
      </c>
      <c r="P15" s="222"/>
      <c r="Q15" s="223"/>
    </row>
    <row r="16" spans="1:28" s="224" customFormat="1" x14ac:dyDescent="0.2">
      <c r="A16" s="104" t="s">
        <v>380</v>
      </c>
      <c r="B16" s="53">
        <v>242626190.28613469</v>
      </c>
      <c r="C16" s="53">
        <v>230308217.30686247</v>
      </c>
      <c r="D16" s="53">
        <v>253198229.93764821</v>
      </c>
      <c r="E16" s="53">
        <v>214347272.02704525</v>
      </c>
      <c r="F16" s="53">
        <v>219884906.89652354</v>
      </c>
      <c r="G16" s="53">
        <v>224936057.73829308</v>
      </c>
      <c r="H16" s="53">
        <v>221611669.57308105</v>
      </c>
      <c r="I16" s="53">
        <v>225702725.22409561</v>
      </c>
      <c r="J16" s="53">
        <v>228993036.17286181</v>
      </c>
      <c r="K16" s="53">
        <v>223853998.13960552</v>
      </c>
      <c r="L16" s="53">
        <v>226657684.893657</v>
      </c>
      <c r="M16" s="53">
        <v>237824389.41290572</v>
      </c>
      <c r="N16" s="53">
        <f>SUM(B16:M16)</f>
        <v>2749944377.6087141</v>
      </c>
      <c r="P16" s="222"/>
      <c r="Q16" s="223"/>
      <c r="R16" s="225"/>
      <c r="S16" s="225"/>
      <c r="T16" s="225"/>
      <c r="U16" s="225"/>
      <c r="V16" s="225"/>
      <c r="W16" s="225"/>
      <c r="X16" s="225"/>
      <c r="Y16" s="225"/>
      <c r="Z16" s="225"/>
      <c r="AA16" s="225"/>
      <c r="AB16" s="225"/>
    </row>
    <row r="17" spans="1:28" x14ac:dyDescent="0.2">
      <c r="A17" s="50" t="s">
        <v>381</v>
      </c>
      <c r="B17" s="51">
        <f t="shared" ref="B17:M17" si="2">SUM(B15:B16)</f>
        <v>258632411.97217053</v>
      </c>
      <c r="C17" s="51">
        <f t="shared" si="2"/>
        <v>244862629.3971996</v>
      </c>
      <c r="D17" s="51">
        <f t="shared" si="2"/>
        <v>267725702.21033037</v>
      </c>
      <c r="E17" s="51">
        <f t="shared" si="2"/>
        <v>226830361.03695038</v>
      </c>
      <c r="F17" s="51">
        <f t="shared" si="2"/>
        <v>231261219.19315684</v>
      </c>
      <c r="G17" s="51">
        <f t="shared" si="2"/>
        <v>235845999.40198097</v>
      </c>
      <c r="H17" s="51">
        <f t="shared" si="2"/>
        <v>232388249.26332164</v>
      </c>
      <c r="I17" s="51">
        <f t="shared" si="2"/>
        <v>236888403.38971779</v>
      </c>
      <c r="J17" s="51">
        <f t="shared" si="2"/>
        <v>240287712.66469985</v>
      </c>
      <c r="K17" s="51">
        <f t="shared" si="2"/>
        <v>235187975.02352422</v>
      </c>
      <c r="L17" s="51">
        <f t="shared" si="2"/>
        <v>239278076.23332879</v>
      </c>
      <c r="M17" s="51">
        <f t="shared" si="2"/>
        <v>251659345.39675266</v>
      </c>
      <c r="N17" s="51">
        <f>SUM(B17:M17)</f>
        <v>2900848085.1831341</v>
      </c>
      <c r="P17" s="222"/>
      <c r="Q17" s="223"/>
    </row>
    <row r="18" spans="1:28" x14ac:dyDescent="0.2">
      <c r="B18" s="47"/>
      <c r="C18" s="47"/>
      <c r="D18" s="47"/>
      <c r="E18" s="47"/>
      <c r="F18" s="47"/>
      <c r="G18" s="47"/>
      <c r="H18" s="47"/>
      <c r="I18" s="47"/>
      <c r="J18" s="47"/>
      <c r="K18" s="47"/>
      <c r="L18" s="47"/>
      <c r="M18" s="47"/>
      <c r="N18" s="220"/>
      <c r="P18" s="221"/>
      <c r="Q18" s="223"/>
      <c r="R18" s="226"/>
      <c r="S18" s="226"/>
      <c r="T18" s="226"/>
      <c r="U18" s="226"/>
      <c r="V18" s="226"/>
      <c r="W18" s="226"/>
      <c r="X18" s="226"/>
      <c r="Y18" s="226"/>
      <c r="Z18" s="226"/>
      <c r="AA18" s="226"/>
      <c r="AB18" s="226"/>
    </row>
    <row r="19" spans="1:28" x14ac:dyDescent="0.2">
      <c r="A19" s="104" t="s">
        <v>382</v>
      </c>
      <c r="B19" s="47">
        <v>1643408.8032395148</v>
      </c>
      <c r="C19" s="47">
        <v>1700372.9706279254</v>
      </c>
      <c r="D19" s="47">
        <v>1494877.6930536586</v>
      </c>
      <c r="E19" s="47">
        <v>1606817.6897527885</v>
      </c>
      <c r="F19" s="47">
        <v>1288714.4245565925</v>
      </c>
      <c r="G19" s="47">
        <v>1133764.5575422843</v>
      </c>
      <c r="H19" s="47">
        <v>1328844.6454669344</v>
      </c>
      <c r="I19" s="47">
        <v>1844898.4527236605</v>
      </c>
      <c r="J19" s="47">
        <v>1354276.1529763616</v>
      </c>
      <c r="K19" s="47">
        <v>1238751.456859499</v>
      </c>
      <c r="L19" s="47">
        <v>1301504.3060037459</v>
      </c>
      <c r="M19" s="47">
        <v>1461447.869894943</v>
      </c>
      <c r="N19" s="220">
        <f>SUM(B19:M19)</f>
        <v>17397679.022697907</v>
      </c>
      <c r="P19" s="222"/>
      <c r="Q19" s="223"/>
    </row>
    <row r="20" spans="1:28" s="224" customFormat="1" x14ac:dyDescent="0.2">
      <c r="A20" s="104" t="s">
        <v>383</v>
      </c>
      <c r="B20" s="53">
        <v>157923417.99632317</v>
      </c>
      <c r="C20" s="53">
        <v>151880322.79051653</v>
      </c>
      <c r="D20" s="53">
        <v>163321701.40747863</v>
      </c>
      <c r="E20" s="53">
        <v>145098589.53975004</v>
      </c>
      <c r="F20" s="53">
        <v>150260639.38993186</v>
      </c>
      <c r="G20" s="53">
        <v>154755153.14708531</v>
      </c>
      <c r="H20" s="53">
        <v>153969356.6079337</v>
      </c>
      <c r="I20" s="53">
        <v>159804774.5672541</v>
      </c>
      <c r="J20" s="53">
        <v>160036537.2423524</v>
      </c>
      <c r="K20" s="53">
        <v>154219237.44256884</v>
      </c>
      <c r="L20" s="53">
        <v>150530992.22768667</v>
      </c>
      <c r="M20" s="53">
        <v>152590807.18539104</v>
      </c>
      <c r="N20" s="53">
        <f>SUM(B20:M20)</f>
        <v>1854391529.5442722</v>
      </c>
      <c r="P20" s="222"/>
      <c r="Q20" s="223"/>
      <c r="R20" s="225"/>
      <c r="S20" s="225"/>
      <c r="T20" s="225"/>
      <c r="U20" s="225"/>
      <c r="V20" s="225"/>
      <c r="W20" s="225"/>
      <c r="X20" s="225"/>
      <c r="Y20" s="225"/>
      <c r="Z20" s="225"/>
      <c r="AA20" s="225"/>
      <c r="AB20" s="225"/>
    </row>
    <row r="21" spans="1:28" x14ac:dyDescent="0.2">
      <c r="A21" s="50" t="s">
        <v>384</v>
      </c>
      <c r="B21" s="51">
        <f t="shared" ref="B21:M21" si="3">SUM(B19:B20)</f>
        <v>159566826.79956269</v>
      </c>
      <c r="C21" s="51">
        <f t="shared" si="3"/>
        <v>153580695.76114446</v>
      </c>
      <c r="D21" s="51">
        <f t="shared" si="3"/>
        <v>164816579.10053229</v>
      </c>
      <c r="E21" s="51">
        <f t="shared" si="3"/>
        <v>146705407.22950283</v>
      </c>
      <c r="F21" s="51">
        <f t="shared" si="3"/>
        <v>151549353.81448844</v>
      </c>
      <c r="G21" s="51">
        <f t="shared" si="3"/>
        <v>155888917.7046276</v>
      </c>
      <c r="H21" s="51">
        <f t="shared" si="3"/>
        <v>155298201.25340062</v>
      </c>
      <c r="I21" s="51">
        <f t="shared" si="3"/>
        <v>161649673.01997775</v>
      </c>
      <c r="J21" s="51">
        <f t="shared" si="3"/>
        <v>161390813.39532876</v>
      </c>
      <c r="K21" s="51">
        <f t="shared" si="3"/>
        <v>155457988.89942834</v>
      </c>
      <c r="L21" s="51">
        <f t="shared" si="3"/>
        <v>151832496.53369042</v>
      </c>
      <c r="M21" s="51">
        <f t="shared" si="3"/>
        <v>154052255.05528599</v>
      </c>
      <c r="N21" s="51">
        <f>SUM(B21:M21)</f>
        <v>1871789208.5669703</v>
      </c>
      <c r="P21" s="222"/>
      <c r="Q21" s="223"/>
    </row>
    <row r="22" spans="1:28" x14ac:dyDescent="0.2">
      <c r="B22" s="47"/>
      <c r="C22" s="47"/>
      <c r="D22" s="47"/>
      <c r="E22" s="47"/>
      <c r="F22" s="47"/>
      <c r="G22" s="47"/>
      <c r="H22" s="47"/>
      <c r="I22" s="47"/>
      <c r="J22" s="47"/>
      <c r="K22" s="47"/>
      <c r="L22" s="47"/>
      <c r="M22" s="47"/>
      <c r="N22" s="220"/>
      <c r="P22" s="221"/>
      <c r="Q22" s="223"/>
      <c r="R22" s="226"/>
      <c r="S22" s="226"/>
      <c r="T22" s="226"/>
      <c r="U22" s="226"/>
      <c r="V22" s="226"/>
      <c r="W22" s="226"/>
      <c r="X22" s="226"/>
      <c r="Y22" s="226"/>
      <c r="Z22" s="226"/>
      <c r="AA22" s="226"/>
      <c r="AB22" s="226"/>
    </row>
    <row r="23" spans="1:28" x14ac:dyDescent="0.2">
      <c r="A23" s="104" t="s">
        <v>385</v>
      </c>
      <c r="B23" s="47">
        <v>3207751.6263176808</v>
      </c>
      <c r="C23" s="47">
        <v>3212772.7571871318</v>
      </c>
      <c r="D23" s="47">
        <v>3338472.3302491535</v>
      </c>
      <c r="E23" s="47">
        <v>2790093.047453701</v>
      </c>
      <c r="F23" s="47">
        <v>2543611.0989926946</v>
      </c>
      <c r="G23" s="47">
        <v>2368610.9838132737</v>
      </c>
      <c r="H23" s="47">
        <v>2320022.7203490054</v>
      </c>
      <c r="I23" s="47">
        <v>2221833.3105481104</v>
      </c>
      <c r="J23" s="47">
        <v>2355328.7301695701</v>
      </c>
      <c r="K23" s="47">
        <v>2389512.2268790691</v>
      </c>
      <c r="L23" s="47">
        <v>2485704.393243297</v>
      </c>
      <c r="M23" s="47">
        <v>2772832.3465231792</v>
      </c>
      <c r="N23" s="220">
        <f>SUM(B23:M23)</f>
        <v>32006545.571725868</v>
      </c>
      <c r="P23" s="222"/>
      <c r="Q23" s="223"/>
    </row>
    <row r="24" spans="1:28" s="224" customFormat="1" x14ac:dyDescent="0.2">
      <c r="A24" s="104" t="s">
        <v>386</v>
      </c>
      <c r="B24" s="53">
        <v>106810964.96045849</v>
      </c>
      <c r="C24" s="53">
        <v>109535645.65637967</v>
      </c>
      <c r="D24" s="53">
        <v>113105722.42964263</v>
      </c>
      <c r="E24" s="53">
        <v>107484890.68363167</v>
      </c>
      <c r="F24" s="53">
        <v>104923492.17517577</v>
      </c>
      <c r="G24" s="53">
        <v>108043185.79290642</v>
      </c>
      <c r="H24" s="53">
        <v>99300732.184980899</v>
      </c>
      <c r="I24" s="53">
        <v>109274124.54784101</v>
      </c>
      <c r="J24" s="53">
        <v>106753155.98269022</v>
      </c>
      <c r="K24" s="53">
        <v>109530558.52419171</v>
      </c>
      <c r="L24" s="53">
        <v>101327757.70293364</v>
      </c>
      <c r="M24" s="53">
        <v>105113610.25952415</v>
      </c>
      <c r="N24" s="53">
        <f>SUM(B24:M24)</f>
        <v>1281203840.9003561</v>
      </c>
      <c r="P24" s="222"/>
      <c r="Q24" s="223"/>
    </row>
    <row r="25" spans="1:28" x14ac:dyDescent="0.2">
      <c r="A25" s="50" t="s">
        <v>387</v>
      </c>
      <c r="B25" s="51">
        <f t="shared" ref="B25:M25" si="4">SUM(B23:B24)</f>
        <v>110018716.58677617</v>
      </c>
      <c r="C25" s="51">
        <f t="shared" si="4"/>
        <v>112748418.4135668</v>
      </c>
      <c r="D25" s="51">
        <f t="shared" si="4"/>
        <v>116444194.75989179</v>
      </c>
      <c r="E25" s="51">
        <f t="shared" si="4"/>
        <v>110274983.73108537</v>
      </c>
      <c r="F25" s="51">
        <f t="shared" si="4"/>
        <v>107467103.27416846</v>
      </c>
      <c r="G25" s="51">
        <f t="shared" si="4"/>
        <v>110411796.77671969</v>
      </c>
      <c r="H25" s="51">
        <f t="shared" si="4"/>
        <v>101620754.9053299</v>
      </c>
      <c r="I25" s="51">
        <f t="shared" si="4"/>
        <v>111495957.85838912</v>
      </c>
      <c r="J25" s="51">
        <f t="shared" si="4"/>
        <v>109108484.71285978</v>
      </c>
      <c r="K25" s="51">
        <f t="shared" si="4"/>
        <v>111920070.75107078</v>
      </c>
      <c r="L25" s="51">
        <f t="shared" si="4"/>
        <v>103813462.09617694</v>
      </c>
      <c r="M25" s="51">
        <f t="shared" si="4"/>
        <v>107886442.60604733</v>
      </c>
      <c r="N25" s="51">
        <f>SUM(N23:N24)</f>
        <v>1313210386.4720819</v>
      </c>
      <c r="P25" s="222"/>
      <c r="Q25" s="223"/>
    </row>
    <row r="26" spans="1:28" x14ac:dyDescent="0.2">
      <c r="B26" s="47"/>
      <c r="C26" s="47"/>
      <c r="D26" s="47"/>
      <c r="E26" s="47"/>
      <c r="F26" s="47"/>
      <c r="G26" s="47"/>
      <c r="H26" s="47"/>
      <c r="I26" s="47"/>
      <c r="J26" s="47"/>
      <c r="K26" s="47"/>
      <c r="L26" s="47"/>
      <c r="M26" s="47"/>
      <c r="N26" s="220"/>
      <c r="P26" s="221"/>
      <c r="Q26" s="223"/>
    </row>
    <row r="27" spans="1:28" x14ac:dyDescent="0.2">
      <c r="A27" s="50" t="s">
        <v>388</v>
      </c>
      <c r="B27" s="47">
        <v>261450.65400000001</v>
      </c>
      <c r="C27" s="47">
        <v>230414.712</v>
      </c>
      <c r="D27" s="47">
        <v>250140.027</v>
      </c>
      <c r="E27" s="47">
        <v>243224.34299999999</v>
      </c>
      <c r="F27" s="47">
        <v>403861.72200000001</v>
      </c>
      <c r="G27" s="47">
        <v>1045681.6638982329</v>
      </c>
      <c r="H27" s="47">
        <v>2328156.7911858237</v>
      </c>
      <c r="I27" s="47">
        <v>3992407.1712656985</v>
      </c>
      <c r="J27" s="47">
        <v>3525454.561617746</v>
      </c>
      <c r="K27" s="47">
        <v>1543509.81</v>
      </c>
      <c r="L27" s="47">
        <v>346375.08299999998</v>
      </c>
      <c r="M27" s="47">
        <v>205569.367</v>
      </c>
      <c r="N27" s="220">
        <f t="shared" ref="N27:N30" si="5">SUM(B27:M27)</f>
        <v>14376245.905967504</v>
      </c>
      <c r="P27" s="222"/>
      <c r="Q27" s="223"/>
    </row>
    <row r="28" spans="1:28" x14ac:dyDescent="0.2">
      <c r="A28" s="50" t="s">
        <v>389</v>
      </c>
      <c r="B28" s="47">
        <v>56535826.724061377</v>
      </c>
      <c r="C28" s="47">
        <v>49768077.763657287</v>
      </c>
      <c r="D28" s="47">
        <v>51883938.3625369</v>
      </c>
      <c r="E28" s="47">
        <v>46552219.153936379</v>
      </c>
      <c r="F28" s="47">
        <v>46341976.790178865</v>
      </c>
      <c r="G28" s="47">
        <v>50158845.914856829</v>
      </c>
      <c r="H28" s="47">
        <v>49870083.449338317</v>
      </c>
      <c r="I28" s="47">
        <v>49047738.409360357</v>
      </c>
      <c r="J28" s="47">
        <v>49884119.088857777</v>
      </c>
      <c r="K28" s="47">
        <v>48663657.419437096</v>
      </c>
      <c r="L28" s="47">
        <v>42306826.226782486</v>
      </c>
      <c r="M28" s="47">
        <v>48008249.539280318</v>
      </c>
      <c r="N28" s="220">
        <f t="shared" si="5"/>
        <v>589021558.84228396</v>
      </c>
      <c r="P28" s="222"/>
      <c r="Q28" s="223"/>
    </row>
    <row r="29" spans="1:28" s="64" customFormat="1" x14ac:dyDescent="0.2">
      <c r="A29" s="227" t="s">
        <v>390</v>
      </c>
      <c r="B29" s="47">
        <v>13164973.711563468</v>
      </c>
      <c r="C29" s="47">
        <v>15946938.001801016</v>
      </c>
      <c r="D29" s="47">
        <v>17571955.324937694</v>
      </c>
      <c r="E29" s="47">
        <v>12359719.531756025</v>
      </c>
      <c r="F29" s="47">
        <v>10076522.178438982</v>
      </c>
      <c r="G29" s="47">
        <v>8777983.3408971783</v>
      </c>
      <c r="H29" s="47">
        <v>6487316.735755275</v>
      </c>
      <c r="I29" s="47">
        <v>4976338.2230755351</v>
      </c>
      <c r="J29" s="47">
        <v>5677747.8044299232</v>
      </c>
      <c r="K29" s="47">
        <v>7995411.0430061752</v>
      </c>
      <c r="L29" s="47">
        <v>10218285.767696336</v>
      </c>
      <c r="M29" s="47">
        <v>12251337.880011858</v>
      </c>
      <c r="N29" s="177">
        <f t="shared" si="5"/>
        <v>125504529.54336946</v>
      </c>
      <c r="P29" s="222"/>
      <c r="Q29" s="223"/>
    </row>
    <row r="30" spans="1:28" x14ac:dyDescent="0.2">
      <c r="A30" s="50" t="s">
        <v>391</v>
      </c>
      <c r="B30" s="47">
        <v>787683.53272215975</v>
      </c>
      <c r="C30" s="47">
        <v>1263923.8242125495</v>
      </c>
      <c r="D30" s="47">
        <v>960067.56648471381</v>
      </c>
      <c r="E30" s="47">
        <v>790557.73014668189</v>
      </c>
      <c r="F30" s="47">
        <v>634379.45705192268</v>
      </c>
      <c r="G30" s="47">
        <v>445698.27005824522</v>
      </c>
      <c r="H30" s="47">
        <v>319578.3711874641</v>
      </c>
      <c r="I30" s="47">
        <v>274103.55462205806</v>
      </c>
      <c r="J30" s="47">
        <v>264549.5264679463</v>
      </c>
      <c r="K30" s="47">
        <v>353623.56968107546</v>
      </c>
      <c r="L30" s="47">
        <v>566991.11948924279</v>
      </c>
      <c r="M30" s="47">
        <v>783326.56778126454</v>
      </c>
      <c r="N30" s="220">
        <f t="shared" si="5"/>
        <v>7444483.0899053244</v>
      </c>
      <c r="P30" s="222"/>
      <c r="Q30" s="223"/>
    </row>
    <row r="31" spans="1:28" x14ac:dyDescent="0.2">
      <c r="B31" s="47"/>
      <c r="C31" s="47"/>
      <c r="D31" s="47"/>
      <c r="E31" s="47"/>
      <c r="F31" s="47"/>
      <c r="G31" s="47"/>
      <c r="H31" s="47"/>
      <c r="I31" s="47"/>
      <c r="J31" s="47"/>
      <c r="K31" s="47"/>
      <c r="L31" s="47"/>
      <c r="M31" s="47"/>
      <c r="N31" s="47"/>
      <c r="P31" s="221"/>
      <c r="Q31" s="223"/>
    </row>
    <row r="32" spans="1:28" x14ac:dyDescent="0.2">
      <c r="A32" s="50" t="s">
        <v>84</v>
      </c>
      <c r="B32" s="51">
        <f t="shared" ref="B32:N32" si="6">SUM(B9,B13,B17,B21,B25,B27:B30)</f>
        <v>2191007349.0492263</v>
      </c>
      <c r="C32" s="51">
        <f t="shared" si="6"/>
        <v>1988139516.0766177</v>
      </c>
      <c r="D32" s="51">
        <f t="shared" si="6"/>
        <v>2075782858.662293</v>
      </c>
      <c r="E32" s="51">
        <f t="shared" si="6"/>
        <v>1695396185.3646829</v>
      </c>
      <c r="F32" s="51">
        <f t="shared" si="6"/>
        <v>1571704391.1914868</v>
      </c>
      <c r="G32" s="51">
        <f t="shared" si="6"/>
        <v>1478564469.6037734</v>
      </c>
      <c r="H32" s="51">
        <f t="shared" si="6"/>
        <v>1421405117.2634416</v>
      </c>
      <c r="I32" s="51">
        <f t="shared" si="6"/>
        <v>1449173165.297596</v>
      </c>
      <c r="J32" s="51">
        <f t="shared" si="6"/>
        <v>1475435784.1144893</v>
      </c>
      <c r="K32" s="51">
        <f t="shared" si="6"/>
        <v>1496792902.202034</v>
      </c>
      <c r="L32" s="51">
        <f t="shared" si="6"/>
        <v>1709907442.8140571</v>
      </c>
      <c r="M32" s="51">
        <f t="shared" si="6"/>
        <v>1917721214.6008003</v>
      </c>
      <c r="N32" s="51">
        <f t="shared" si="6"/>
        <v>20471030396.240498</v>
      </c>
      <c r="O32" s="47"/>
      <c r="P32" s="222"/>
      <c r="Q32" s="223"/>
    </row>
    <row r="33" spans="1:16" x14ac:dyDescent="0.2">
      <c r="A33" s="50"/>
      <c r="B33" s="47"/>
      <c r="C33" s="47"/>
      <c r="D33" s="47"/>
      <c r="E33" s="47"/>
      <c r="F33" s="47"/>
      <c r="G33" s="47"/>
      <c r="H33" s="47"/>
      <c r="I33" s="47"/>
      <c r="J33" s="47"/>
      <c r="K33" s="47"/>
      <c r="L33" s="47"/>
      <c r="M33" s="47"/>
      <c r="N33" s="47"/>
      <c r="O33" s="47"/>
    </row>
    <row r="34" spans="1:16" x14ac:dyDescent="0.2">
      <c r="A34" s="46" t="s">
        <v>392</v>
      </c>
      <c r="B34" s="49">
        <v>-4.6113563350169584E-2</v>
      </c>
      <c r="C34" s="49">
        <v>-2.5754953220444077E-2</v>
      </c>
      <c r="D34" s="49">
        <v>-4.0435389028159463E-3</v>
      </c>
      <c r="E34" s="49">
        <v>6.1913448051895692E-3</v>
      </c>
      <c r="F34" s="49">
        <v>-2.9847861631170369E-3</v>
      </c>
      <c r="G34" s="49">
        <v>-5.0139554178950663E-3</v>
      </c>
      <c r="H34" s="49">
        <v>-6.8862058420220418E-3</v>
      </c>
      <c r="I34" s="49">
        <v>-3.3628423991421519E-2</v>
      </c>
      <c r="J34" s="49">
        <v>-9.4504103062819089E-3</v>
      </c>
      <c r="K34" s="49">
        <v>-1.1291794082005646E-3</v>
      </c>
      <c r="L34" s="49">
        <v>1.1335666977654313E-2</v>
      </c>
      <c r="M34" s="49">
        <v>-1.2905339040311214E-2</v>
      </c>
      <c r="N34" s="49">
        <v>-1.2093143111389426E-2</v>
      </c>
      <c r="P34" s="228"/>
    </row>
    <row r="35" spans="1:16" x14ac:dyDescent="0.2">
      <c r="B35" s="47"/>
      <c r="C35" s="47"/>
      <c r="D35" s="47"/>
      <c r="E35" s="47"/>
      <c r="F35" s="47"/>
      <c r="G35" s="47"/>
      <c r="H35" s="47"/>
      <c r="I35" s="47"/>
      <c r="J35" s="47"/>
      <c r="K35" s="47"/>
      <c r="L35" s="47"/>
      <c r="M35" s="47"/>
      <c r="N35" s="47"/>
    </row>
    <row r="36" spans="1:16" x14ac:dyDescent="0.2">
      <c r="A36" s="218" t="s">
        <v>393</v>
      </c>
      <c r="B36" s="47"/>
      <c r="C36" s="47"/>
      <c r="D36" s="47"/>
      <c r="E36" s="47"/>
      <c r="F36" s="47"/>
      <c r="G36" s="47"/>
      <c r="H36" s="47"/>
      <c r="I36" s="47"/>
      <c r="J36" s="47"/>
      <c r="K36" s="47"/>
      <c r="L36" s="47"/>
      <c r="M36" s="47"/>
      <c r="N36" s="47"/>
    </row>
    <row r="37" spans="1:16" x14ac:dyDescent="0.2">
      <c r="A37" s="215" t="s">
        <v>373</v>
      </c>
      <c r="B37" s="219">
        <f t="shared" ref="B37:M37" si="7">B7</f>
        <v>42736</v>
      </c>
      <c r="C37" s="219">
        <f t="shared" si="7"/>
        <v>42767</v>
      </c>
      <c r="D37" s="219">
        <f t="shared" si="7"/>
        <v>42795</v>
      </c>
      <c r="E37" s="219">
        <f t="shared" si="7"/>
        <v>42826</v>
      </c>
      <c r="F37" s="219">
        <f t="shared" si="7"/>
        <v>42856</v>
      </c>
      <c r="G37" s="219">
        <f t="shared" si="7"/>
        <v>42887</v>
      </c>
      <c r="H37" s="219">
        <f t="shared" si="7"/>
        <v>42917</v>
      </c>
      <c r="I37" s="219">
        <f t="shared" si="7"/>
        <v>42948</v>
      </c>
      <c r="J37" s="219">
        <f t="shared" si="7"/>
        <v>42979</v>
      </c>
      <c r="K37" s="219">
        <f t="shared" si="7"/>
        <v>43009</v>
      </c>
      <c r="L37" s="219">
        <f t="shared" si="7"/>
        <v>43040</v>
      </c>
      <c r="M37" s="219">
        <f t="shared" si="7"/>
        <v>43070</v>
      </c>
      <c r="N37" s="45" t="s">
        <v>374</v>
      </c>
    </row>
    <row r="38" spans="1:16" x14ac:dyDescent="0.2">
      <c r="A38" s="50" t="s">
        <v>123</v>
      </c>
      <c r="B38" s="47">
        <v>6167178.5480000004</v>
      </c>
      <c r="C38" s="47">
        <v>6496896.8389999997</v>
      </c>
      <c r="D38" s="47">
        <v>6381715.2470000004</v>
      </c>
      <c r="E38" s="47">
        <v>5869486.3530000001</v>
      </c>
      <c r="F38" s="47">
        <v>6417645.8229999999</v>
      </c>
      <c r="G38" s="47">
        <v>5948139.5710000005</v>
      </c>
      <c r="H38" s="47">
        <v>5603974.716</v>
      </c>
      <c r="I38" s="47">
        <v>6166496.4989999998</v>
      </c>
      <c r="J38" s="47">
        <v>5741176.2850000001</v>
      </c>
      <c r="K38" s="47">
        <v>6157825.6359999999</v>
      </c>
      <c r="L38" s="47">
        <v>5712703.4900000002</v>
      </c>
      <c r="M38" s="47">
        <v>6172147.8329999996</v>
      </c>
      <c r="N38" s="47">
        <f>SUM(B38:M38)</f>
        <v>72835386.840000004</v>
      </c>
    </row>
    <row r="39" spans="1:16" x14ac:dyDescent="0.2">
      <c r="A39" s="50" t="s">
        <v>394</v>
      </c>
      <c r="B39" s="47">
        <v>44941413.318000004</v>
      </c>
      <c r="C39" s="47">
        <v>57077216.847000003</v>
      </c>
      <c r="D39" s="47">
        <v>47641471.173</v>
      </c>
      <c r="E39" s="47">
        <v>53676137.343000002</v>
      </c>
      <c r="F39" s="47">
        <v>49111634.311999999</v>
      </c>
      <c r="G39" s="47">
        <v>52102885.515000001</v>
      </c>
      <c r="H39" s="47">
        <v>50982145.237999998</v>
      </c>
      <c r="I39" s="47">
        <v>55577022.233000003</v>
      </c>
      <c r="J39" s="47">
        <v>55220358.689999998</v>
      </c>
      <c r="K39" s="47">
        <v>53158183.479000002</v>
      </c>
      <c r="L39" s="47">
        <v>55187671.693000004</v>
      </c>
      <c r="M39" s="47">
        <v>49183661.733000003</v>
      </c>
      <c r="N39" s="47">
        <f>SUM(B39:M39)</f>
        <v>623859801.574</v>
      </c>
    </row>
    <row r="40" spans="1:16" x14ac:dyDescent="0.2">
      <c r="A40" s="50" t="s">
        <v>395</v>
      </c>
      <c r="B40" s="47">
        <v>2400</v>
      </c>
      <c r="C40" s="47">
        <v>3600</v>
      </c>
      <c r="D40" s="47">
        <v>3000</v>
      </c>
      <c r="E40" s="47">
        <v>2400</v>
      </c>
      <c r="F40" s="47">
        <v>3000</v>
      </c>
      <c r="G40" s="47">
        <v>442800</v>
      </c>
      <c r="H40" s="47">
        <v>526200</v>
      </c>
      <c r="I40" s="47">
        <v>1019400</v>
      </c>
      <c r="J40" s="47">
        <v>791400</v>
      </c>
      <c r="K40" s="47">
        <v>672600</v>
      </c>
      <c r="L40" s="47">
        <v>325800</v>
      </c>
      <c r="M40" s="47">
        <v>3000</v>
      </c>
      <c r="N40" s="47">
        <f>SUM(B40:M40)</f>
        <v>3795600</v>
      </c>
    </row>
    <row r="41" spans="1:16" x14ac:dyDescent="0.2">
      <c r="A41" s="50"/>
      <c r="B41" s="47"/>
      <c r="C41" s="47"/>
      <c r="D41" s="47"/>
      <c r="E41" s="47"/>
      <c r="F41" s="47"/>
      <c r="G41" s="47"/>
      <c r="H41" s="47"/>
      <c r="I41" s="47"/>
      <c r="J41" s="47"/>
      <c r="K41" s="47"/>
      <c r="L41" s="47"/>
      <c r="M41" s="47"/>
      <c r="N41" s="47"/>
    </row>
    <row r="42" spans="1:16" x14ac:dyDescent="0.2">
      <c r="A42" s="50" t="s">
        <v>84</v>
      </c>
      <c r="B42" s="51">
        <f t="shared" ref="B42:N42" si="8">SUM(B38:B40)</f>
        <v>51110991.866000004</v>
      </c>
      <c r="C42" s="51">
        <f t="shared" si="8"/>
        <v>63577713.686000004</v>
      </c>
      <c r="D42" s="51">
        <f t="shared" si="8"/>
        <v>54026186.420000002</v>
      </c>
      <c r="E42" s="51">
        <f t="shared" si="8"/>
        <v>59548023.696000002</v>
      </c>
      <c r="F42" s="51">
        <f t="shared" si="8"/>
        <v>55532280.134999998</v>
      </c>
      <c r="G42" s="51">
        <f t="shared" si="8"/>
        <v>58493825.086000003</v>
      </c>
      <c r="H42" s="51">
        <f t="shared" si="8"/>
        <v>57112319.953999996</v>
      </c>
      <c r="I42" s="51">
        <f t="shared" si="8"/>
        <v>62762918.732000001</v>
      </c>
      <c r="J42" s="51">
        <f t="shared" si="8"/>
        <v>61752934.974999994</v>
      </c>
      <c r="K42" s="51">
        <f t="shared" si="8"/>
        <v>59988609.115000002</v>
      </c>
      <c r="L42" s="51">
        <f t="shared" si="8"/>
        <v>61226175.183000006</v>
      </c>
      <c r="M42" s="51">
        <f t="shared" si="8"/>
        <v>55358809.566</v>
      </c>
      <c r="N42" s="51">
        <f t="shared" si="8"/>
        <v>700490788.41400003</v>
      </c>
    </row>
    <row r="43" spans="1:16" x14ac:dyDescent="0.2">
      <c r="B43" s="47"/>
      <c r="C43" s="47"/>
      <c r="D43" s="47"/>
      <c r="E43" s="47"/>
      <c r="F43" s="47"/>
      <c r="G43" s="47"/>
      <c r="H43" s="47"/>
      <c r="I43" s="47"/>
      <c r="J43" s="47"/>
      <c r="K43" s="47"/>
      <c r="L43" s="47"/>
      <c r="M43" s="47"/>
      <c r="N43" s="47"/>
    </row>
    <row r="44" spans="1:16" x14ac:dyDescent="0.2">
      <c r="B44" s="47"/>
      <c r="C44" s="47"/>
      <c r="D44" s="47"/>
      <c r="E44" s="47"/>
      <c r="F44" s="47"/>
      <c r="G44" s="47"/>
      <c r="H44" s="47"/>
      <c r="I44" s="47"/>
      <c r="J44" s="47"/>
      <c r="K44" s="47"/>
      <c r="L44" s="47"/>
      <c r="M44" s="47"/>
      <c r="N44" s="47"/>
    </row>
    <row r="45" spans="1:16" s="87" customFormat="1" ht="13.5" thickBot="1" x14ac:dyDescent="0.25">
      <c r="A45" s="229" t="s">
        <v>396</v>
      </c>
      <c r="B45" s="52">
        <f t="shared" ref="B45:N45" si="9">B42+B32</f>
        <v>2242118340.9152265</v>
      </c>
      <c r="C45" s="52">
        <f t="shared" si="9"/>
        <v>2051717229.7626178</v>
      </c>
      <c r="D45" s="52">
        <f t="shared" si="9"/>
        <v>2129809045.082293</v>
      </c>
      <c r="E45" s="52">
        <f t="shared" si="9"/>
        <v>1754944209.060683</v>
      </c>
      <c r="F45" s="52">
        <f t="shared" si="9"/>
        <v>1627236671.3264868</v>
      </c>
      <c r="G45" s="52">
        <f t="shared" si="9"/>
        <v>1537058294.6897733</v>
      </c>
      <c r="H45" s="52">
        <f t="shared" si="9"/>
        <v>1478517437.2174416</v>
      </c>
      <c r="I45" s="52">
        <f t="shared" si="9"/>
        <v>1511936084.0295961</v>
      </c>
      <c r="J45" s="52">
        <f t="shared" si="9"/>
        <v>1537188719.0894892</v>
      </c>
      <c r="K45" s="52">
        <f t="shared" si="9"/>
        <v>1556781511.317034</v>
      </c>
      <c r="L45" s="52">
        <f t="shared" si="9"/>
        <v>1771133617.9970572</v>
      </c>
      <c r="M45" s="52">
        <f t="shared" si="9"/>
        <v>1973080024.1668003</v>
      </c>
      <c r="N45" s="52">
        <f t="shared" si="9"/>
        <v>21171521184.654499</v>
      </c>
    </row>
    <row r="46" spans="1:16" ht="15.75" thickTop="1" x14ac:dyDescent="0.35">
      <c r="B46" s="230"/>
      <c r="C46" s="230"/>
      <c r="D46" s="230"/>
      <c r="E46" s="230"/>
      <c r="F46" s="230"/>
      <c r="G46" s="230"/>
      <c r="H46" s="230"/>
      <c r="I46" s="230"/>
      <c r="J46" s="230"/>
      <c r="K46" s="230"/>
      <c r="L46" s="230"/>
      <c r="M46" s="230"/>
      <c r="N46" s="230"/>
    </row>
    <row r="47" spans="1:16" x14ac:dyDescent="0.2">
      <c r="B47" s="47"/>
      <c r="C47" s="47"/>
      <c r="D47" s="47"/>
      <c r="E47" s="47"/>
      <c r="F47" s="47"/>
      <c r="G47" s="47"/>
      <c r="H47" s="47"/>
      <c r="I47" s="47"/>
    </row>
    <row r="48" spans="1:16" x14ac:dyDescent="0.2">
      <c r="B48" s="47"/>
      <c r="C48" s="47"/>
      <c r="D48" s="47"/>
      <c r="E48" s="47"/>
      <c r="F48" s="47"/>
      <c r="G48" s="47"/>
      <c r="H48" s="47"/>
      <c r="I48" s="47"/>
    </row>
    <row r="49" spans="2:9" x14ac:dyDescent="0.2">
      <c r="B49" s="47"/>
      <c r="C49" s="47"/>
      <c r="D49" s="47"/>
      <c r="E49" s="47"/>
      <c r="F49" s="47"/>
      <c r="G49" s="47"/>
      <c r="H49" s="47"/>
      <c r="I49" s="47"/>
    </row>
    <row r="50" spans="2:9" x14ac:dyDescent="0.2">
      <c r="B50" s="47"/>
      <c r="C50" s="47"/>
      <c r="D50" s="47"/>
      <c r="E50" s="47"/>
      <c r="F50" s="47"/>
      <c r="G50" s="47"/>
      <c r="H50" s="47"/>
      <c r="I50" s="47"/>
    </row>
    <row r="51" spans="2:9" x14ac:dyDescent="0.2">
      <c r="B51" s="47"/>
      <c r="C51" s="47"/>
      <c r="D51" s="47"/>
      <c r="E51" s="47"/>
      <c r="F51" s="47"/>
      <c r="G51" s="47"/>
      <c r="H51" s="47"/>
      <c r="I51" s="47"/>
    </row>
    <row r="52" spans="2:9" x14ac:dyDescent="0.2">
      <c r="B52" s="47"/>
      <c r="C52" s="47"/>
      <c r="D52" s="47"/>
      <c r="E52" s="47"/>
      <c r="F52" s="47"/>
      <c r="G52" s="47"/>
      <c r="H52" s="47"/>
      <c r="I52" s="47"/>
    </row>
    <row r="54" spans="2:9" x14ac:dyDescent="0.2">
      <c r="B54" s="47"/>
      <c r="C54" s="47"/>
      <c r="D54" s="47"/>
      <c r="E54" s="47"/>
      <c r="F54" s="47"/>
      <c r="G54" s="47"/>
      <c r="H54" s="47"/>
      <c r="I54" s="47"/>
    </row>
    <row r="55" spans="2:9" x14ac:dyDescent="0.2">
      <c r="B55" s="47"/>
      <c r="C55" s="47"/>
      <c r="D55" s="47"/>
      <c r="E55" s="47"/>
      <c r="F55" s="47"/>
      <c r="G55" s="47"/>
      <c r="H55" s="47"/>
      <c r="I55" s="47"/>
    </row>
  </sheetData>
  <printOptions horizontalCentered="1"/>
  <pageMargins left="0.75" right="0.75" top="1" bottom="1" header="0.5" footer="0.5"/>
  <pageSetup scale="51" orientation="landscape" r:id="rId1"/>
  <headerFooter alignWithMargins="0">
    <oddHeader>&amp;RAdvice No. 2018-xx
Workpaper No. 23</oddHeader>
    <oddFooter xml:space="preserve">&amp;L&amp;F 
&amp;A&amp;R&amp;D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showGridLines="0" zoomScaleNormal="100" workbookViewId="0">
      <selection activeCell="C48" sqref="C48"/>
    </sheetView>
  </sheetViews>
  <sheetFormatPr defaultColWidth="8.85546875" defaultRowHeight="12.75" x14ac:dyDescent="0.2"/>
  <cols>
    <col min="1" max="1" width="5.28515625" style="118" customWidth="1"/>
    <col min="2" max="2" width="34.140625" style="118" bestFit="1" customWidth="1"/>
    <col min="3" max="3" width="15.28515625" style="118" customWidth="1"/>
    <col min="4" max="4" width="3.28515625" style="118" customWidth="1"/>
    <col min="5" max="7" width="15.28515625" style="118" customWidth="1"/>
    <col min="8" max="8" width="14" style="118" customWidth="1"/>
    <col min="9" max="9" width="14.28515625" style="118" customWidth="1"/>
    <col min="10" max="10" width="11.85546875" style="118" customWidth="1"/>
    <col min="11" max="11" width="14.42578125" style="118" customWidth="1"/>
    <col min="12" max="12" width="12.5703125" style="118" customWidth="1"/>
    <col min="13" max="15" width="15.28515625" style="118" customWidth="1"/>
    <col min="16" max="16" width="12.42578125" style="118" customWidth="1"/>
    <col min="17" max="17" width="15.28515625" style="118" customWidth="1"/>
    <col min="18" max="16384" width="8.85546875" style="118"/>
  </cols>
  <sheetData>
    <row r="1" spans="1:21" x14ac:dyDescent="0.2">
      <c r="A1" s="518" t="s">
        <v>0</v>
      </c>
      <c r="B1" s="518"/>
      <c r="C1" s="518"/>
      <c r="D1" s="518"/>
      <c r="E1" s="518"/>
      <c r="F1" s="518"/>
      <c r="G1" s="518"/>
      <c r="H1" s="518"/>
      <c r="I1" s="518"/>
      <c r="J1" s="518"/>
      <c r="K1" s="518"/>
      <c r="L1" s="518"/>
      <c r="M1" s="518"/>
      <c r="N1" s="518"/>
      <c r="O1" s="518"/>
      <c r="P1" s="518"/>
      <c r="Q1" s="518"/>
    </row>
    <row r="2" spans="1:21" x14ac:dyDescent="0.2">
      <c r="A2" s="518" t="s">
        <v>206</v>
      </c>
      <c r="B2" s="518"/>
      <c r="C2" s="518"/>
      <c r="D2" s="518"/>
      <c r="E2" s="518"/>
      <c r="F2" s="518"/>
      <c r="G2" s="518"/>
      <c r="H2" s="518"/>
      <c r="I2" s="518"/>
      <c r="J2" s="518"/>
      <c r="K2" s="518"/>
      <c r="L2" s="518"/>
      <c r="M2" s="518"/>
      <c r="N2" s="518"/>
      <c r="O2" s="518"/>
      <c r="P2" s="518"/>
      <c r="Q2" s="518"/>
    </row>
    <row r="3" spans="1:21" x14ac:dyDescent="0.2">
      <c r="A3" s="518" t="s">
        <v>207</v>
      </c>
      <c r="B3" s="518"/>
      <c r="C3" s="518"/>
      <c r="D3" s="518"/>
      <c r="E3" s="518"/>
      <c r="F3" s="518"/>
      <c r="G3" s="518"/>
      <c r="H3" s="518"/>
      <c r="I3" s="518"/>
      <c r="J3" s="518"/>
      <c r="K3" s="518"/>
      <c r="L3" s="518"/>
      <c r="M3" s="518"/>
      <c r="N3" s="518"/>
      <c r="O3" s="518"/>
      <c r="P3" s="518"/>
      <c r="Q3" s="518"/>
    </row>
    <row r="4" spans="1:21" x14ac:dyDescent="0.2">
      <c r="A4" s="518" t="s">
        <v>208</v>
      </c>
      <c r="B4" s="518"/>
      <c r="C4" s="518"/>
      <c r="D4" s="518"/>
      <c r="E4" s="518"/>
      <c r="F4" s="518"/>
      <c r="G4" s="518"/>
      <c r="H4" s="518"/>
      <c r="I4" s="518"/>
      <c r="J4" s="518"/>
      <c r="K4" s="518"/>
      <c r="L4" s="518"/>
      <c r="M4" s="518"/>
      <c r="N4" s="518"/>
      <c r="O4" s="518"/>
      <c r="P4" s="518"/>
      <c r="Q4" s="518"/>
    </row>
    <row r="6" spans="1:21" ht="38.25" x14ac:dyDescent="0.2">
      <c r="A6" s="119" t="s">
        <v>56</v>
      </c>
      <c r="B6" s="119" t="s">
        <v>209</v>
      </c>
      <c r="C6" s="119" t="s">
        <v>210</v>
      </c>
      <c r="D6" s="119"/>
      <c r="E6" s="119" t="s">
        <v>211</v>
      </c>
      <c r="F6" s="119" t="s">
        <v>212</v>
      </c>
      <c r="G6" s="119" t="s">
        <v>213</v>
      </c>
      <c r="H6" s="119" t="s">
        <v>214</v>
      </c>
      <c r="I6" s="119" t="s">
        <v>215</v>
      </c>
      <c r="J6" s="119" t="s">
        <v>216</v>
      </c>
      <c r="K6" s="119" t="s">
        <v>217</v>
      </c>
      <c r="L6" s="119" t="s">
        <v>218</v>
      </c>
      <c r="M6" s="119" t="s">
        <v>219</v>
      </c>
      <c r="N6" s="119" t="s">
        <v>220</v>
      </c>
      <c r="O6" s="119" t="s">
        <v>221</v>
      </c>
      <c r="P6" s="119" t="s">
        <v>222</v>
      </c>
      <c r="Q6" s="119" t="s">
        <v>223</v>
      </c>
    </row>
    <row r="7" spans="1:21" x14ac:dyDescent="0.2">
      <c r="A7" s="120"/>
      <c r="B7" s="121" t="s">
        <v>9</v>
      </c>
      <c r="C7" s="121" t="s">
        <v>10</v>
      </c>
      <c r="D7" s="121"/>
      <c r="E7" s="121" t="s">
        <v>11</v>
      </c>
      <c r="F7" s="121" t="s">
        <v>12</v>
      </c>
      <c r="G7" s="121" t="s">
        <v>13</v>
      </c>
      <c r="H7" s="121" t="s">
        <v>67</v>
      </c>
      <c r="I7" s="121" t="s">
        <v>68</v>
      </c>
      <c r="J7" s="121" t="s">
        <v>69</v>
      </c>
      <c r="K7" s="121" t="s">
        <v>70</v>
      </c>
      <c r="L7" s="121" t="s">
        <v>71</v>
      </c>
      <c r="M7" s="121" t="s">
        <v>72</v>
      </c>
      <c r="N7" s="121" t="s">
        <v>73</v>
      </c>
      <c r="O7" s="121" t="s">
        <v>74</v>
      </c>
      <c r="P7" s="121" t="s">
        <v>75</v>
      </c>
      <c r="Q7" s="121" t="s">
        <v>224</v>
      </c>
    </row>
    <row r="8" spans="1:21" x14ac:dyDescent="0.2">
      <c r="C8" s="122"/>
      <c r="E8" s="122"/>
      <c r="F8" s="122"/>
      <c r="G8" s="122"/>
      <c r="H8" s="122"/>
      <c r="I8" s="122"/>
      <c r="J8" s="122"/>
      <c r="K8" s="122"/>
      <c r="L8" s="122"/>
      <c r="M8" s="122"/>
      <c r="N8" s="122"/>
      <c r="O8" s="122"/>
      <c r="P8" s="122"/>
      <c r="Q8" s="122"/>
    </row>
    <row r="9" spans="1:21" x14ac:dyDescent="0.2">
      <c r="A9" s="123">
        <v>1</v>
      </c>
      <c r="B9" s="124" t="s">
        <v>120</v>
      </c>
      <c r="C9" s="125">
        <v>22311829039.999996</v>
      </c>
      <c r="D9" s="126"/>
      <c r="E9" s="125">
        <v>11362694034.5944</v>
      </c>
      <c r="F9" s="125">
        <v>2983833723.3713889</v>
      </c>
      <c r="G9" s="125">
        <v>3080584885.4856691</v>
      </c>
      <c r="H9" s="125">
        <v>2051022389.543107</v>
      </c>
      <c r="I9" s="125">
        <v>1342870567.1184549</v>
      </c>
      <c r="J9" s="125">
        <v>4594563.3633324662</v>
      </c>
      <c r="K9" s="125">
        <v>124979540.86316925</v>
      </c>
      <c r="L9" s="125">
        <v>639599439.09802258</v>
      </c>
      <c r="M9" s="125">
        <v>632887813.72208166</v>
      </c>
      <c r="N9" s="125">
        <v>0</v>
      </c>
      <c r="O9" s="125">
        <v>0</v>
      </c>
      <c r="P9" s="125">
        <v>81534389.017231286</v>
      </c>
      <c r="Q9" s="125">
        <v>7227693.8231415441</v>
      </c>
      <c r="R9" s="127"/>
      <c r="S9" s="128"/>
      <c r="T9" s="128"/>
      <c r="U9" s="128"/>
    </row>
    <row r="10" spans="1:21" x14ac:dyDescent="0.2">
      <c r="A10" s="123">
        <f>+A9+1</f>
        <v>2</v>
      </c>
      <c r="B10" s="124" t="s">
        <v>225</v>
      </c>
      <c r="C10" s="125">
        <v>3941657.8585261339</v>
      </c>
      <c r="D10" s="126"/>
      <c r="E10" s="125">
        <v>2401760.8159533199</v>
      </c>
      <c r="F10" s="125">
        <v>483797.35950569448</v>
      </c>
      <c r="G10" s="125">
        <v>452472.55815379717</v>
      </c>
      <c r="H10" s="125">
        <v>261562.891393383</v>
      </c>
      <c r="I10" s="125">
        <v>179157.07260351363</v>
      </c>
      <c r="J10" s="125">
        <v>4.0419526549894496</v>
      </c>
      <c r="K10" s="125">
        <v>0</v>
      </c>
      <c r="L10" s="125">
        <v>80420.565981487191</v>
      </c>
      <c r="M10" s="125">
        <v>67179.705291231017</v>
      </c>
      <c r="N10" s="125">
        <v>0</v>
      </c>
      <c r="O10" s="125">
        <v>0</v>
      </c>
      <c r="P10" s="125">
        <v>13772.381425311305</v>
      </c>
      <c r="Q10" s="125">
        <v>1530.4662657410647</v>
      </c>
      <c r="R10" s="128"/>
      <c r="S10" s="128"/>
      <c r="T10" s="128"/>
      <c r="U10" s="128"/>
    </row>
    <row r="11" spans="1:21" x14ac:dyDescent="0.2">
      <c r="A11" s="123">
        <f t="shared" ref="A11:A30" si="0">+A10+1</f>
        <v>3</v>
      </c>
      <c r="B11" s="129" t="s">
        <v>226</v>
      </c>
      <c r="C11" s="130">
        <f>SUM(E11:Q11)</f>
        <v>1.0000000000000002</v>
      </c>
      <c r="D11" s="131"/>
      <c r="E11" s="130">
        <f t="shared" ref="E11:Q11" si="1">(E9/$C$9*$C$12+E10/$C$10*$C$13)</f>
        <v>0.53428267414961672</v>
      </c>
      <c r="F11" s="130">
        <f t="shared" si="1"/>
        <v>0.13098483852655646</v>
      </c>
      <c r="G11" s="130">
        <f t="shared" si="1"/>
        <v>0.13225029791791532</v>
      </c>
      <c r="H11" s="130">
        <f t="shared" si="1"/>
        <v>8.5533651911442882E-2</v>
      </c>
      <c r="I11" s="130">
        <f t="shared" si="1"/>
        <v>5.6502917113085652E-2</v>
      </c>
      <c r="J11" s="130">
        <f t="shared" si="1"/>
        <v>1.5470011013980859E-4</v>
      </c>
      <c r="K11" s="130">
        <f t="shared" si="1"/>
        <v>4.2011193022020825E-3</v>
      </c>
      <c r="L11" s="130">
        <f t="shared" si="1"/>
        <v>2.6600468875824963E-2</v>
      </c>
      <c r="M11" s="130">
        <f t="shared" si="1"/>
        <v>2.5535058472508355E-2</v>
      </c>
      <c r="N11" s="130">
        <f t="shared" si="1"/>
        <v>0</v>
      </c>
      <c r="O11" s="130">
        <f t="shared" si="1"/>
        <v>0</v>
      </c>
      <c r="P11" s="130">
        <f t="shared" si="1"/>
        <v>3.614248664337222E-3</v>
      </c>
      <c r="Q11" s="130">
        <f t="shared" si="1"/>
        <v>3.4002495637072092E-4</v>
      </c>
      <c r="R11" s="128"/>
      <c r="S11" s="128"/>
      <c r="T11" s="128"/>
      <c r="U11" s="128"/>
    </row>
    <row r="12" spans="1:21" x14ac:dyDescent="0.2">
      <c r="A12" s="123">
        <f t="shared" si="0"/>
        <v>4</v>
      </c>
      <c r="B12" s="132" t="s">
        <v>227</v>
      </c>
      <c r="C12" s="133">
        <v>0.75</v>
      </c>
      <c r="D12" s="128"/>
      <c r="E12" s="134"/>
      <c r="F12" s="134"/>
      <c r="G12" s="134"/>
      <c r="H12" s="134"/>
      <c r="I12" s="134"/>
      <c r="J12" s="134"/>
      <c r="K12" s="134"/>
      <c r="L12" s="134"/>
      <c r="M12" s="134"/>
      <c r="N12" s="134"/>
      <c r="O12" s="134"/>
      <c r="P12" s="134"/>
      <c r="Q12" s="134"/>
      <c r="R12" s="128"/>
      <c r="S12" s="128"/>
      <c r="T12" s="128"/>
      <c r="U12" s="128"/>
    </row>
    <row r="13" spans="1:21" x14ac:dyDescent="0.2">
      <c r="A13" s="123">
        <f t="shared" si="0"/>
        <v>5</v>
      </c>
      <c r="B13" s="132" t="s">
        <v>228</v>
      </c>
      <c r="C13" s="133">
        <v>0.25</v>
      </c>
      <c r="D13" s="128"/>
      <c r="E13" s="134"/>
      <c r="F13" s="134"/>
      <c r="G13" s="134"/>
      <c r="H13" s="134"/>
      <c r="I13" s="134"/>
      <c r="J13" s="134"/>
      <c r="K13" s="134"/>
      <c r="L13" s="134"/>
      <c r="M13" s="134"/>
      <c r="N13" s="134"/>
      <c r="O13" s="134"/>
      <c r="P13" s="134"/>
      <c r="Q13" s="134"/>
      <c r="R13" s="128"/>
      <c r="S13" s="128"/>
      <c r="T13" s="128"/>
      <c r="U13" s="128"/>
    </row>
    <row r="14" spans="1:21" x14ac:dyDescent="0.2">
      <c r="A14" s="123">
        <f t="shared" si="0"/>
        <v>6</v>
      </c>
      <c r="C14" s="134"/>
      <c r="D14" s="128"/>
      <c r="E14" s="134"/>
      <c r="F14" s="134"/>
      <c r="G14" s="134"/>
      <c r="H14" s="134"/>
      <c r="I14" s="134"/>
      <c r="J14" s="134"/>
      <c r="K14" s="134"/>
      <c r="L14" s="134"/>
      <c r="M14" s="134"/>
      <c r="N14" s="134"/>
      <c r="O14" s="134"/>
      <c r="P14" s="134"/>
      <c r="Q14" s="134"/>
      <c r="R14" s="128"/>
      <c r="S14" s="128"/>
      <c r="T14" s="128"/>
      <c r="U14" s="128"/>
    </row>
    <row r="15" spans="1:21" ht="12.75" customHeight="1" x14ac:dyDescent="0.2">
      <c r="A15" s="123">
        <f t="shared" si="0"/>
        <v>7</v>
      </c>
      <c r="B15" s="129" t="s">
        <v>229</v>
      </c>
      <c r="C15" s="134">
        <f>SUM(E15:Q15)</f>
        <v>2181097855.6679406</v>
      </c>
      <c r="D15" s="128"/>
      <c r="E15" s="134">
        <v>1241419786.2327406</v>
      </c>
      <c r="F15" s="134">
        <v>276117159.69454533</v>
      </c>
      <c r="G15" s="134">
        <v>260540539.01692268</v>
      </c>
      <c r="H15" s="134">
        <v>158040918.3157272</v>
      </c>
      <c r="I15" s="134">
        <v>107574272.6431451</v>
      </c>
      <c r="J15" s="134">
        <v>445881.34350446798</v>
      </c>
      <c r="K15" s="134">
        <v>11369267.922432896</v>
      </c>
      <c r="L15" s="134">
        <v>48472320.971117258</v>
      </c>
      <c r="M15" s="134">
        <v>43904812.493349552</v>
      </c>
      <c r="N15" s="134">
        <v>1196381.2736376822</v>
      </c>
      <c r="O15" s="134">
        <v>12007707.016380146</v>
      </c>
      <c r="P15" s="134">
        <v>19260219.539835766</v>
      </c>
      <c r="Q15" s="134">
        <v>748589.2046017223</v>
      </c>
      <c r="R15" s="128"/>
      <c r="S15" s="128"/>
      <c r="T15" s="128"/>
      <c r="U15" s="128"/>
    </row>
    <row r="16" spans="1:21" ht="12.75" customHeight="1" x14ac:dyDescent="0.2">
      <c r="A16" s="123">
        <f t="shared" si="0"/>
        <v>8</v>
      </c>
      <c r="B16" s="124"/>
      <c r="C16" s="128"/>
      <c r="D16" s="128"/>
      <c r="E16" s="128"/>
      <c r="F16" s="128"/>
      <c r="G16" s="128"/>
      <c r="H16" s="128"/>
      <c r="I16" s="128"/>
      <c r="J16" s="128"/>
      <c r="K16" s="128"/>
      <c r="L16" s="128"/>
      <c r="M16" s="128"/>
      <c r="N16" s="128"/>
      <c r="O16" s="128"/>
      <c r="P16" s="128"/>
      <c r="Q16" s="128"/>
      <c r="R16" s="128"/>
      <c r="S16" s="128"/>
      <c r="T16" s="128"/>
      <c r="U16" s="128"/>
    </row>
    <row r="17" spans="1:21" ht="12.75" customHeight="1" x14ac:dyDescent="0.2">
      <c r="A17" s="123">
        <f t="shared" si="0"/>
        <v>9</v>
      </c>
      <c r="B17" s="124" t="s">
        <v>230</v>
      </c>
      <c r="C17" s="134">
        <f>SUM(E17:Q17)</f>
        <v>111225825.98513673</v>
      </c>
      <c r="D17" s="128"/>
      <c r="E17" s="134">
        <v>60792526.492355719</v>
      </c>
      <c r="F17" s="134">
        <v>16929189.203066148</v>
      </c>
      <c r="G17" s="134">
        <v>11900165.035182636</v>
      </c>
      <c r="H17" s="134">
        <v>7202400.4051362295</v>
      </c>
      <c r="I17" s="134">
        <v>5549720.1749180267</v>
      </c>
      <c r="J17" s="134">
        <v>22319.875382678936</v>
      </c>
      <c r="K17" s="134">
        <v>479441.21714901226</v>
      </c>
      <c r="L17" s="134">
        <v>2170923.4248753381</v>
      </c>
      <c r="M17" s="134">
        <v>4835975.8716102857</v>
      </c>
      <c r="N17" s="134">
        <v>2850.6248341625537</v>
      </c>
      <c r="O17" s="134">
        <v>875638.69411477575</v>
      </c>
      <c r="P17" s="134">
        <v>425733.74896333064</v>
      </c>
      <c r="Q17" s="134">
        <v>38941.217548381959</v>
      </c>
      <c r="R17" s="128"/>
      <c r="S17" s="128"/>
      <c r="T17" s="128"/>
      <c r="U17" s="128"/>
    </row>
    <row r="18" spans="1:21" x14ac:dyDescent="0.2">
      <c r="A18" s="123">
        <f t="shared" si="0"/>
        <v>10</v>
      </c>
      <c r="C18" s="134"/>
      <c r="D18" s="128"/>
      <c r="E18" s="128"/>
      <c r="F18" s="128"/>
      <c r="G18" s="128"/>
      <c r="H18" s="128"/>
      <c r="I18" s="128"/>
      <c r="J18" s="128"/>
      <c r="K18" s="128"/>
      <c r="L18" s="128"/>
      <c r="M18" s="128"/>
      <c r="N18" s="128"/>
      <c r="O18" s="128"/>
      <c r="P18" s="128"/>
      <c r="Q18" s="128"/>
      <c r="R18" s="128"/>
      <c r="S18" s="128"/>
      <c r="T18" s="128"/>
      <c r="U18" s="128"/>
    </row>
    <row r="19" spans="1:21" x14ac:dyDescent="0.2">
      <c r="A19" s="123">
        <f t="shared" si="0"/>
        <v>11</v>
      </c>
      <c r="B19" s="124" t="s">
        <v>231</v>
      </c>
      <c r="C19" s="134">
        <v>586320618.98403943</v>
      </c>
      <c r="D19" s="128"/>
      <c r="E19" s="134"/>
      <c r="F19" s="134"/>
      <c r="G19" s="134"/>
      <c r="H19" s="134"/>
      <c r="I19" s="134"/>
      <c r="J19" s="134"/>
      <c r="K19" s="134"/>
      <c r="L19" s="134"/>
      <c r="M19" s="134"/>
      <c r="N19" s="134"/>
      <c r="O19" s="134"/>
      <c r="P19" s="134"/>
      <c r="Q19" s="134"/>
      <c r="R19" s="128"/>
      <c r="S19" s="128"/>
      <c r="T19" s="128"/>
      <c r="U19" s="128"/>
    </row>
    <row r="20" spans="1:21" x14ac:dyDescent="0.2">
      <c r="A20" s="123">
        <f t="shared" si="0"/>
        <v>12</v>
      </c>
      <c r="B20" s="124"/>
      <c r="C20" s="134"/>
      <c r="D20" s="128"/>
      <c r="E20" s="134"/>
      <c r="F20" s="134"/>
      <c r="G20" s="134"/>
      <c r="H20" s="134"/>
      <c r="I20" s="134"/>
      <c r="J20" s="134"/>
      <c r="K20" s="134"/>
      <c r="L20" s="134"/>
      <c r="M20" s="134"/>
      <c r="N20" s="134"/>
      <c r="O20" s="134"/>
      <c r="P20" s="134"/>
      <c r="Q20" s="134"/>
      <c r="R20" s="128"/>
      <c r="S20" s="128"/>
      <c r="T20" s="128"/>
      <c r="U20" s="128"/>
    </row>
    <row r="21" spans="1:21" x14ac:dyDescent="0.2">
      <c r="A21" s="123">
        <f t="shared" si="0"/>
        <v>13</v>
      </c>
      <c r="B21" s="124" t="s">
        <v>232</v>
      </c>
      <c r="C21" s="134">
        <v>715775660.02487493</v>
      </c>
      <c r="D21" s="128"/>
      <c r="E21" s="134"/>
      <c r="F21" s="134"/>
      <c r="G21" s="134"/>
      <c r="H21" s="134"/>
      <c r="I21" s="134"/>
      <c r="J21" s="134"/>
      <c r="K21" s="134"/>
      <c r="L21" s="134"/>
      <c r="M21" s="134"/>
      <c r="N21" s="134"/>
      <c r="O21" s="134"/>
      <c r="P21" s="134"/>
      <c r="Q21" s="134"/>
      <c r="R21" s="128"/>
      <c r="S21" s="128"/>
      <c r="T21" s="128"/>
      <c r="U21" s="128"/>
    </row>
    <row r="22" spans="1:21" x14ac:dyDescent="0.2">
      <c r="A22" s="123">
        <f t="shared" si="0"/>
        <v>14</v>
      </c>
      <c r="B22" s="124"/>
      <c r="C22" s="134"/>
      <c r="D22" s="128"/>
      <c r="E22" s="134"/>
      <c r="F22" s="134"/>
      <c r="G22" s="134"/>
      <c r="H22" s="134"/>
      <c r="I22" s="134"/>
      <c r="J22" s="134"/>
      <c r="K22" s="134"/>
      <c r="L22" s="134"/>
      <c r="M22" s="134"/>
      <c r="N22" s="134"/>
      <c r="O22" s="134"/>
      <c r="P22" s="134"/>
      <c r="Q22" s="134"/>
      <c r="R22" s="128"/>
      <c r="S22" s="128"/>
      <c r="T22" s="128"/>
      <c r="U22" s="128"/>
    </row>
    <row r="23" spans="1:21" x14ac:dyDescent="0.2">
      <c r="A23" s="123">
        <f t="shared" si="0"/>
        <v>15</v>
      </c>
      <c r="B23" s="129" t="s">
        <v>233</v>
      </c>
      <c r="C23" s="134">
        <f>SUM(E23:Q23)</f>
        <v>586320618.98403955</v>
      </c>
      <c r="D23" s="128"/>
      <c r="E23" s="134">
        <f>+$C$19*E$11</f>
        <v>313260948.21985114</v>
      </c>
      <c r="F23" s="134">
        <f t="shared" ref="F23:Q23" si="2">+$C$19*F$11</f>
        <v>76799111.60241504</v>
      </c>
      <c r="G23" s="134">
        <f t="shared" si="2"/>
        <v>77541076.536055729</v>
      </c>
      <c r="H23" s="134">
        <f t="shared" si="2"/>
        <v>50150143.732682556</v>
      </c>
      <c r="I23" s="134">
        <f t="shared" si="2"/>
        <v>33128825.336148255</v>
      </c>
      <c r="J23" s="134">
        <f t="shared" si="2"/>
        <v>90703.864334071652</v>
      </c>
      <c r="K23" s="134">
        <f t="shared" si="2"/>
        <v>2463202.8696929207</v>
      </c>
      <c r="L23" s="134">
        <f t="shared" si="2"/>
        <v>15596403.376539368</v>
      </c>
      <c r="M23" s="134">
        <f t="shared" si="2"/>
        <v>14971731.289394738</v>
      </c>
      <c r="N23" s="134">
        <f t="shared" si="2"/>
        <v>0</v>
      </c>
      <c r="O23" s="134">
        <f t="shared" si="2"/>
        <v>0</v>
      </c>
      <c r="P23" s="134">
        <f t="shared" si="2"/>
        <v>2119108.514036438</v>
      </c>
      <c r="Q23" s="134">
        <f t="shared" si="2"/>
        <v>199363.64288930208</v>
      </c>
      <c r="R23" s="128"/>
      <c r="S23" s="128"/>
      <c r="T23" s="128"/>
      <c r="U23" s="128"/>
    </row>
    <row r="24" spans="1:21" x14ac:dyDescent="0.2">
      <c r="A24" s="123">
        <f t="shared" si="0"/>
        <v>16</v>
      </c>
      <c r="B24" s="129" t="s">
        <v>234</v>
      </c>
      <c r="C24" s="134">
        <f>SUM(E24:Q24)</f>
        <v>715775660.02487504</v>
      </c>
      <c r="D24" s="128"/>
      <c r="E24" s="134">
        <f t="shared" ref="E24:Q24" si="3">+$C$21*E$11</f>
        <v>382426533.7292971</v>
      </c>
      <c r="F24" s="134">
        <f t="shared" si="3"/>
        <v>93755759.249597609</v>
      </c>
      <c r="G24" s="134">
        <f t="shared" si="3"/>
        <v>94661544.280682176</v>
      </c>
      <c r="H24" s="134">
        <f t="shared" si="3"/>
        <v>61222906.151250936</v>
      </c>
      <c r="I24" s="134">
        <f t="shared" si="3"/>
        <v>40443412.789949685</v>
      </c>
      <c r="J24" s="134">
        <f t="shared" si="3"/>
        <v>110730.57344124233</v>
      </c>
      <c r="K24" s="134">
        <f t="shared" si="3"/>
        <v>3007058.9413769376</v>
      </c>
      <c r="L24" s="134">
        <f t="shared" si="3"/>
        <v>19039968.166564755</v>
      </c>
      <c r="M24" s="134">
        <f t="shared" si="3"/>
        <v>18277373.331933443</v>
      </c>
      <c r="N24" s="134">
        <f t="shared" si="3"/>
        <v>0</v>
      </c>
      <c r="O24" s="134">
        <f t="shared" si="3"/>
        <v>0</v>
      </c>
      <c r="P24" s="134">
        <f t="shared" si="3"/>
        <v>2586991.2232099976</v>
      </c>
      <c r="Q24" s="134">
        <f t="shared" si="3"/>
        <v>243381.58757118206</v>
      </c>
      <c r="R24" s="128"/>
      <c r="S24" s="128"/>
      <c r="T24" s="128"/>
      <c r="U24" s="128"/>
    </row>
    <row r="25" spans="1:21" x14ac:dyDescent="0.2">
      <c r="A25" s="123">
        <f t="shared" si="0"/>
        <v>17</v>
      </c>
      <c r="B25" s="132" t="s">
        <v>235</v>
      </c>
      <c r="C25" s="134">
        <f>SUM(E25:Q25)</f>
        <v>1302096279.0089147</v>
      </c>
      <c r="D25" s="128"/>
      <c r="E25" s="134">
        <f>SUM(E23:E24)</f>
        <v>695687481.94914818</v>
      </c>
      <c r="F25" s="134">
        <f t="shared" ref="F25:Q25" si="4">SUM(F23:F24)</f>
        <v>170554870.85201263</v>
      </c>
      <c r="G25" s="134">
        <f t="shared" si="4"/>
        <v>172202620.81673789</v>
      </c>
      <c r="H25" s="134">
        <f t="shared" si="4"/>
        <v>111373049.88393348</v>
      </c>
      <c r="I25" s="134">
        <f t="shared" si="4"/>
        <v>73572238.126097947</v>
      </c>
      <c r="J25" s="134">
        <f t="shared" si="4"/>
        <v>201434.43777531397</v>
      </c>
      <c r="K25" s="134">
        <f t="shared" si="4"/>
        <v>5470261.8110698583</v>
      </c>
      <c r="L25" s="134">
        <f t="shared" si="4"/>
        <v>34636371.543104127</v>
      </c>
      <c r="M25" s="134">
        <f t="shared" si="4"/>
        <v>33249104.621328183</v>
      </c>
      <c r="N25" s="134">
        <f t="shared" si="4"/>
        <v>0</v>
      </c>
      <c r="O25" s="134">
        <f t="shared" si="4"/>
        <v>0</v>
      </c>
      <c r="P25" s="134">
        <f t="shared" si="4"/>
        <v>4706099.7372464351</v>
      </c>
      <c r="Q25" s="134">
        <f t="shared" si="4"/>
        <v>442745.23046048416</v>
      </c>
      <c r="R25" s="128"/>
      <c r="S25" s="128"/>
      <c r="T25" s="128"/>
      <c r="U25" s="128"/>
    </row>
    <row r="26" spans="1:21" x14ac:dyDescent="0.2">
      <c r="A26" s="123">
        <f t="shared" si="0"/>
        <v>18</v>
      </c>
      <c r="B26" s="124"/>
      <c r="C26" s="134"/>
      <c r="D26" s="128"/>
      <c r="E26" s="134"/>
      <c r="F26" s="134"/>
      <c r="G26" s="134"/>
      <c r="H26" s="134"/>
      <c r="I26" s="134"/>
      <c r="J26" s="134"/>
      <c r="K26" s="134"/>
      <c r="L26" s="134"/>
      <c r="M26" s="134"/>
      <c r="N26" s="134"/>
      <c r="O26" s="134"/>
      <c r="P26" s="134"/>
      <c r="Q26" s="134"/>
      <c r="R26" s="128"/>
      <c r="S26" s="128"/>
      <c r="T26" s="128"/>
      <c r="U26" s="128"/>
    </row>
    <row r="27" spans="1:21" x14ac:dyDescent="0.2">
      <c r="A27" s="123">
        <f t="shared" si="0"/>
        <v>19</v>
      </c>
      <c r="B27" s="135" t="s">
        <v>236</v>
      </c>
      <c r="C27" s="136"/>
      <c r="D27" s="136"/>
      <c r="E27" s="136"/>
      <c r="F27" s="136"/>
      <c r="G27" s="136"/>
      <c r="H27" s="136"/>
      <c r="I27" s="136"/>
      <c r="J27" s="136"/>
      <c r="K27" s="136"/>
      <c r="L27" s="136"/>
      <c r="M27" s="136"/>
      <c r="N27" s="136"/>
      <c r="O27" s="136"/>
      <c r="P27" s="136"/>
      <c r="Q27" s="136"/>
      <c r="R27" s="128"/>
      <c r="S27" s="128"/>
      <c r="T27" s="128"/>
      <c r="U27" s="128"/>
    </row>
    <row r="28" spans="1:21" x14ac:dyDescent="0.2">
      <c r="A28" s="123">
        <f t="shared" si="0"/>
        <v>20</v>
      </c>
      <c r="B28" s="135" t="s">
        <v>237</v>
      </c>
      <c r="C28" s="137">
        <f>SUM(E28:Q28)</f>
        <v>0.75000000000000011</v>
      </c>
      <c r="D28" s="137"/>
      <c r="E28" s="137">
        <f>ROUND(+$C$12*E9/SUM($E$9:$M$9,$Q$9),6)-0.000001</f>
        <v>0.38335100000000005</v>
      </c>
      <c r="F28" s="137">
        <f t="shared" ref="F28:O28" si="5">ROUND(+$C$12*F9/SUM($E$9:$M$9,$Q$9),6)</f>
        <v>0.10066799999999999</v>
      </c>
      <c r="G28" s="137">
        <f t="shared" si="5"/>
        <v>0.103932</v>
      </c>
      <c r="H28" s="137">
        <f t="shared" si="5"/>
        <v>6.9196999999999995E-2</v>
      </c>
      <c r="I28" s="137">
        <f t="shared" si="5"/>
        <v>4.5304999999999998E-2</v>
      </c>
      <c r="J28" s="137">
        <f t="shared" si="5"/>
        <v>1.55E-4</v>
      </c>
      <c r="K28" s="137">
        <f t="shared" si="5"/>
        <v>4.2170000000000003E-3</v>
      </c>
      <c r="L28" s="137">
        <f t="shared" si="5"/>
        <v>2.1579000000000001E-2</v>
      </c>
      <c r="M28" s="137">
        <f t="shared" si="5"/>
        <v>2.1351999999999999E-2</v>
      </c>
      <c r="N28" s="137">
        <f t="shared" si="5"/>
        <v>0</v>
      </c>
      <c r="O28" s="137">
        <f t="shared" si="5"/>
        <v>0</v>
      </c>
      <c r="P28" s="137">
        <v>0</v>
      </c>
      <c r="Q28" s="137">
        <f>ROUND(+$C$12*Q9/SUM($E$9:$M$9,$Q$9),6)</f>
        <v>2.4399999999999999E-4</v>
      </c>
      <c r="R28" s="128"/>
      <c r="S28" s="128"/>
      <c r="T28" s="128"/>
      <c r="U28" s="128"/>
    </row>
    <row r="29" spans="1:21" x14ac:dyDescent="0.2">
      <c r="A29" s="123">
        <f t="shared" si="0"/>
        <v>21</v>
      </c>
      <c r="B29" s="135" t="s">
        <v>238</v>
      </c>
      <c r="C29" s="137">
        <f>SUM(E29:Q29)</f>
        <v>0.25</v>
      </c>
      <c r="D29" s="137"/>
      <c r="E29" s="137">
        <f>ROUND(+$C$13*E10/SUM($E$10:$M$10,$Q$10),6)</f>
        <v>0.152866</v>
      </c>
      <c r="F29" s="137">
        <f t="shared" ref="F29:O29" si="6">ROUND(+$C$13*F10/SUM($E$10:$M$10,$Q$10),6)</f>
        <v>3.0792E-2</v>
      </c>
      <c r="G29" s="137">
        <f t="shared" si="6"/>
        <v>2.8799000000000002E-2</v>
      </c>
      <c r="H29" s="137">
        <f t="shared" si="6"/>
        <v>1.6648E-2</v>
      </c>
      <c r="I29" s="137">
        <f t="shared" si="6"/>
        <v>1.1403E-2</v>
      </c>
      <c r="J29" s="137">
        <f t="shared" si="6"/>
        <v>0</v>
      </c>
      <c r="K29" s="137">
        <f t="shared" si="6"/>
        <v>0</v>
      </c>
      <c r="L29" s="137">
        <f t="shared" si="6"/>
        <v>5.1190000000000003E-3</v>
      </c>
      <c r="M29" s="137">
        <f t="shared" si="6"/>
        <v>4.2760000000000003E-3</v>
      </c>
      <c r="N29" s="137">
        <f t="shared" si="6"/>
        <v>0</v>
      </c>
      <c r="O29" s="137">
        <f t="shared" si="6"/>
        <v>0</v>
      </c>
      <c r="P29" s="137">
        <v>0</v>
      </c>
      <c r="Q29" s="137">
        <f>ROUND(+$C$13*Q10/SUM($E$10:$M$10,$Q$10),6)</f>
        <v>9.7E-5</v>
      </c>
      <c r="R29" s="128"/>
      <c r="S29" s="128"/>
      <c r="T29" s="128"/>
      <c r="U29" s="128"/>
    </row>
    <row r="30" spans="1:21" x14ac:dyDescent="0.2">
      <c r="A30" s="123">
        <f t="shared" si="0"/>
        <v>22</v>
      </c>
      <c r="B30" s="135" t="s">
        <v>239</v>
      </c>
      <c r="C30" s="137">
        <f>SUM(E30:Q30)</f>
        <v>1</v>
      </c>
      <c r="D30" s="136"/>
      <c r="E30" s="137">
        <f>SUM(E28:E29)</f>
        <v>0.53621700000000005</v>
      </c>
      <c r="F30" s="137">
        <f t="shared" ref="F30:Q30" si="7">SUM(F28:F29)</f>
        <v>0.13145999999999999</v>
      </c>
      <c r="G30" s="137">
        <f t="shared" si="7"/>
        <v>0.13273099999999999</v>
      </c>
      <c r="H30" s="137">
        <f t="shared" si="7"/>
        <v>8.5844999999999991E-2</v>
      </c>
      <c r="I30" s="137">
        <f t="shared" si="7"/>
        <v>5.6707999999999995E-2</v>
      </c>
      <c r="J30" s="137">
        <f t="shared" si="7"/>
        <v>1.55E-4</v>
      </c>
      <c r="K30" s="137">
        <f t="shared" si="7"/>
        <v>4.2170000000000003E-3</v>
      </c>
      <c r="L30" s="137">
        <f t="shared" si="7"/>
        <v>2.6698E-2</v>
      </c>
      <c r="M30" s="137">
        <f t="shared" si="7"/>
        <v>2.5627999999999998E-2</v>
      </c>
      <c r="N30" s="137">
        <f t="shared" si="7"/>
        <v>0</v>
      </c>
      <c r="O30" s="137">
        <f t="shared" si="7"/>
        <v>0</v>
      </c>
      <c r="P30" s="137">
        <f t="shared" si="7"/>
        <v>0</v>
      </c>
      <c r="Q30" s="137">
        <f t="shared" si="7"/>
        <v>3.4099999999999999E-4</v>
      </c>
      <c r="R30" s="128"/>
      <c r="S30" s="128"/>
      <c r="T30" s="128"/>
      <c r="U30" s="128"/>
    </row>
    <row r="31" spans="1:21" x14ac:dyDescent="0.2">
      <c r="A31" s="138"/>
      <c r="C31" s="128"/>
      <c r="D31" s="128"/>
      <c r="E31" s="128"/>
      <c r="F31" s="128"/>
      <c r="G31" s="128"/>
      <c r="H31" s="128"/>
      <c r="I31" s="128"/>
      <c r="J31" s="128"/>
      <c r="K31" s="128"/>
      <c r="L31" s="128"/>
      <c r="M31" s="128"/>
      <c r="N31" s="128"/>
      <c r="O31" s="128"/>
      <c r="P31" s="128"/>
      <c r="Q31" s="128"/>
      <c r="R31" s="128"/>
      <c r="S31" s="128"/>
      <c r="T31" s="128"/>
      <c r="U31" s="128"/>
    </row>
    <row r="32" spans="1:21" x14ac:dyDescent="0.2">
      <c r="A32" s="138"/>
      <c r="C32" s="128"/>
      <c r="D32" s="128"/>
      <c r="E32" s="128"/>
      <c r="F32" s="128"/>
      <c r="G32" s="128"/>
      <c r="H32" s="128"/>
      <c r="I32" s="128"/>
      <c r="J32" s="128"/>
      <c r="K32" s="128"/>
      <c r="L32" s="128"/>
      <c r="M32" s="128"/>
      <c r="N32" s="128"/>
      <c r="O32" s="128"/>
      <c r="P32" s="128"/>
      <c r="Q32" s="128"/>
      <c r="R32" s="128"/>
      <c r="S32" s="128"/>
      <c r="T32" s="128"/>
      <c r="U32" s="128"/>
    </row>
    <row r="33" spans="1:21" x14ac:dyDescent="0.2">
      <c r="A33" s="138"/>
      <c r="C33" s="128"/>
      <c r="D33" s="128"/>
      <c r="E33" s="128"/>
      <c r="F33" s="128"/>
      <c r="G33" s="128"/>
      <c r="H33" s="128"/>
      <c r="I33" s="128"/>
      <c r="J33" s="128"/>
      <c r="K33" s="128"/>
      <c r="L33" s="128"/>
      <c r="M33" s="128"/>
      <c r="N33" s="128"/>
      <c r="O33" s="128"/>
      <c r="P33" s="128"/>
      <c r="Q33" s="128"/>
      <c r="R33" s="128"/>
      <c r="S33" s="128"/>
      <c r="T33" s="128"/>
      <c r="U33" s="128"/>
    </row>
    <row r="34" spans="1:21" x14ac:dyDescent="0.2">
      <c r="A34" s="138"/>
      <c r="C34" s="128"/>
      <c r="D34" s="128"/>
      <c r="E34" s="128"/>
      <c r="F34" s="128"/>
      <c r="G34" s="128"/>
      <c r="H34" s="128"/>
      <c r="I34" s="128"/>
      <c r="J34" s="128"/>
      <c r="K34" s="128"/>
      <c r="L34" s="128"/>
      <c r="M34" s="128"/>
      <c r="N34" s="128"/>
      <c r="O34" s="128"/>
      <c r="P34" s="128"/>
      <c r="Q34" s="128"/>
      <c r="R34" s="128"/>
      <c r="S34" s="128"/>
      <c r="T34" s="128"/>
      <c r="U34" s="128"/>
    </row>
    <row r="35" spans="1:21" x14ac:dyDescent="0.2">
      <c r="A35" s="138"/>
      <c r="C35" s="128"/>
      <c r="D35" s="128"/>
      <c r="E35" s="128"/>
      <c r="F35" s="128"/>
      <c r="G35" s="128"/>
      <c r="H35" s="128"/>
      <c r="I35" s="128"/>
      <c r="J35" s="128"/>
      <c r="K35" s="128"/>
      <c r="L35" s="128"/>
      <c r="M35" s="128"/>
      <c r="N35" s="128"/>
      <c r="O35" s="128"/>
      <c r="P35" s="128"/>
      <c r="Q35" s="128"/>
      <c r="R35" s="128"/>
      <c r="S35" s="128"/>
      <c r="T35" s="128"/>
      <c r="U35" s="128"/>
    </row>
    <row r="36" spans="1:21" x14ac:dyDescent="0.2">
      <c r="A36" s="138"/>
      <c r="C36" s="128"/>
      <c r="D36" s="128"/>
      <c r="E36" s="128"/>
      <c r="F36" s="128"/>
      <c r="G36" s="128"/>
      <c r="H36" s="128"/>
      <c r="I36" s="128"/>
      <c r="J36" s="128"/>
      <c r="K36" s="128"/>
      <c r="L36" s="128"/>
      <c r="M36" s="128"/>
      <c r="N36" s="128"/>
      <c r="O36" s="128"/>
      <c r="P36" s="128"/>
      <c r="Q36" s="128"/>
      <c r="R36" s="128"/>
      <c r="S36" s="128"/>
      <c r="T36" s="128"/>
      <c r="U36" s="128"/>
    </row>
    <row r="37" spans="1:21" x14ac:dyDescent="0.2">
      <c r="A37" s="138"/>
      <c r="C37" s="128"/>
      <c r="D37" s="128"/>
      <c r="E37" s="128"/>
      <c r="F37" s="128"/>
      <c r="G37" s="128"/>
      <c r="H37" s="128"/>
      <c r="I37" s="128"/>
      <c r="J37" s="128"/>
      <c r="K37" s="128"/>
      <c r="L37" s="128"/>
      <c r="M37" s="128"/>
      <c r="N37" s="128"/>
      <c r="O37" s="128"/>
      <c r="P37" s="128"/>
      <c r="Q37" s="128"/>
      <c r="R37" s="128"/>
      <c r="S37" s="128"/>
      <c r="T37" s="128"/>
      <c r="U37" s="128"/>
    </row>
    <row r="38" spans="1:21" x14ac:dyDescent="0.2">
      <c r="A38" s="138"/>
      <c r="C38" s="128"/>
      <c r="D38" s="128"/>
      <c r="E38" s="128"/>
      <c r="F38" s="128"/>
      <c r="G38" s="128"/>
      <c r="H38" s="128"/>
      <c r="I38" s="128"/>
      <c r="J38" s="128"/>
      <c r="K38" s="128"/>
      <c r="L38" s="128"/>
      <c r="M38" s="128"/>
      <c r="N38" s="128"/>
      <c r="O38" s="128"/>
      <c r="P38" s="128"/>
      <c r="Q38" s="128"/>
      <c r="R38" s="128"/>
      <c r="S38" s="128"/>
      <c r="T38" s="128"/>
      <c r="U38" s="128"/>
    </row>
    <row r="39" spans="1:21" x14ac:dyDescent="0.2">
      <c r="A39" s="138"/>
      <c r="C39" s="128"/>
      <c r="D39" s="128"/>
      <c r="E39" s="128"/>
      <c r="F39" s="128"/>
      <c r="G39" s="128"/>
      <c r="H39" s="128"/>
      <c r="I39" s="128"/>
      <c r="J39" s="128"/>
      <c r="K39" s="128"/>
      <c r="L39" s="128"/>
      <c r="M39" s="128"/>
      <c r="N39" s="128"/>
      <c r="O39" s="128"/>
      <c r="P39" s="128"/>
      <c r="Q39" s="128"/>
      <c r="R39" s="128"/>
      <c r="S39" s="128"/>
      <c r="T39" s="128"/>
      <c r="U39" s="128"/>
    </row>
    <row r="40" spans="1:21" x14ac:dyDescent="0.2">
      <c r="A40" s="138"/>
      <c r="C40" s="128"/>
      <c r="D40" s="128"/>
      <c r="E40" s="128"/>
      <c r="F40" s="128"/>
      <c r="G40" s="128"/>
      <c r="H40" s="128"/>
      <c r="I40" s="128"/>
      <c r="J40" s="128"/>
      <c r="K40" s="128"/>
      <c r="L40" s="128"/>
      <c r="M40" s="128"/>
      <c r="N40" s="128"/>
      <c r="O40" s="128"/>
      <c r="P40" s="128"/>
      <c r="Q40" s="128"/>
      <c r="R40" s="128"/>
      <c r="S40" s="128"/>
      <c r="T40" s="128"/>
      <c r="U40" s="128"/>
    </row>
    <row r="41" spans="1:21" x14ac:dyDescent="0.2">
      <c r="A41" s="138"/>
      <c r="C41" s="128"/>
      <c r="D41" s="128"/>
      <c r="E41" s="128"/>
      <c r="F41" s="128"/>
      <c r="G41" s="128"/>
      <c r="H41" s="128"/>
      <c r="I41" s="128"/>
      <c r="J41" s="128"/>
      <c r="K41" s="128"/>
      <c r="L41" s="128"/>
      <c r="M41" s="128"/>
      <c r="N41" s="128"/>
      <c r="O41" s="128"/>
      <c r="P41" s="128"/>
      <c r="Q41" s="128"/>
      <c r="R41" s="128"/>
      <c r="S41" s="128"/>
      <c r="T41" s="128"/>
      <c r="U41" s="128"/>
    </row>
  </sheetData>
  <mergeCells count="4">
    <mergeCell ref="A1:Q1"/>
    <mergeCell ref="A2:Q2"/>
    <mergeCell ref="A3:Q3"/>
    <mergeCell ref="A4:Q4"/>
  </mergeCells>
  <printOptions horizontalCentered="1"/>
  <pageMargins left="0.25" right="0.25" top="0.57999999999999996" bottom="0.72" header="0.22" footer="0.46"/>
  <pageSetup scale="52" pageOrder="overThenDown" orientation="landscape" r:id="rId1"/>
  <headerFooter alignWithMargins="0">
    <oddHeader>&amp;RAdvice No. 2018-xx
Workpaper No. 24</oddHeader>
    <oddFooter>&amp;L&amp;F
&amp;A&amp;R&amp;D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zoomScaleNormal="100" workbookViewId="0">
      <pane xSplit="1" ySplit="5" topLeftCell="B6" activePane="bottomRight" state="frozen"/>
      <selection activeCell="C48" sqref="C48"/>
      <selection pane="topRight" activeCell="C48" sqref="C48"/>
      <selection pane="bottomLeft" activeCell="C48" sqref="C48"/>
      <selection pane="bottomRight" activeCell="C48" sqref="C48"/>
    </sheetView>
  </sheetViews>
  <sheetFormatPr defaultColWidth="13.7109375" defaultRowHeight="15" x14ac:dyDescent="0.25"/>
  <cols>
    <col min="1" max="1" width="43.140625" style="232" customWidth="1"/>
    <col min="2" max="14" width="13.28515625" style="232" customWidth="1"/>
    <col min="15" max="16384" width="13.7109375" style="232"/>
  </cols>
  <sheetData>
    <row r="1" spans="1:14" x14ac:dyDescent="0.25">
      <c r="A1" s="231" t="s">
        <v>398</v>
      </c>
      <c r="B1" s="231" t="s">
        <v>399</v>
      </c>
    </row>
    <row r="3" spans="1:14" x14ac:dyDescent="0.25">
      <c r="B3" s="231" t="s">
        <v>400</v>
      </c>
      <c r="C3" s="231" t="s">
        <v>401</v>
      </c>
    </row>
    <row r="4" spans="1:14" x14ac:dyDescent="0.25">
      <c r="B4" s="519" t="s">
        <v>402</v>
      </c>
      <c r="C4" s="519" t="s">
        <v>402</v>
      </c>
      <c r="D4" s="519" t="s">
        <v>402</v>
      </c>
      <c r="E4" s="519" t="s">
        <v>402</v>
      </c>
      <c r="F4" s="519" t="s">
        <v>402</v>
      </c>
      <c r="G4" s="519" t="s">
        <v>402</v>
      </c>
      <c r="H4" s="519" t="s">
        <v>402</v>
      </c>
      <c r="I4" s="519" t="s">
        <v>402</v>
      </c>
      <c r="J4" s="519" t="s">
        <v>402</v>
      </c>
      <c r="K4" s="519" t="s">
        <v>402</v>
      </c>
      <c r="L4" s="519" t="s">
        <v>402</v>
      </c>
      <c r="M4" s="519" t="s">
        <v>402</v>
      </c>
      <c r="N4" s="520" t="s">
        <v>402</v>
      </c>
    </row>
    <row r="5" spans="1:14" ht="15.75" thickBot="1" x14ac:dyDescent="0.3">
      <c r="A5" s="231" t="s">
        <v>403</v>
      </c>
      <c r="B5" s="233" t="s">
        <v>404</v>
      </c>
      <c r="C5" s="233" t="s">
        <v>405</v>
      </c>
      <c r="D5" s="233" t="s">
        <v>406</v>
      </c>
      <c r="E5" s="233" t="s">
        <v>407</v>
      </c>
      <c r="F5" s="233" t="s">
        <v>408</v>
      </c>
      <c r="G5" s="233" t="s">
        <v>409</v>
      </c>
      <c r="H5" s="233" t="s">
        <v>410</v>
      </c>
      <c r="I5" s="233" t="s">
        <v>411</v>
      </c>
      <c r="J5" s="233" t="s">
        <v>412</v>
      </c>
      <c r="K5" s="233" t="s">
        <v>413</v>
      </c>
      <c r="L5" s="233" t="s">
        <v>414</v>
      </c>
      <c r="M5" s="233" t="s">
        <v>415</v>
      </c>
      <c r="N5" s="234" t="s">
        <v>286</v>
      </c>
    </row>
    <row r="6" spans="1:14" x14ac:dyDescent="0.25">
      <c r="A6" s="235" t="s">
        <v>416</v>
      </c>
      <c r="B6" s="236"/>
      <c r="C6" s="236"/>
      <c r="D6" s="236"/>
      <c r="E6" s="236"/>
      <c r="F6" s="236"/>
      <c r="G6" s="236"/>
      <c r="H6" s="236"/>
      <c r="I6" s="236"/>
      <c r="J6" s="236"/>
      <c r="K6" s="236"/>
      <c r="L6" s="236"/>
      <c r="M6" s="236"/>
      <c r="N6" s="237"/>
    </row>
    <row r="7" spans="1:14" x14ac:dyDescent="0.25">
      <c r="A7" s="238" t="s">
        <v>417</v>
      </c>
      <c r="B7" s="239"/>
      <c r="C7" s="239"/>
      <c r="D7" s="239"/>
      <c r="E7" s="239"/>
      <c r="F7" s="239"/>
      <c r="G7" s="239"/>
      <c r="H7" s="239"/>
      <c r="I7" s="239"/>
      <c r="J7" s="239"/>
      <c r="K7" s="239"/>
      <c r="L7" s="239"/>
      <c r="M7" s="239"/>
      <c r="N7" s="234"/>
    </row>
    <row r="8" spans="1:14" x14ac:dyDescent="0.25">
      <c r="A8" s="240" t="s">
        <v>418</v>
      </c>
      <c r="B8" s="241">
        <v>1</v>
      </c>
      <c r="C8" s="241">
        <v>1</v>
      </c>
      <c r="D8" s="241">
        <v>1</v>
      </c>
      <c r="E8" s="241">
        <v>1</v>
      </c>
      <c r="F8" s="241">
        <v>1</v>
      </c>
      <c r="G8" s="241">
        <v>1</v>
      </c>
      <c r="H8" s="241">
        <v>1</v>
      </c>
      <c r="I8" s="241">
        <v>1</v>
      </c>
      <c r="J8" s="241">
        <v>1</v>
      </c>
      <c r="K8" s="241">
        <v>1</v>
      </c>
      <c r="L8" s="241">
        <v>1</v>
      </c>
      <c r="M8" s="241">
        <v>1</v>
      </c>
      <c r="N8" s="242">
        <f>AVERAGE(B8:M8)</f>
        <v>1</v>
      </c>
    </row>
    <row r="9" spans="1:14" x14ac:dyDescent="0.25">
      <c r="A9" s="238" t="s">
        <v>419</v>
      </c>
      <c r="B9" s="243">
        <v>8</v>
      </c>
      <c r="C9" s="243">
        <v>8</v>
      </c>
      <c r="D9" s="243">
        <v>8</v>
      </c>
      <c r="E9" s="243">
        <v>8</v>
      </c>
      <c r="F9" s="243">
        <v>8</v>
      </c>
      <c r="G9" s="243">
        <v>8</v>
      </c>
      <c r="H9" s="243">
        <v>8</v>
      </c>
      <c r="I9" s="243">
        <v>8</v>
      </c>
      <c r="J9" s="243">
        <v>8</v>
      </c>
      <c r="K9" s="243">
        <v>8</v>
      </c>
      <c r="L9" s="243">
        <v>8</v>
      </c>
      <c r="M9" s="243">
        <v>8</v>
      </c>
      <c r="N9" s="242">
        <f t="shared" ref="N9:N54" si="0">AVERAGE(B9:M9)</f>
        <v>8</v>
      </c>
    </row>
    <row r="10" spans="1:14" x14ac:dyDescent="0.25">
      <c r="A10" s="240" t="s">
        <v>420</v>
      </c>
      <c r="B10" s="241">
        <v>13</v>
      </c>
      <c r="C10" s="241">
        <v>14</v>
      </c>
      <c r="D10" s="241">
        <v>14</v>
      </c>
      <c r="E10" s="241">
        <v>14</v>
      </c>
      <c r="F10" s="241">
        <v>14</v>
      </c>
      <c r="G10" s="241">
        <v>13</v>
      </c>
      <c r="H10" s="241">
        <v>13</v>
      </c>
      <c r="I10" s="241">
        <v>13</v>
      </c>
      <c r="J10" s="241">
        <v>13</v>
      </c>
      <c r="K10" s="241">
        <v>13</v>
      </c>
      <c r="L10" s="241">
        <v>13</v>
      </c>
      <c r="M10" s="241">
        <v>13</v>
      </c>
      <c r="N10" s="242">
        <f t="shared" si="0"/>
        <v>13.333333333333334</v>
      </c>
    </row>
    <row r="11" spans="1:14" x14ac:dyDescent="0.25">
      <c r="A11" s="238" t="s">
        <v>421</v>
      </c>
      <c r="B11" s="243">
        <v>313</v>
      </c>
      <c r="C11" s="243">
        <v>316</v>
      </c>
      <c r="D11" s="243">
        <v>315</v>
      </c>
      <c r="E11" s="243">
        <v>307</v>
      </c>
      <c r="F11" s="243">
        <v>308</v>
      </c>
      <c r="G11" s="243">
        <v>309</v>
      </c>
      <c r="H11" s="243">
        <v>308</v>
      </c>
      <c r="I11" s="243">
        <v>308</v>
      </c>
      <c r="J11" s="243">
        <v>310</v>
      </c>
      <c r="K11" s="243">
        <v>310</v>
      </c>
      <c r="L11" s="243">
        <v>311</v>
      </c>
      <c r="M11" s="243">
        <v>308</v>
      </c>
      <c r="N11" s="242">
        <f t="shared" si="0"/>
        <v>310.25</v>
      </c>
    </row>
    <row r="12" spans="1:14" x14ac:dyDescent="0.25">
      <c r="A12" s="240" t="s">
        <v>422</v>
      </c>
      <c r="B12" s="241">
        <v>12</v>
      </c>
      <c r="C12" s="241">
        <v>13</v>
      </c>
      <c r="D12" s="241">
        <v>13</v>
      </c>
      <c r="E12" s="241">
        <v>13</v>
      </c>
      <c r="F12" s="241">
        <v>13</v>
      </c>
      <c r="G12" s="241">
        <v>14</v>
      </c>
      <c r="H12" s="241">
        <v>14</v>
      </c>
      <c r="I12" s="241">
        <v>14</v>
      </c>
      <c r="J12" s="241">
        <v>14</v>
      </c>
      <c r="K12" s="241">
        <v>13</v>
      </c>
      <c r="L12" s="241">
        <v>13</v>
      </c>
      <c r="M12" s="241">
        <v>13</v>
      </c>
      <c r="N12" s="242">
        <f t="shared" si="0"/>
        <v>13.25</v>
      </c>
    </row>
    <row r="13" spans="1:14" x14ac:dyDescent="0.25">
      <c r="A13" s="238" t="s">
        <v>423</v>
      </c>
      <c r="B13" s="243">
        <v>85684</v>
      </c>
      <c r="C13" s="243">
        <v>85734</v>
      </c>
      <c r="D13" s="243">
        <v>85693</v>
      </c>
      <c r="E13" s="243">
        <v>85901</v>
      </c>
      <c r="F13" s="243">
        <v>86013</v>
      </c>
      <c r="G13" s="243">
        <v>86089</v>
      </c>
      <c r="H13" s="243">
        <v>86268</v>
      </c>
      <c r="I13" s="243">
        <v>86596</v>
      </c>
      <c r="J13" s="243">
        <v>86638</v>
      </c>
      <c r="K13" s="243">
        <v>86766</v>
      </c>
      <c r="L13" s="243">
        <v>87150</v>
      </c>
      <c r="M13" s="243">
        <v>87178</v>
      </c>
      <c r="N13" s="242">
        <f t="shared" si="0"/>
        <v>86309.166666666672</v>
      </c>
    </row>
    <row r="14" spans="1:14" x14ac:dyDescent="0.25">
      <c r="A14" s="240" t="s">
        <v>424</v>
      </c>
      <c r="B14" s="241">
        <v>2753</v>
      </c>
      <c r="C14" s="241">
        <v>2749</v>
      </c>
      <c r="D14" s="241">
        <v>2747</v>
      </c>
      <c r="E14" s="241">
        <v>2751</v>
      </c>
      <c r="F14" s="241">
        <v>2747</v>
      </c>
      <c r="G14" s="241">
        <v>2729</v>
      </c>
      <c r="H14" s="241">
        <v>2736</v>
      </c>
      <c r="I14" s="241">
        <v>2729</v>
      </c>
      <c r="J14" s="241">
        <v>2719</v>
      </c>
      <c r="K14" s="241">
        <v>2724</v>
      </c>
      <c r="L14" s="241">
        <v>2717</v>
      </c>
      <c r="M14" s="241">
        <v>2715</v>
      </c>
      <c r="N14" s="242">
        <f t="shared" si="0"/>
        <v>2734.6666666666665</v>
      </c>
    </row>
    <row r="15" spans="1:14" x14ac:dyDescent="0.25">
      <c r="A15" s="238" t="s">
        <v>425</v>
      </c>
      <c r="B15" s="243">
        <v>1140</v>
      </c>
      <c r="C15" s="243">
        <v>1140</v>
      </c>
      <c r="D15" s="243">
        <v>1139</v>
      </c>
      <c r="E15" s="243">
        <v>1137</v>
      </c>
      <c r="F15" s="243">
        <v>1136</v>
      </c>
      <c r="G15" s="243">
        <v>1135</v>
      </c>
      <c r="H15" s="243">
        <v>1133</v>
      </c>
      <c r="I15" s="243">
        <v>1133</v>
      </c>
      <c r="J15" s="243">
        <v>1133</v>
      </c>
      <c r="K15" s="243">
        <v>1133</v>
      </c>
      <c r="L15" s="243">
        <v>1130</v>
      </c>
      <c r="M15" s="243">
        <v>1131</v>
      </c>
      <c r="N15" s="242">
        <f t="shared" si="0"/>
        <v>1135</v>
      </c>
    </row>
    <row r="16" spans="1:14" x14ac:dyDescent="0.25">
      <c r="A16" s="240" t="s">
        <v>426</v>
      </c>
      <c r="B16" s="241">
        <v>6262</v>
      </c>
      <c r="C16" s="241">
        <v>6323</v>
      </c>
      <c r="D16" s="241">
        <v>6341</v>
      </c>
      <c r="E16" s="241">
        <v>6379</v>
      </c>
      <c r="F16" s="241">
        <v>6389</v>
      </c>
      <c r="G16" s="241">
        <v>6399</v>
      </c>
      <c r="H16" s="241">
        <v>6403</v>
      </c>
      <c r="I16" s="241">
        <v>6412</v>
      </c>
      <c r="J16" s="241">
        <v>6415</v>
      </c>
      <c r="K16" s="241">
        <v>6419</v>
      </c>
      <c r="L16" s="241">
        <v>6453</v>
      </c>
      <c r="M16" s="241">
        <v>6475</v>
      </c>
      <c r="N16" s="242">
        <f t="shared" si="0"/>
        <v>6389.166666666667</v>
      </c>
    </row>
    <row r="17" spans="1:14" x14ac:dyDescent="0.25">
      <c r="A17" s="238" t="s">
        <v>427</v>
      </c>
      <c r="B17" s="243">
        <v>437</v>
      </c>
      <c r="C17" s="243">
        <v>440</v>
      </c>
      <c r="D17" s="243">
        <v>443</v>
      </c>
      <c r="E17" s="243">
        <v>437</v>
      </c>
      <c r="F17" s="243">
        <v>439</v>
      </c>
      <c r="G17" s="243">
        <v>435</v>
      </c>
      <c r="H17" s="243">
        <v>435</v>
      </c>
      <c r="I17" s="243">
        <v>436</v>
      </c>
      <c r="J17" s="243">
        <v>437</v>
      </c>
      <c r="K17" s="243">
        <v>438</v>
      </c>
      <c r="L17" s="243">
        <v>436</v>
      </c>
      <c r="M17" s="243">
        <v>438</v>
      </c>
      <c r="N17" s="242">
        <f t="shared" si="0"/>
        <v>437.58333333333331</v>
      </c>
    </row>
    <row r="18" spans="1:14" x14ac:dyDescent="0.25">
      <c r="A18" s="240" t="s">
        <v>428</v>
      </c>
      <c r="B18" s="241">
        <v>8</v>
      </c>
      <c r="C18" s="241">
        <v>8</v>
      </c>
      <c r="D18" s="241">
        <v>8</v>
      </c>
      <c r="E18" s="241">
        <v>8</v>
      </c>
      <c r="F18" s="241">
        <v>8</v>
      </c>
      <c r="G18" s="241">
        <v>8</v>
      </c>
      <c r="H18" s="241">
        <v>8</v>
      </c>
      <c r="I18" s="241">
        <v>8</v>
      </c>
      <c r="J18" s="241">
        <v>8</v>
      </c>
      <c r="K18" s="241">
        <v>8</v>
      </c>
      <c r="L18" s="241">
        <v>8</v>
      </c>
      <c r="M18" s="241">
        <v>8</v>
      </c>
      <c r="N18" s="242">
        <f t="shared" si="0"/>
        <v>8</v>
      </c>
    </row>
    <row r="19" spans="1:14" x14ac:dyDescent="0.25">
      <c r="A19" s="238" t="s">
        <v>429</v>
      </c>
      <c r="B19" s="243">
        <v>686</v>
      </c>
      <c r="C19" s="243">
        <v>689</v>
      </c>
      <c r="D19" s="243">
        <v>688</v>
      </c>
      <c r="E19" s="243">
        <v>686</v>
      </c>
      <c r="F19" s="243">
        <v>689</v>
      </c>
      <c r="G19" s="243">
        <v>689</v>
      </c>
      <c r="H19" s="243">
        <v>690</v>
      </c>
      <c r="I19" s="243">
        <v>694</v>
      </c>
      <c r="J19" s="243">
        <v>692</v>
      </c>
      <c r="K19" s="243">
        <v>695</v>
      </c>
      <c r="L19" s="243">
        <v>699</v>
      </c>
      <c r="M19" s="243">
        <v>699</v>
      </c>
      <c r="N19" s="242">
        <f t="shared" si="0"/>
        <v>691.33333333333337</v>
      </c>
    </row>
    <row r="20" spans="1:14" x14ac:dyDescent="0.25">
      <c r="A20" s="240" t="s">
        <v>430</v>
      </c>
      <c r="B20" s="241">
        <v>89</v>
      </c>
      <c r="C20" s="241">
        <v>89</v>
      </c>
      <c r="D20" s="241">
        <v>89</v>
      </c>
      <c r="E20" s="241">
        <v>90</v>
      </c>
      <c r="F20" s="241">
        <v>90</v>
      </c>
      <c r="G20" s="241">
        <v>90</v>
      </c>
      <c r="H20" s="241">
        <v>90</v>
      </c>
      <c r="I20" s="241">
        <v>90</v>
      </c>
      <c r="J20" s="241">
        <v>90</v>
      </c>
      <c r="K20" s="241">
        <v>89</v>
      </c>
      <c r="L20" s="241">
        <v>88</v>
      </c>
      <c r="M20" s="241">
        <v>88</v>
      </c>
      <c r="N20" s="242">
        <f t="shared" si="0"/>
        <v>89.333333333333329</v>
      </c>
    </row>
    <row r="21" spans="1:14" x14ac:dyDescent="0.25">
      <c r="A21" s="238" t="s">
        <v>431</v>
      </c>
      <c r="B21" s="243">
        <v>509</v>
      </c>
      <c r="C21" s="243">
        <v>511</v>
      </c>
      <c r="D21" s="243">
        <v>507</v>
      </c>
      <c r="E21" s="243">
        <v>531</v>
      </c>
      <c r="F21" s="243">
        <v>587</v>
      </c>
      <c r="G21" s="243">
        <v>625</v>
      </c>
      <c r="H21" s="243">
        <v>667</v>
      </c>
      <c r="I21" s="243">
        <v>685</v>
      </c>
      <c r="J21" s="243">
        <v>683</v>
      </c>
      <c r="K21" s="243">
        <v>638</v>
      </c>
      <c r="L21" s="243">
        <v>551</v>
      </c>
      <c r="M21" s="243">
        <v>539</v>
      </c>
      <c r="N21" s="242">
        <f t="shared" si="0"/>
        <v>586.08333333333337</v>
      </c>
    </row>
    <row r="22" spans="1:14" x14ac:dyDescent="0.25">
      <c r="A22" s="240" t="s">
        <v>432</v>
      </c>
      <c r="B22" s="241">
        <v>346</v>
      </c>
      <c r="C22" s="241">
        <v>345</v>
      </c>
      <c r="D22" s="241">
        <v>345</v>
      </c>
      <c r="E22" s="241">
        <v>345</v>
      </c>
      <c r="F22" s="241">
        <v>345</v>
      </c>
      <c r="G22" s="241">
        <v>344</v>
      </c>
      <c r="H22" s="241">
        <v>344</v>
      </c>
      <c r="I22" s="241">
        <v>346</v>
      </c>
      <c r="J22" s="241">
        <v>346</v>
      </c>
      <c r="K22" s="241">
        <v>346</v>
      </c>
      <c r="L22" s="241">
        <v>346</v>
      </c>
      <c r="M22" s="241">
        <v>347</v>
      </c>
      <c r="N22" s="242">
        <f t="shared" si="0"/>
        <v>345.41666666666669</v>
      </c>
    </row>
    <row r="23" spans="1:14" x14ac:dyDescent="0.25">
      <c r="A23" s="238" t="s">
        <v>433</v>
      </c>
      <c r="B23" s="243">
        <v>121</v>
      </c>
      <c r="C23" s="243">
        <v>121</v>
      </c>
      <c r="D23" s="243">
        <v>121</v>
      </c>
      <c r="E23" s="243">
        <v>123</v>
      </c>
      <c r="F23" s="243">
        <v>122</v>
      </c>
      <c r="G23" s="243">
        <v>122</v>
      </c>
      <c r="H23" s="243">
        <v>123</v>
      </c>
      <c r="I23" s="243">
        <v>123</v>
      </c>
      <c r="J23" s="243">
        <v>122</v>
      </c>
      <c r="K23" s="243">
        <v>123</v>
      </c>
      <c r="L23" s="243">
        <v>121</v>
      </c>
      <c r="M23" s="243">
        <v>121</v>
      </c>
      <c r="N23" s="242">
        <f t="shared" si="0"/>
        <v>121.91666666666667</v>
      </c>
    </row>
    <row r="24" spans="1:14" x14ac:dyDescent="0.25">
      <c r="A24" s="240" t="s">
        <v>434</v>
      </c>
      <c r="B24" s="241">
        <v>1</v>
      </c>
      <c r="C24" s="241">
        <v>1</v>
      </c>
      <c r="D24" s="241">
        <v>1</v>
      </c>
      <c r="E24" s="241">
        <v>1</v>
      </c>
      <c r="F24" s="241">
        <v>1</v>
      </c>
      <c r="G24" s="241">
        <v>1</v>
      </c>
      <c r="H24" s="241">
        <v>1</v>
      </c>
      <c r="I24" s="241">
        <v>1</v>
      </c>
      <c r="J24" s="241">
        <v>1</v>
      </c>
      <c r="K24" s="241">
        <v>1</v>
      </c>
      <c r="L24" s="241">
        <v>1</v>
      </c>
      <c r="M24" s="241">
        <v>1</v>
      </c>
      <c r="N24" s="242">
        <f t="shared" si="0"/>
        <v>1</v>
      </c>
    </row>
    <row r="25" spans="1:14" x14ac:dyDescent="0.25">
      <c r="A25" s="238" t="s">
        <v>435</v>
      </c>
      <c r="B25" s="243">
        <v>126</v>
      </c>
      <c r="C25" s="243">
        <v>126</v>
      </c>
      <c r="D25" s="243">
        <v>126</v>
      </c>
      <c r="E25" s="243">
        <v>126</v>
      </c>
      <c r="F25" s="243">
        <v>125</v>
      </c>
      <c r="G25" s="243">
        <v>125</v>
      </c>
      <c r="H25" s="243">
        <v>125</v>
      </c>
      <c r="I25" s="243">
        <v>125</v>
      </c>
      <c r="J25" s="243">
        <v>125</v>
      </c>
      <c r="K25" s="243">
        <v>125</v>
      </c>
      <c r="L25" s="243">
        <v>124</v>
      </c>
      <c r="M25" s="243">
        <v>124</v>
      </c>
      <c r="N25" s="242">
        <f t="shared" si="0"/>
        <v>125.16666666666667</v>
      </c>
    </row>
    <row r="26" spans="1:14" x14ac:dyDescent="0.25">
      <c r="A26" s="240" t="s">
        <v>436</v>
      </c>
      <c r="B26" s="241">
        <v>6</v>
      </c>
      <c r="C26" s="241">
        <v>6</v>
      </c>
      <c r="D26" s="241">
        <v>6</v>
      </c>
      <c r="E26" s="241">
        <v>6</v>
      </c>
      <c r="F26" s="241">
        <v>6</v>
      </c>
      <c r="G26" s="241">
        <v>6</v>
      </c>
      <c r="H26" s="241">
        <v>6</v>
      </c>
      <c r="I26" s="241">
        <v>6</v>
      </c>
      <c r="J26" s="241">
        <v>6</v>
      </c>
      <c r="K26" s="241">
        <v>6</v>
      </c>
      <c r="L26" s="241">
        <v>6</v>
      </c>
      <c r="M26" s="241">
        <v>6</v>
      </c>
      <c r="N26" s="242">
        <f t="shared" si="0"/>
        <v>6</v>
      </c>
    </row>
    <row r="27" spans="1:14" x14ac:dyDescent="0.25">
      <c r="A27" s="238" t="s">
        <v>437</v>
      </c>
      <c r="B27" s="243">
        <v>158</v>
      </c>
      <c r="C27" s="243">
        <v>158</v>
      </c>
      <c r="D27" s="243">
        <v>158</v>
      </c>
      <c r="E27" s="243">
        <v>158</v>
      </c>
      <c r="F27" s="243">
        <v>158</v>
      </c>
      <c r="G27" s="243">
        <v>158</v>
      </c>
      <c r="H27" s="243">
        <v>158</v>
      </c>
      <c r="I27" s="243">
        <v>158</v>
      </c>
      <c r="J27" s="243">
        <v>157</v>
      </c>
      <c r="K27" s="243">
        <v>157</v>
      </c>
      <c r="L27" s="243">
        <v>157</v>
      </c>
      <c r="M27" s="243">
        <v>157</v>
      </c>
      <c r="N27" s="242">
        <f t="shared" si="0"/>
        <v>157.66666666666666</v>
      </c>
    </row>
    <row r="28" spans="1:14" x14ac:dyDescent="0.25">
      <c r="A28" s="240" t="s">
        <v>438</v>
      </c>
      <c r="B28" s="241">
        <v>1</v>
      </c>
      <c r="C28" s="241">
        <v>1</v>
      </c>
      <c r="D28" s="241">
        <v>1</v>
      </c>
      <c r="E28" s="241">
        <v>1</v>
      </c>
      <c r="F28" s="241">
        <v>1</v>
      </c>
      <c r="G28" s="241">
        <v>1</v>
      </c>
      <c r="H28" s="241">
        <v>1</v>
      </c>
      <c r="I28" s="241">
        <v>1</v>
      </c>
      <c r="J28" s="241">
        <v>1</v>
      </c>
      <c r="K28" s="241">
        <v>1</v>
      </c>
      <c r="L28" s="241">
        <v>1</v>
      </c>
      <c r="M28" s="241">
        <v>1</v>
      </c>
      <c r="N28" s="242">
        <f t="shared" si="0"/>
        <v>1</v>
      </c>
    </row>
    <row r="29" spans="1:14" x14ac:dyDescent="0.25">
      <c r="A29" s="238" t="s">
        <v>439</v>
      </c>
      <c r="B29" s="243">
        <v>12</v>
      </c>
      <c r="C29" s="243">
        <v>12</v>
      </c>
      <c r="D29" s="243">
        <v>12</v>
      </c>
      <c r="E29" s="243">
        <v>12</v>
      </c>
      <c r="F29" s="243">
        <v>12</v>
      </c>
      <c r="G29" s="243">
        <v>12</v>
      </c>
      <c r="H29" s="243">
        <v>12</v>
      </c>
      <c r="I29" s="243">
        <v>12</v>
      </c>
      <c r="J29" s="243">
        <v>12</v>
      </c>
      <c r="K29" s="243">
        <v>12</v>
      </c>
      <c r="L29" s="243">
        <v>12</v>
      </c>
      <c r="M29" s="243">
        <v>12</v>
      </c>
      <c r="N29" s="242">
        <f t="shared" si="0"/>
        <v>12</v>
      </c>
    </row>
    <row r="30" spans="1:14" x14ac:dyDescent="0.25">
      <c r="A30" s="240" t="s">
        <v>440</v>
      </c>
      <c r="B30" s="241">
        <v>3</v>
      </c>
      <c r="C30" s="241">
        <v>3</v>
      </c>
      <c r="D30" s="241">
        <v>3</v>
      </c>
      <c r="E30" s="241">
        <v>3</v>
      </c>
      <c r="F30" s="241">
        <v>3</v>
      </c>
      <c r="G30" s="241">
        <v>3</v>
      </c>
      <c r="H30" s="241">
        <v>3</v>
      </c>
      <c r="I30" s="241">
        <v>3</v>
      </c>
      <c r="J30" s="241">
        <v>3</v>
      </c>
      <c r="K30" s="241">
        <v>3</v>
      </c>
      <c r="L30" s="241">
        <v>3</v>
      </c>
      <c r="M30" s="241">
        <v>3</v>
      </c>
      <c r="N30" s="242">
        <f t="shared" si="0"/>
        <v>3</v>
      </c>
    </row>
    <row r="31" spans="1:14" x14ac:dyDescent="0.25">
      <c r="A31" s="238" t="s">
        <v>441</v>
      </c>
      <c r="B31" s="243">
        <v>2</v>
      </c>
      <c r="C31" s="243">
        <v>2</v>
      </c>
      <c r="D31" s="243">
        <v>2</v>
      </c>
      <c r="E31" s="243">
        <v>2</v>
      </c>
      <c r="F31" s="243">
        <v>2</v>
      </c>
      <c r="G31" s="243">
        <v>2</v>
      </c>
      <c r="H31" s="243">
        <v>2</v>
      </c>
      <c r="I31" s="243">
        <v>2</v>
      </c>
      <c r="J31" s="243">
        <v>2</v>
      </c>
      <c r="K31" s="243">
        <v>2</v>
      </c>
      <c r="L31" s="243">
        <v>2</v>
      </c>
      <c r="M31" s="243">
        <v>2</v>
      </c>
      <c r="N31" s="242">
        <f t="shared" si="0"/>
        <v>2</v>
      </c>
    </row>
    <row r="32" spans="1:14" x14ac:dyDescent="0.25">
      <c r="A32" s="240" t="s">
        <v>442</v>
      </c>
      <c r="B32" s="241">
        <v>4</v>
      </c>
      <c r="C32" s="241">
        <v>4</v>
      </c>
      <c r="D32" s="241">
        <v>4</v>
      </c>
      <c r="E32" s="241">
        <v>4</v>
      </c>
      <c r="F32" s="241">
        <v>4</v>
      </c>
      <c r="G32" s="241">
        <v>4</v>
      </c>
      <c r="H32" s="241">
        <v>4</v>
      </c>
      <c r="I32" s="241">
        <v>4</v>
      </c>
      <c r="J32" s="241">
        <v>4</v>
      </c>
      <c r="K32" s="241">
        <v>4</v>
      </c>
      <c r="L32" s="241">
        <v>4</v>
      </c>
      <c r="M32" s="241">
        <v>4</v>
      </c>
      <c r="N32" s="242">
        <f t="shared" si="0"/>
        <v>4</v>
      </c>
    </row>
    <row r="33" spans="1:14" x14ac:dyDescent="0.25">
      <c r="A33" s="238" t="s">
        <v>443</v>
      </c>
      <c r="B33" s="243">
        <v>14</v>
      </c>
      <c r="C33" s="243">
        <v>14</v>
      </c>
      <c r="D33" s="243">
        <v>14</v>
      </c>
      <c r="E33" s="243">
        <v>14</v>
      </c>
      <c r="F33" s="243">
        <v>14</v>
      </c>
      <c r="G33" s="243">
        <v>14</v>
      </c>
      <c r="H33" s="243">
        <v>14</v>
      </c>
      <c r="I33" s="243">
        <v>14</v>
      </c>
      <c r="J33" s="243">
        <v>14</v>
      </c>
      <c r="K33" s="243">
        <v>14</v>
      </c>
      <c r="L33" s="243">
        <v>14</v>
      </c>
      <c r="M33" s="243">
        <v>14</v>
      </c>
      <c r="N33" s="242">
        <f t="shared" si="0"/>
        <v>14</v>
      </c>
    </row>
    <row r="34" spans="1:14" x14ac:dyDescent="0.25">
      <c r="A34" s="240" t="s">
        <v>444</v>
      </c>
      <c r="B34" s="241">
        <v>5</v>
      </c>
      <c r="C34" s="241">
        <v>5</v>
      </c>
      <c r="D34" s="241">
        <v>5</v>
      </c>
      <c r="E34" s="241">
        <v>5</v>
      </c>
      <c r="F34" s="241">
        <v>5</v>
      </c>
      <c r="G34" s="241">
        <v>5</v>
      </c>
      <c r="H34" s="241">
        <v>5</v>
      </c>
      <c r="I34" s="241">
        <v>5</v>
      </c>
      <c r="J34" s="241">
        <v>5</v>
      </c>
      <c r="K34" s="241">
        <v>5</v>
      </c>
      <c r="L34" s="241">
        <v>5</v>
      </c>
      <c r="M34" s="241">
        <v>5</v>
      </c>
      <c r="N34" s="242">
        <f t="shared" si="0"/>
        <v>5</v>
      </c>
    </row>
    <row r="35" spans="1:14" x14ac:dyDescent="0.25">
      <c r="A35" s="238" t="s">
        <v>445</v>
      </c>
      <c r="B35" s="243">
        <v>11</v>
      </c>
      <c r="C35" s="243">
        <v>11</v>
      </c>
      <c r="D35" s="243">
        <v>11</v>
      </c>
      <c r="E35" s="243">
        <v>11</v>
      </c>
      <c r="F35" s="243">
        <v>11</v>
      </c>
      <c r="G35" s="243">
        <v>11</v>
      </c>
      <c r="H35" s="243">
        <v>11</v>
      </c>
      <c r="I35" s="243">
        <v>10</v>
      </c>
      <c r="J35" s="243">
        <v>10</v>
      </c>
      <c r="K35" s="243">
        <v>10</v>
      </c>
      <c r="L35" s="243">
        <v>10</v>
      </c>
      <c r="M35" s="243">
        <v>10</v>
      </c>
      <c r="N35" s="242">
        <f t="shared" si="0"/>
        <v>10.583333333333334</v>
      </c>
    </row>
    <row r="36" spans="1:14" x14ac:dyDescent="0.25">
      <c r="A36" s="240" t="s">
        <v>446</v>
      </c>
      <c r="B36" s="241">
        <v>281</v>
      </c>
      <c r="C36" s="241">
        <v>288</v>
      </c>
      <c r="D36" s="241">
        <v>317</v>
      </c>
      <c r="E36" s="241">
        <v>328</v>
      </c>
      <c r="F36" s="241">
        <v>346</v>
      </c>
      <c r="G36" s="241">
        <v>360</v>
      </c>
      <c r="H36" s="241">
        <v>373</v>
      </c>
      <c r="I36" s="241">
        <v>392</v>
      </c>
      <c r="J36" s="241">
        <v>412</v>
      </c>
      <c r="K36" s="241">
        <v>430</v>
      </c>
      <c r="L36" s="241">
        <v>460</v>
      </c>
      <c r="M36" s="241">
        <v>481</v>
      </c>
      <c r="N36" s="242">
        <f t="shared" si="0"/>
        <v>372.33333333333331</v>
      </c>
    </row>
    <row r="37" spans="1:14" x14ac:dyDescent="0.25">
      <c r="A37" s="238" t="s">
        <v>447</v>
      </c>
      <c r="B37" s="243">
        <v>2506</v>
      </c>
      <c r="C37" s="243">
        <v>2505</v>
      </c>
      <c r="D37" s="243">
        <v>2495</v>
      </c>
      <c r="E37" s="243">
        <v>2492</v>
      </c>
      <c r="F37" s="243">
        <v>2495</v>
      </c>
      <c r="G37" s="243">
        <v>2491</v>
      </c>
      <c r="H37" s="243">
        <v>2490</v>
      </c>
      <c r="I37" s="243">
        <v>2490</v>
      </c>
      <c r="J37" s="243">
        <v>2476</v>
      </c>
      <c r="K37" s="243">
        <v>2467</v>
      </c>
      <c r="L37" s="243">
        <v>2455</v>
      </c>
      <c r="M37" s="243">
        <v>2450</v>
      </c>
      <c r="N37" s="242">
        <f t="shared" si="0"/>
        <v>2484.3333333333335</v>
      </c>
    </row>
    <row r="38" spans="1:14" x14ac:dyDescent="0.25">
      <c r="A38" s="240" t="s">
        <v>448</v>
      </c>
      <c r="B38" s="241">
        <v>2494</v>
      </c>
      <c r="C38" s="241">
        <v>2517</v>
      </c>
      <c r="D38" s="241">
        <v>2537</v>
      </c>
      <c r="E38" s="241">
        <v>2520</v>
      </c>
      <c r="F38" s="241">
        <v>2527</v>
      </c>
      <c r="G38" s="241">
        <v>2548</v>
      </c>
      <c r="H38" s="241">
        <v>2561</v>
      </c>
      <c r="I38" s="241">
        <v>2575</v>
      </c>
      <c r="J38" s="241">
        <v>2571</v>
      </c>
      <c r="K38" s="241">
        <v>2576</v>
      </c>
      <c r="L38" s="241">
        <v>2584</v>
      </c>
      <c r="M38" s="241">
        <v>2597</v>
      </c>
      <c r="N38" s="242">
        <f t="shared" si="0"/>
        <v>2550.5833333333335</v>
      </c>
    </row>
    <row r="39" spans="1:14" x14ac:dyDescent="0.25">
      <c r="A39" s="238" t="s">
        <v>449</v>
      </c>
      <c r="B39" s="243">
        <v>44</v>
      </c>
      <c r="C39" s="243">
        <v>44</v>
      </c>
      <c r="D39" s="243">
        <v>44</v>
      </c>
      <c r="E39" s="243">
        <v>45</v>
      </c>
      <c r="F39" s="243">
        <v>44</v>
      </c>
      <c r="G39" s="243">
        <v>46</v>
      </c>
      <c r="H39" s="243">
        <v>46</v>
      </c>
      <c r="I39" s="243">
        <v>45</v>
      </c>
      <c r="J39" s="243">
        <v>44</v>
      </c>
      <c r="K39" s="243">
        <v>45</v>
      </c>
      <c r="L39" s="243">
        <v>44</v>
      </c>
      <c r="M39" s="243">
        <v>46</v>
      </c>
      <c r="N39" s="242">
        <f t="shared" si="0"/>
        <v>44.75</v>
      </c>
    </row>
    <row r="40" spans="1:14" x14ac:dyDescent="0.25">
      <c r="A40" s="240" t="s">
        <v>450</v>
      </c>
      <c r="B40" s="241">
        <v>811</v>
      </c>
      <c r="C40" s="241">
        <v>816</v>
      </c>
      <c r="D40" s="241">
        <v>806</v>
      </c>
      <c r="E40" s="241">
        <v>809</v>
      </c>
      <c r="F40" s="241">
        <v>814</v>
      </c>
      <c r="G40" s="241">
        <v>840</v>
      </c>
      <c r="H40" s="241">
        <v>820</v>
      </c>
      <c r="I40" s="241">
        <v>827</v>
      </c>
      <c r="J40" s="241">
        <v>821</v>
      </c>
      <c r="K40" s="241">
        <v>812</v>
      </c>
      <c r="L40" s="241">
        <v>820</v>
      </c>
      <c r="M40" s="241">
        <v>822</v>
      </c>
      <c r="N40" s="242">
        <f t="shared" si="0"/>
        <v>818.16666666666663</v>
      </c>
    </row>
    <row r="41" spans="1:14" x14ac:dyDescent="0.25">
      <c r="A41" s="238" t="s">
        <v>451</v>
      </c>
      <c r="B41" s="243">
        <v>843</v>
      </c>
      <c r="C41" s="243">
        <v>837</v>
      </c>
      <c r="D41" s="243">
        <v>828</v>
      </c>
      <c r="E41" s="243">
        <v>843</v>
      </c>
      <c r="F41" s="243">
        <v>863</v>
      </c>
      <c r="G41" s="243">
        <v>856</v>
      </c>
      <c r="H41" s="243">
        <v>858</v>
      </c>
      <c r="I41" s="243">
        <v>868</v>
      </c>
      <c r="J41" s="243">
        <v>868</v>
      </c>
      <c r="K41" s="243">
        <v>868</v>
      </c>
      <c r="L41" s="243">
        <v>863</v>
      </c>
      <c r="M41" s="243">
        <v>857</v>
      </c>
      <c r="N41" s="242">
        <f t="shared" si="0"/>
        <v>854.33333333333337</v>
      </c>
    </row>
    <row r="42" spans="1:14" x14ac:dyDescent="0.25">
      <c r="A42" s="240" t="s">
        <v>452</v>
      </c>
      <c r="B42" s="241">
        <v>107</v>
      </c>
      <c r="C42" s="241">
        <v>107</v>
      </c>
      <c r="D42" s="241">
        <v>108</v>
      </c>
      <c r="E42" s="241">
        <v>108</v>
      </c>
      <c r="F42" s="241">
        <v>108</v>
      </c>
      <c r="G42" s="241">
        <v>108</v>
      </c>
      <c r="H42" s="241">
        <v>108</v>
      </c>
      <c r="I42" s="241">
        <v>108</v>
      </c>
      <c r="J42" s="241">
        <v>108</v>
      </c>
      <c r="K42" s="241">
        <v>108</v>
      </c>
      <c r="L42" s="241">
        <v>108</v>
      </c>
      <c r="M42" s="241">
        <v>108</v>
      </c>
      <c r="N42" s="242">
        <f t="shared" si="0"/>
        <v>107.83333333333333</v>
      </c>
    </row>
    <row r="43" spans="1:14" x14ac:dyDescent="0.25">
      <c r="A43" s="238" t="s">
        <v>453</v>
      </c>
      <c r="B43" s="243">
        <v>284</v>
      </c>
      <c r="C43" s="243">
        <v>281</v>
      </c>
      <c r="D43" s="243">
        <v>285</v>
      </c>
      <c r="E43" s="243">
        <v>291</v>
      </c>
      <c r="F43" s="243">
        <v>283</v>
      </c>
      <c r="G43" s="243">
        <v>287</v>
      </c>
      <c r="H43" s="243">
        <v>287</v>
      </c>
      <c r="I43" s="243">
        <v>283</v>
      </c>
      <c r="J43" s="243">
        <v>292</v>
      </c>
      <c r="K43" s="243">
        <v>285</v>
      </c>
      <c r="L43" s="243">
        <v>284</v>
      </c>
      <c r="M43" s="243">
        <v>285</v>
      </c>
      <c r="N43" s="242">
        <f t="shared" si="0"/>
        <v>285.58333333333331</v>
      </c>
    </row>
    <row r="44" spans="1:14" x14ac:dyDescent="0.25">
      <c r="A44" s="240" t="s">
        <v>454</v>
      </c>
      <c r="B44" s="241">
        <v>28</v>
      </c>
      <c r="C44" s="241">
        <v>28</v>
      </c>
      <c r="D44" s="241">
        <v>28</v>
      </c>
      <c r="E44" s="241">
        <v>28</v>
      </c>
      <c r="F44" s="241">
        <v>28</v>
      </c>
      <c r="G44" s="241">
        <v>29</v>
      </c>
      <c r="H44" s="241">
        <v>28</v>
      </c>
      <c r="I44" s="241">
        <v>29</v>
      </c>
      <c r="J44" s="241">
        <v>26</v>
      </c>
      <c r="K44" s="241">
        <v>28</v>
      </c>
      <c r="L44" s="241">
        <v>28</v>
      </c>
      <c r="M44" s="241">
        <v>29</v>
      </c>
      <c r="N44" s="242">
        <f t="shared" si="0"/>
        <v>28.083333333333332</v>
      </c>
    </row>
    <row r="45" spans="1:14" x14ac:dyDescent="0.25">
      <c r="A45" s="238" t="s">
        <v>455</v>
      </c>
      <c r="B45" s="239"/>
      <c r="C45" s="239"/>
      <c r="D45" s="239"/>
      <c r="E45" s="239"/>
      <c r="F45" s="239"/>
      <c r="G45" s="239"/>
      <c r="H45" s="239"/>
      <c r="I45" s="239"/>
      <c r="J45" s="239"/>
      <c r="K45" s="239"/>
      <c r="L45" s="239"/>
      <c r="M45" s="239"/>
      <c r="N45" s="242"/>
    </row>
    <row r="46" spans="1:14" x14ac:dyDescent="0.25">
      <c r="A46" s="240" t="s">
        <v>456</v>
      </c>
      <c r="B46" s="241">
        <v>3</v>
      </c>
      <c r="C46" s="241">
        <v>3</v>
      </c>
      <c r="D46" s="241">
        <v>3</v>
      </c>
      <c r="E46" s="241">
        <v>3</v>
      </c>
      <c r="F46" s="241">
        <v>3</v>
      </c>
      <c r="G46" s="241">
        <v>3</v>
      </c>
      <c r="H46" s="241">
        <v>3</v>
      </c>
      <c r="I46" s="241">
        <v>2</v>
      </c>
      <c r="J46" s="241">
        <v>2</v>
      </c>
      <c r="K46" s="241">
        <v>2</v>
      </c>
      <c r="L46" s="241">
        <v>2</v>
      </c>
      <c r="M46" s="241">
        <v>5</v>
      </c>
      <c r="N46" s="242">
        <f t="shared" si="0"/>
        <v>2.8333333333333335</v>
      </c>
    </row>
    <row r="47" spans="1:14" x14ac:dyDescent="0.25">
      <c r="A47" s="238" t="s">
        <v>457</v>
      </c>
      <c r="B47" s="243">
        <v>993952</v>
      </c>
      <c r="C47" s="243">
        <v>994778</v>
      </c>
      <c r="D47" s="243">
        <v>995032</v>
      </c>
      <c r="E47" s="243">
        <v>995666</v>
      </c>
      <c r="F47" s="243">
        <v>996648</v>
      </c>
      <c r="G47" s="243">
        <v>997070</v>
      </c>
      <c r="H47" s="243">
        <v>997450</v>
      </c>
      <c r="I47" s="243">
        <v>998447</v>
      </c>
      <c r="J47" s="243">
        <v>999831</v>
      </c>
      <c r="K47" s="243">
        <v>1001369</v>
      </c>
      <c r="L47" s="243">
        <v>1002683</v>
      </c>
      <c r="M47" s="243">
        <v>1003979</v>
      </c>
      <c r="N47" s="242">
        <f t="shared" si="0"/>
        <v>998075.41666666663</v>
      </c>
    </row>
    <row r="48" spans="1:14" x14ac:dyDescent="0.25">
      <c r="A48" s="240" t="s">
        <v>458</v>
      </c>
      <c r="B48" s="241">
        <v>29804</v>
      </c>
      <c r="C48" s="241">
        <v>29830</v>
      </c>
      <c r="D48" s="241">
        <v>29827</v>
      </c>
      <c r="E48" s="241">
        <v>29819</v>
      </c>
      <c r="F48" s="241">
        <v>29839</v>
      </c>
      <c r="G48" s="241">
        <v>29854</v>
      </c>
      <c r="H48" s="241">
        <v>29905</v>
      </c>
      <c r="I48" s="241">
        <v>29929</v>
      </c>
      <c r="J48" s="241">
        <v>29938</v>
      </c>
      <c r="K48" s="241">
        <v>29954</v>
      </c>
      <c r="L48" s="241">
        <v>29950</v>
      </c>
      <c r="M48" s="241">
        <v>29973</v>
      </c>
      <c r="N48" s="242">
        <f t="shared" si="0"/>
        <v>29885.166666666668</v>
      </c>
    </row>
    <row r="49" spans="1:14" x14ac:dyDescent="0.25">
      <c r="A49" s="238" t="s">
        <v>459</v>
      </c>
      <c r="B49" s="239"/>
      <c r="C49" s="239"/>
      <c r="D49" s="239"/>
      <c r="E49" s="239"/>
      <c r="F49" s="239"/>
      <c r="G49" s="239"/>
      <c r="H49" s="239"/>
      <c r="I49" s="239"/>
      <c r="J49" s="239"/>
      <c r="K49" s="239"/>
      <c r="L49" s="239"/>
      <c r="M49" s="239"/>
      <c r="N49" s="242"/>
    </row>
    <row r="50" spans="1:14" x14ac:dyDescent="0.25">
      <c r="A50" s="240" t="s">
        <v>460</v>
      </c>
      <c r="B50" s="233"/>
      <c r="C50" s="233"/>
      <c r="D50" s="233"/>
      <c r="E50" s="233"/>
      <c r="F50" s="233"/>
      <c r="G50" s="233"/>
      <c r="H50" s="233"/>
      <c r="I50" s="233"/>
      <c r="J50" s="233"/>
      <c r="K50" s="233"/>
      <c r="L50" s="233"/>
      <c r="M50" s="233"/>
      <c r="N50" s="242"/>
    </row>
    <row r="51" spans="1:14" x14ac:dyDescent="0.25">
      <c r="A51" s="238" t="s">
        <v>461</v>
      </c>
      <c r="B51" s="239"/>
      <c r="C51" s="239"/>
      <c r="D51" s="239"/>
      <c r="E51" s="239"/>
      <c r="F51" s="239"/>
      <c r="G51" s="239"/>
      <c r="H51" s="239"/>
      <c r="I51" s="239"/>
      <c r="J51" s="239"/>
      <c r="K51" s="239"/>
      <c r="L51" s="239"/>
      <c r="M51" s="239"/>
      <c r="N51" s="242"/>
    </row>
    <row r="52" spans="1:14" x14ac:dyDescent="0.25">
      <c r="A52" s="240" t="s">
        <v>462</v>
      </c>
      <c r="B52" s="233"/>
      <c r="C52" s="233"/>
      <c r="D52" s="233"/>
      <c r="E52" s="233"/>
      <c r="F52" s="233"/>
      <c r="G52" s="233"/>
      <c r="H52" s="233"/>
      <c r="I52" s="233"/>
      <c r="J52" s="233"/>
      <c r="K52" s="233"/>
      <c r="L52" s="233"/>
      <c r="M52" s="233"/>
      <c r="N52" s="242"/>
    </row>
    <row r="53" spans="1:14" x14ac:dyDescent="0.25">
      <c r="A53" s="238" t="s">
        <v>463</v>
      </c>
      <c r="B53" s="239"/>
      <c r="C53" s="239"/>
      <c r="D53" s="239"/>
      <c r="E53" s="239"/>
      <c r="F53" s="239"/>
      <c r="G53" s="239"/>
      <c r="H53" s="239"/>
      <c r="I53" s="239"/>
      <c r="J53" s="239"/>
      <c r="K53" s="239"/>
      <c r="L53" s="239"/>
      <c r="M53" s="239"/>
      <c r="N53" s="242"/>
    </row>
    <row r="54" spans="1:14" x14ac:dyDescent="0.25">
      <c r="A54" s="244" t="s">
        <v>464</v>
      </c>
      <c r="B54" s="245">
        <v>1129882</v>
      </c>
      <c r="C54" s="245">
        <v>1130878</v>
      </c>
      <c r="D54" s="245">
        <v>1131125</v>
      </c>
      <c r="E54" s="245">
        <v>1132026</v>
      </c>
      <c r="F54" s="245">
        <v>1133249</v>
      </c>
      <c r="G54" s="245">
        <v>1133844</v>
      </c>
      <c r="H54" s="245">
        <v>1134512</v>
      </c>
      <c r="I54" s="245">
        <v>1135932</v>
      </c>
      <c r="J54" s="245">
        <v>1137358</v>
      </c>
      <c r="K54" s="245">
        <v>1139008</v>
      </c>
      <c r="L54" s="245">
        <v>1140665</v>
      </c>
      <c r="M54" s="245">
        <v>1142053</v>
      </c>
      <c r="N54" s="242">
        <f t="shared" si="0"/>
        <v>1135044.3333333333</v>
      </c>
    </row>
    <row r="57" spans="1:14" x14ac:dyDescent="0.25">
      <c r="A57" s="246" t="s">
        <v>87</v>
      </c>
      <c r="B57" s="247">
        <f>B47</f>
        <v>993952</v>
      </c>
      <c r="C57" s="247">
        <f t="shared" ref="C57:M57" si="1">C47</f>
        <v>994778</v>
      </c>
      <c r="D57" s="247">
        <f t="shared" si="1"/>
        <v>995032</v>
      </c>
      <c r="E57" s="247">
        <f t="shared" si="1"/>
        <v>995666</v>
      </c>
      <c r="F57" s="247">
        <f t="shared" si="1"/>
        <v>996648</v>
      </c>
      <c r="G57" s="247">
        <f t="shared" si="1"/>
        <v>997070</v>
      </c>
      <c r="H57" s="247">
        <f t="shared" si="1"/>
        <v>997450</v>
      </c>
      <c r="I57" s="247">
        <f t="shared" si="1"/>
        <v>998447</v>
      </c>
      <c r="J57" s="247">
        <f t="shared" si="1"/>
        <v>999831</v>
      </c>
      <c r="K57" s="247">
        <f t="shared" si="1"/>
        <v>1001369</v>
      </c>
      <c r="L57" s="247">
        <f t="shared" si="1"/>
        <v>1002683</v>
      </c>
      <c r="M57" s="247">
        <f t="shared" si="1"/>
        <v>1003979</v>
      </c>
      <c r="N57" s="247">
        <f>AVERAGE(B57:M57)</f>
        <v>998075.41666666663</v>
      </c>
    </row>
    <row r="58" spans="1:14" x14ac:dyDescent="0.25">
      <c r="A58" s="246" t="s">
        <v>397</v>
      </c>
      <c r="B58" s="247">
        <f>SUM(B48,B11,B13:B18,B21,B24:B27,B31:B34)</f>
        <v>127226</v>
      </c>
      <c r="C58" s="247">
        <f t="shared" ref="C58:M58" si="2">SUM(C48,C11,C13:C18,C21,C24:C27,C31:C34)</f>
        <v>127367</v>
      </c>
      <c r="D58" s="247">
        <f t="shared" si="2"/>
        <v>127336</v>
      </c>
      <c r="E58" s="247">
        <f t="shared" si="2"/>
        <v>127586</v>
      </c>
      <c r="F58" s="247">
        <f t="shared" si="2"/>
        <v>127781</v>
      </c>
      <c r="G58" s="247">
        <f t="shared" si="2"/>
        <v>127898</v>
      </c>
      <c r="H58" s="247">
        <f t="shared" si="2"/>
        <v>128178</v>
      </c>
      <c r="I58" s="247">
        <f t="shared" si="2"/>
        <v>128551</v>
      </c>
      <c r="J58" s="247">
        <f t="shared" si="2"/>
        <v>128595</v>
      </c>
      <c r="K58" s="247">
        <f t="shared" si="2"/>
        <v>128704</v>
      </c>
      <c r="L58" s="247">
        <f t="shared" si="2"/>
        <v>129019</v>
      </c>
      <c r="M58" s="247">
        <f t="shared" si="2"/>
        <v>129078</v>
      </c>
      <c r="N58" s="247">
        <f t="shared" ref="N58:N60" si="3">AVERAGE(B58:M58)</f>
        <v>128109.91666666667</v>
      </c>
    </row>
    <row r="59" spans="1:14" x14ac:dyDescent="0.25">
      <c r="A59" s="246" t="s">
        <v>197</v>
      </c>
      <c r="B59" s="247">
        <f>SUM(B12,B19:B20)</f>
        <v>787</v>
      </c>
      <c r="C59" s="247">
        <f t="shared" ref="C59:M59" si="4">SUM(C12,C19:C20)</f>
        <v>791</v>
      </c>
      <c r="D59" s="247">
        <f t="shared" si="4"/>
        <v>790</v>
      </c>
      <c r="E59" s="247">
        <f t="shared" si="4"/>
        <v>789</v>
      </c>
      <c r="F59" s="247">
        <f t="shared" si="4"/>
        <v>792</v>
      </c>
      <c r="G59" s="247">
        <f t="shared" si="4"/>
        <v>793</v>
      </c>
      <c r="H59" s="247">
        <f t="shared" si="4"/>
        <v>794</v>
      </c>
      <c r="I59" s="247">
        <f t="shared" si="4"/>
        <v>798</v>
      </c>
      <c r="J59" s="247">
        <f t="shared" si="4"/>
        <v>796</v>
      </c>
      <c r="K59" s="247">
        <f t="shared" si="4"/>
        <v>797</v>
      </c>
      <c r="L59" s="247">
        <f t="shared" si="4"/>
        <v>800</v>
      </c>
      <c r="M59" s="247">
        <f t="shared" si="4"/>
        <v>800</v>
      </c>
      <c r="N59" s="247">
        <f t="shared" si="3"/>
        <v>793.91666666666663</v>
      </c>
    </row>
    <row r="60" spans="1:14" x14ac:dyDescent="0.25">
      <c r="A60" s="246" t="s">
        <v>198</v>
      </c>
      <c r="B60" s="247">
        <f>SUM(B10,B22:B23)</f>
        <v>480</v>
      </c>
      <c r="C60" s="247">
        <f t="shared" ref="C60:M60" si="5">SUM(C10,C22:C23)</f>
        <v>480</v>
      </c>
      <c r="D60" s="247">
        <f t="shared" si="5"/>
        <v>480</v>
      </c>
      <c r="E60" s="247">
        <f t="shared" si="5"/>
        <v>482</v>
      </c>
      <c r="F60" s="247">
        <f t="shared" si="5"/>
        <v>481</v>
      </c>
      <c r="G60" s="247">
        <f t="shared" si="5"/>
        <v>479</v>
      </c>
      <c r="H60" s="247">
        <f t="shared" si="5"/>
        <v>480</v>
      </c>
      <c r="I60" s="247">
        <f t="shared" si="5"/>
        <v>482</v>
      </c>
      <c r="J60" s="247">
        <f t="shared" si="5"/>
        <v>481</v>
      </c>
      <c r="K60" s="247">
        <f t="shared" si="5"/>
        <v>482</v>
      </c>
      <c r="L60" s="247">
        <f t="shared" si="5"/>
        <v>480</v>
      </c>
      <c r="M60" s="247">
        <f t="shared" si="5"/>
        <v>481</v>
      </c>
      <c r="N60" s="247">
        <f t="shared" si="3"/>
        <v>480.66666666666669</v>
      </c>
    </row>
  </sheetData>
  <mergeCells count="1">
    <mergeCell ref="B4:N4"/>
  </mergeCells>
  <pageMargins left="0.7" right="0.7" top="0.75" bottom="0.75" header="0.3" footer="0.3"/>
  <pageSetup scale="56" orientation="landscape" r:id="rId1"/>
  <headerFooter>
    <oddHeader>&amp;RAdvice No. 2018-xx
Workpaper No. 25</oddHeader>
    <oddFooter>&amp;L&amp;F
&amp;A&amp;R&amp;D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C48" sqref="C48"/>
    </sheetView>
  </sheetViews>
  <sheetFormatPr defaultRowHeight="15" x14ac:dyDescent="0.25"/>
  <cols>
    <col min="1" max="1" width="5" bestFit="1" customWidth="1"/>
    <col min="2" max="2" width="63" bestFit="1" customWidth="1"/>
    <col min="3" max="3" width="1.7109375" customWidth="1"/>
    <col min="4" max="4" width="7.28515625" bestFit="1" customWidth="1"/>
    <col min="5" max="5" width="10.85546875" bestFit="1" customWidth="1"/>
    <col min="257" max="257" width="5" bestFit="1" customWidth="1"/>
    <col min="258" max="258" width="63" bestFit="1" customWidth="1"/>
    <col min="259" max="259" width="1.7109375" customWidth="1"/>
    <col min="260" max="260" width="7.28515625" bestFit="1" customWidth="1"/>
    <col min="513" max="513" width="5" bestFit="1" customWidth="1"/>
    <col min="514" max="514" width="63" bestFit="1" customWidth="1"/>
    <col min="515" max="515" width="1.7109375" customWidth="1"/>
    <col min="516" max="516" width="7.28515625" bestFit="1" customWidth="1"/>
    <col min="769" max="769" width="5" bestFit="1" customWidth="1"/>
    <col min="770" max="770" width="63" bestFit="1" customWidth="1"/>
    <col min="771" max="771" width="1.7109375" customWidth="1"/>
    <col min="772" max="772" width="7.28515625" bestFit="1" customWidth="1"/>
    <col min="1025" max="1025" width="5" bestFit="1" customWidth="1"/>
    <col min="1026" max="1026" width="63" bestFit="1" customWidth="1"/>
    <col min="1027" max="1027" width="1.7109375" customWidth="1"/>
    <col min="1028" max="1028" width="7.28515625" bestFit="1" customWidth="1"/>
    <col min="1281" max="1281" width="5" bestFit="1" customWidth="1"/>
    <col min="1282" max="1282" width="63" bestFit="1" customWidth="1"/>
    <col min="1283" max="1283" width="1.7109375" customWidth="1"/>
    <col min="1284" max="1284" width="7.28515625" bestFit="1" customWidth="1"/>
    <col min="1537" max="1537" width="5" bestFit="1" customWidth="1"/>
    <col min="1538" max="1538" width="63" bestFit="1" customWidth="1"/>
    <col min="1539" max="1539" width="1.7109375" customWidth="1"/>
    <col min="1540" max="1540" width="7.28515625" bestFit="1" customWidth="1"/>
    <col min="1793" max="1793" width="5" bestFit="1" customWidth="1"/>
    <col min="1794" max="1794" width="63" bestFit="1" customWidth="1"/>
    <col min="1795" max="1795" width="1.7109375" customWidth="1"/>
    <col min="1796" max="1796" width="7.28515625" bestFit="1" customWidth="1"/>
    <col min="2049" max="2049" width="5" bestFit="1" customWidth="1"/>
    <col min="2050" max="2050" width="63" bestFit="1" customWidth="1"/>
    <col min="2051" max="2051" width="1.7109375" customWidth="1"/>
    <col min="2052" max="2052" width="7.28515625" bestFit="1" customWidth="1"/>
    <col min="2305" max="2305" width="5" bestFit="1" customWidth="1"/>
    <col min="2306" max="2306" width="63" bestFit="1" customWidth="1"/>
    <col min="2307" max="2307" width="1.7109375" customWidth="1"/>
    <col min="2308" max="2308" width="7.28515625" bestFit="1" customWidth="1"/>
    <col min="2561" max="2561" width="5" bestFit="1" customWidth="1"/>
    <col min="2562" max="2562" width="63" bestFit="1" customWidth="1"/>
    <col min="2563" max="2563" width="1.7109375" customWidth="1"/>
    <col min="2564" max="2564" width="7.28515625" bestFit="1" customWidth="1"/>
    <col min="2817" max="2817" width="5" bestFit="1" customWidth="1"/>
    <col min="2818" max="2818" width="63" bestFit="1" customWidth="1"/>
    <col min="2819" max="2819" width="1.7109375" customWidth="1"/>
    <col min="2820" max="2820" width="7.28515625" bestFit="1" customWidth="1"/>
    <col min="3073" max="3073" width="5" bestFit="1" customWidth="1"/>
    <col min="3074" max="3074" width="63" bestFit="1" customWidth="1"/>
    <col min="3075" max="3075" width="1.7109375" customWidth="1"/>
    <col min="3076" max="3076" width="7.28515625" bestFit="1" customWidth="1"/>
    <col min="3329" max="3329" width="5" bestFit="1" customWidth="1"/>
    <col min="3330" max="3330" width="63" bestFit="1" customWidth="1"/>
    <col min="3331" max="3331" width="1.7109375" customWidth="1"/>
    <col min="3332" max="3332" width="7.28515625" bestFit="1" customWidth="1"/>
    <col min="3585" max="3585" width="5" bestFit="1" customWidth="1"/>
    <col min="3586" max="3586" width="63" bestFit="1" customWidth="1"/>
    <col min="3587" max="3587" width="1.7109375" customWidth="1"/>
    <col min="3588" max="3588" width="7.28515625" bestFit="1" customWidth="1"/>
    <col min="3841" max="3841" width="5" bestFit="1" customWidth="1"/>
    <col min="3842" max="3842" width="63" bestFit="1" customWidth="1"/>
    <col min="3843" max="3843" width="1.7109375" customWidth="1"/>
    <col min="3844" max="3844" width="7.28515625" bestFit="1" customWidth="1"/>
    <col min="4097" max="4097" width="5" bestFit="1" customWidth="1"/>
    <col min="4098" max="4098" width="63" bestFit="1" customWidth="1"/>
    <col min="4099" max="4099" width="1.7109375" customWidth="1"/>
    <col min="4100" max="4100" width="7.28515625" bestFit="1" customWidth="1"/>
    <col min="4353" max="4353" width="5" bestFit="1" customWidth="1"/>
    <col min="4354" max="4354" width="63" bestFit="1" customWidth="1"/>
    <col min="4355" max="4355" width="1.7109375" customWidth="1"/>
    <col min="4356" max="4356" width="7.28515625" bestFit="1" customWidth="1"/>
    <col min="4609" max="4609" width="5" bestFit="1" customWidth="1"/>
    <col min="4610" max="4610" width="63" bestFit="1" customWidth="1"/>
    <col min="4611" max="4611" width="1.7109375" customWidth="1"/>
    <col min="4612" max="4612" width="7.28515625" bestFit="1" customWidth="1"/>
    <col min="4865" max="4865" width="5" bestFit="1" customWidth="1"/>
    <col min="4866" max="4866" width="63" bestFit="1" customWidth="1"/>
    <col min="4867" max="4867" width="1.7109375" customWidth="1"/>
    <col min="4868" max="4868" width="7.28515625" bestFit="1" customWidth="1"/>
    <col min="5121" max="5121" width="5" bestFit="1" customWidth="1"/>
    <col min="5122" max="5122" width="63" bestFit="1" customWidth="1"/>
    <col min="5123" max="5123" width="1.7109375" customWidth="1"/>
    <col min="5124" max="5124" width="7.28515625" bestFit="1" customWidth="1"/>
    <col min="5377" max="5377" width="5" bestFit="1" customWidth="1"/>
    <col min="5378" max="5378" width="63" bestFit="1" customWidth="1"/>
    <col min="5379" max="5379" width="1.7109375" customWidth="1"/>
    <col min="5380" max="5380" width="7.28515625" bestFit="1" customWidth="1"/>
    <col min="5633" max="5633" width="5" bestFit="1" customWidth="1"/>
    <col min="5634" max="5634" width="63" bestFit="1" customWidth="1"/>
    <col min="5635" max="5635" width="1.7109375" customWidth="1"/>
    <col min="5636" max="5636" width="7.28515625" bestFit="1" customWidth="1"/>
    <col min="5889" max="5889" width="5" bestFit="1" customWidth="1"/>
    <col min="5890" max="5890" width="63" bestFit="1" customWidth="1"/>
    <col min="5891" max="5891" width="1.7109375" customWidth="1"/>
    <col min="5892" max="5892" width="7.28515625" bestFit="1" customWidth="1"/>
    <col min="6145" max="6145" width="5" bestFit="1" customWidth="1"/>
    <col min="6146" max="6146" width="63" bestFit="1" customWidth="1"/>
    <col min="6147" max="6147" width="1.7109375" customWidth="1"/>
    <col min="6148" max="6148" width="7.28515625" bestFit="1" customWidth="1"/>
    <col min="6401" max="6401" width="5" bestFit="1" customWidth="1"/>
    <col min="6402" max="6402" width="63" bestFit="1" customWidth="1"/>
    <col min="6403" max="6403" width="1.7109375" customWidth="1"/>
    <col min="6404" max="6404" width="7.28515625" bestFit="1" customWidth="1"/>
    <col min="6657" max="6657" width="5" bestFit="1" customWidth="1"/>
    <col min="6658" max="6658" width="63" bestFit="1" customWidth="1"/>
    <col min="6659" max="6659" width="1.7109375" customWidth="1"/>
    <col min="6660" max="6660" width="7.28515625" bestFit="1" customWidth="1"/>
    <col min="6913" max="6913" width="5" bestFit="1" customWidth="1"/>
    <col min="6914" max="6914" width="63" bestFit="1" customWidth="1"/>
    <col min="6915" max="6915" width="1.7109375" customWidth="1"/>
    <col min="6916" max="6916" width="7.28515625" bestFit="1" customWidth="1"/>
    <col min="7169" max="7169" width="5" bestFit="1" customWidth="1"/>
    <col min="7170" max="7170" width="63" bestFit="1" customWidth="1"/>
    <col min="7171" max="7171" width="1.7109375" customWidth="1"/>
    <col min="7172" max="7172" width="7.28515625" bestFit="1" customWidth="1"/>
    <col min="7425" max="7425" width="5" bestFit="1" customWidth="1"/>
    <col min="7426" max="7426" width="63" bestFit="1" customWidth="1"/>
    <col min="7427" max="7427" width="1.7109375" customWidth="1"/>
    <col min="7428" max="7428" width="7.28515625" bestFit="1" customWidth="1"/>
    <col min="7681" max="7681" width="5" bestFit="1" customWidth="1"/>
    <col min="7682" max="7682" width="63" bestFit="1" customWidth="1"/>
    <col min="7683" max="7683" width="1.7109375" customWidth="1"/>
    <col min="7684" max="7684" width="7.28515625" bestFit="1" customWidth="1"/>
    <col min="7937" max="7937" width="5" bestFit="1" customWidth="1"/>
    <col min="7938" max="7938" width="63" bestFit="1" customWidth="1"/>
    <col min="7939" max="7939" width="1.7109375" customWidth="1"/>
    <col min="7940" max="7940" width="7.28515625" bestFit="1" customWidth="1"/>
    <col min="8193" max="8193" width="5" bestFit="1" customWidth="1"/>
    <col min="8194" max="8194" width="63" bestFit="1" customWidth="1"/>
    <col min="8195" max="8195" width="1.7109375" customWidth="1"/>
    <col min="8196" max="8196" width="7.28515625" bestFit="1" customWidth="1"/>
    <col min="8449" max="8449" width="5" bestFit="1" customWidth="1"/>
    <col min="8450" max="8450" width="63" bestFit="1" customWidth="1"/>
    <col min="8451" max="8451" width="1.7109375" customWidth="1"/>
    <col min="8452" max="8452" width="7.28515625" bestFit="1" customWidth="1"/>
    <col min="8705" max="8705" width="5" bestFit="1" customWidth="1"/>
    <col min="8706" max="8706" width="63" bestFit="1" customWidth="1"/>
    <col min="8707" max="8707" width="1.7109375" customWidth="1"/>
    <col min="8708" max="8708" width="7.28515625" bestFit="1" customWidth="1"/>
    <col min="8961" max="8961" width="5" bestFit="1" customWidth="1"/>
    <col min="8962" max="8962" width="63" bestFit="1" customWidth="1"/>
    <col min="8963" max="8963" width="1.7109375" customWidth="1"/>
    <col min="8964" max="8964" width="7.28515625" bestFit="1" customWidth="1"/>
    <col min="9217" max="9217" width="5" bestFit="1" customWidth="1"/>
    <col min="9218" max="9218" width="63" bestFit="1" customWidth="1"/>
    <col min="9219" max="9219" width="1.7109375" customWidth="1"/>
    <col min="9220" max="9220" width="7.28515625" bestFit="1" customWidth="1"/>
    <col min="9473" max="9473" width="5" bestFit="1" customWidth="1"/>
    <col min="9474" max="9474" width="63" bestFit="1" customWidth="1"/>
    <col min="9475" max="9475" width="1.7109375" customWidth="1"/>
    <col min="9476" max="9476" width="7.28515625" bestFit="1" customWidth="1"/>
    <col min="9729" max="9729" width="5" bestFit="1" customWidth="1"/>
    <col min="9730" max="9730" width="63" bestFit="1" customWidth="1"/>
    <col min="9731" max="9731" width="1.7109375" customWidth="1"/>
    <col min="9732" max="9732" width="7.28515625" bestFit="1" customWidth="1"/>
    <col min="9985" max="9985" width="5" bestFit="1" customWidth="1"/>
    <col min="9986" max="9986" width="63" bestFit="1" customWidth="1"/>
    <col min="9987" max="9987" width="1.7109375" customWidth="1"/>
    <col min="9988" max="9988" width="7.28515625" bestFit="1" customWidth="1"/>
    <col min="10241" max="10241" width="5" bestFit="1" customWidth="1"/>
    <col min="10242" max="10242" width="63" bestFit="1" customWidth="1"/>
    <col min="10243" max="10243" width="1.7109375" customWidth="1"/>
    <col min="10244" max="10244" width="7.28515625" bestFit="1" customWidth="1"/>
    <col min="10497" max="10497" width="5" bestFit="1" customWidth="1"/>
    <col min="10498" max="10498" width="63" bestFit="1" customWidth="1"/>
    <col min="10499" max="10499" width="1.7109375" customWidth="1"/>
    <col min="10500" max="10500" width="7.28515625" bestFit="1" customWidth="1"/>
    <col min="10753" max="10753" width="5" bestFit="1" customWidth="1"/>
    <col min="10754" max="10754" width="63" bestFit="1" customWidth="1"/>
    <col min="10755" max="10755" width="1.7109375" customWidth="1"/>
    <col min="10756" max="10756" width="7.28515625" bestFit="1" customWidth="1"/>
    <col min="11009" max="11009" width="5" bestFit="1" customWidth="1"/>
    <col min="11010" max="11010" width="63" bestFit="1" customWidth="1"/>
    <col min="11011" max="11011" width="1.7109375" customWidth="1"/>
    <col min="11012" max="11012" width="7.28515625" bestFit="1" customWidth="1"/>
    <col min="11265" max="11265" width="5" bestFit="1" customWidth="1"/>
    <col min="11266" max="11266" width="63" bestFit="1" customWidth="1"/>
    <col min="11267" max="11267" width="1.7109375" customWidth="1"/>
    <col min="11268" max="11268" width="7.28515625" bestFit="1" customWidth="1"/>
    <col min="11521" max="11521" width="5" bestFit="1" customWidth="1"/>
    <col min="11522" max="11522" width="63" bestFit="1" customWidth="1"/>
    <col min="11523" max="11523" width="1.7109375" customWidth="1"/>
    <col min="11524" max="11524" width="7.28515625" bestFit="1" customWidth="1"/>
    <col min="11777" max="11777" width="5" bestFit="1" customWidth="1"/>
    <col min="11778" max="11778" width="63" bestFit="1" customWidth="1"/>
    <col min="11779" max="11779" width="1.7109375" customWidth="1"/>
    <col min="11780" max="11780" width="7.28515625" bestFit="1" customWidth="1"/>
    <col min="12033" max="12033" width="5" bestFit="1" customWidth="1"/>
    <col min="12034" max="12034" width="63" bestFit="1" customWidth="1"/>
    <col min="12035" max="12035" width="1.7109375" customWidth="1"/>
    <col min="12036" max="12036" width="7.28515625" bestFit="1" customWidth="1"/>
    <col min="12289" max="12289" width="5" bestFit="1" customWidth="1"/>
    <col min="12290" max="12290" width="63" bestFit="1" customWidth="1"/>
    <col min="12291" max="12291" width="1.7109375" customWidth="1"/>
    <col min="12292" max="12292" width="7.28515625" bestFit="1" customWidth="1"/>
    <col min="12545" max="12545" width="5" bestFit="1" customWidth="1"/>
    <col min="12546" max="12546" width="63" bestFit="1" customWidth="1"/>
    <col min="12547" max="12547" width="1.7109375" customWidth="1"/>
    <col min="12548" max="12548" width="7.28515625" bestFit="1" customWidth="1"/>
    <col min="12801" max="12801" width="5" bestFit="1" customWidth="1"/>
    <col min="12802" max="12802" width="63" bestFit="1" customWidth="1"/>
    <col min="12803" max="12803" width="1.7109375" customWidth="1"/>
    <col min="12804" max="12804" width="7.28515625" bestFit="1" customWidth="1"/>
    <col min="13057" max="13057" width="5" bestFit="1" customWidth="1"/>
    <col min="13058" max="13058" width="63" bestFit="1" customWidth="1"/>
    <col min="13059" max="13059" width="1.7109375" customWidth="1"/>
    <col min="13060" max="13060" width="7.28515625" bestFit="1" customWidth="1"/>
    <col min="13313" max="13313" width="5" bestFit="1" customWidth="1"/>
    <col min="13314" max="13314" width="63" bestFit="1" customWidth="1"/>
    <col min="13315" max="13315" width="1.7109375" customWidth="1"/>
    <col min="13316" max="13316" width="7.28515625" bestFit="1" customWidth="1"/>
    <col min="13569" max="13569" width="5" bestFit="1" customWidth="1"/>
    <col min="13570" max="13570" width="63" bestFit="1" customWidth="1"/>
    <col min="13571" max="13571" width="1.7109375" customWidth="1"/>
    <col min="13572" max="13572" width="7.28515625" bestFit="1" customWidth="1"/>
    <col min="13825" max="13825" width="5" bestFit="1" customWidth="1"/>
    <col min="13826" max="13826" width="63" bestFit="1" customWidth="1"/>
    <col min="13827" max="13827" width="1.7109375" customWidth="1"/>
    <col min="13828" max="13828" width="7.28515625" bestFit="1" customWidth="1"/>
    <col min="14081" max="14081" width="5" bestFit="1" customWidth="1"/>
    <col min="14082" max="14082" width="63" bestFit="1" customWidth="1"/>
    <col min="14083" max="14083" width="1.7109375" customWidth="1"/>
    <col min="14084" max="14084" width="7.28515625" bestFit="1" customWidth="1"/>
    <col min="14337" max="14337" width="5" bestFit="1" customWidth="1"/>
    <col min="14338" max="14338" width="63" bestFit="1" customWidth="1"/>
    <col min="14339" max="14339" width="1.7109375" customWidth="1"/>
    <col min="14340" max="14340" width="7.28515625" bestFit="1" customWidth="1"/>
    <col min="14593" max="14593" width="5" bestFit="1" customWidth="1"/>
    <col min="14594" max="14594" width="63" bestFit="1" customWidth="1"/>
    <col min="14595" max="14595" width="1.7109375" customWidth="1"/>
    <col min="14596" max="14596" width="7.28515625" bestFit="1" customWidth="1"/>
    <col min="14849" max="14849" width="5" bestFit="1" customWidth="1"/>
    <col min="14850" max="14850" width="63" bestFit="1" customWidth="1"/>
    <col min="14851" max="14851" width="1.7109375" customWidth="1"/>
    <col min="14852" max="14852" width="7.28515625" bestFit="1" customWidth="1"/>
    <col min="15105" max="15105" width="5" bestFit="1" customWidth="1"/>
    <col min="15106" max="15106" width="63" bestFit="1" customWidth="1"/>
    <col min="15107" max="15107" width="1.7109375" customWidth="1"/>
    <col min="15108" max="15108" width="7.28515625" bestFit="1" customWidth="1"/>
    <col min="15361" max="15361" width="5" bestFit="1" customWidth="1"/>
    <col min="15362" max="15362" width="63" bestFit="1" customWidth="1"/>
    <col min="15363" max="15363" width="1.7109375" customWidth="1"/>
    <col min="15364" max="15364" width="7.28515625" bestFit="1" customWidth="1"/>
    <col min="15617" max="15617" width="5" bestFit="1" customWidth="1"/>
    <col min="15618" max="15618" width="63" bestFit="1" customWidth="1"/>
    <col min="15619" max="15619" width="1.7109375" customWidth="1"/>
    <col min="15620" max="15620" width="7.28515625" bestFit="1" customWidth="1"/>
    <col min="15873" max="15873" width="5" bestFit="1" customWidth="1"/>
    <col min="15874" max="15874" width="63" bestFit="1" customWidth="1"/>
    <col min="15875" max="15875" width="1.7109375" customWidth="1"/>
    <col min="15876" max="15876" width="7.28515625" bestFit="1" customWidth="1"/>
    <col min="16129" max="16129" width="5" bestFit="1" customWidth="1"/>
    <col min="16130" max="16130" width="63" bestFit="1" customWidth="1"/>
    <col min="16131" max="16131" width="1.7109375" customWidth="1"/>
    <col min="16132" max="16132" width="7.28515625" bestFit="1" customWidth="1"/>
  </cols>
  <sheetData>
    <row r="1" spans="1:5" x14ac:dyDescent="0.25">
      <c r="A1" s="191"/>
      <c r="B1" s="191"/>
      <c r="C1" s="191"/>
      <c r="D1" s="191"/>
      <c r="E1" s="191"/>
    </row>
    <row r="2" spans="1:5" x14ac:dyDescent="0.25">
      <c r="A2" s="191" t="s">
        <v>306</v>
      </c>
      <c r="B2" s="191"/>
      <c r="C2" s="191"/>
      <c r="D2" s="191"/>
      <c r="E2" s="192" t="s">
        <v>90</v>
      </c>
    </row>
    <row r="3" spans="1:5" x14ac:dyDescent="0.25">
      <c r="A3" s="193"/>
      <c r="B3" s="194"/>
      <c r="C3" s="194"/>
      <c r="D3" s="194"/>
      <c r="E3" s="195"/>
    </row>
    <row r="4" spans="1:5" ht="15.75" thickBot="1" x14ac:dyDescent="0.3">
      <c r="A4" s="193"/>
      <c r="B4" s="193"/>
      <c r="C4" s="193"/>
      <c r="D4" s="193"/>
      <c r="E4" s="195"/>
    </row>
    <row r="5" spans="1:5" ht="15.75" thickBot="1" x14ac:dyDescent="0.3">
      <c r="A5" s="193"/>
      <c r="B5" s="193"/>
      <c r="C5" s="193"/>
      <c r="D5" s="193"/>
      <c r="E5" s="196" t="s">
        <v>307</v>
      </c>
    </row>
    <row r="6" spans="1:5" x14ac:dyDescent="0.25">
      <c r="A6" s="191"/>
      <c r="B6" s="521" t="s">
        <v>308</v>
      </c>
      <c r="C6" s="521"/>
      <c r="D6" s="521"/>
      <c r="E6" s="521"/>
    </row>
    <row r="7" spans="1:5" x14ac:dyDescent="0.25">
      <c r="A7" s="197"/>
      <c r="B7" s="522" t="s">
        <v>309</v>
      </c>
      <c r="C7" s="522"/>
      <c r="D7" s="522"/>
      <c r="E7" s="522"/>
    </row>
    <row r="8" spans="1:5" x14ac:dyDescent="0.25">
      <c r="A8" s="198"/>
      <c r="B8" s="523" t="s">
        <v>310</v>
      </c>
      <c r="C8" s="523"/>
      <c r="D8" s="523"/>
      <c r="E8" s="523"/>
    </row>
    <row r="9" spans="1:5" x14ac:dyDescent="0.25">
      <c r="A9" s="198"/>
      <c r="B9" s="523" t="s">
        <v>311</v>
      </c>
      <c r="C9" s="523"/>
      <c r="D9" s="523"/>
      <c r="E9" s="523"/>
    </row>
    <row r="10" spans="1:5" x14ac:dyDescent="0.25">
      <c r="A10" s="193"/>
      <c r="B10" s="193"/>
      <c r="C10" s="193"/>
      <c r="D10" s="193"/>
      <c r="E10" s="193"/>
    </row>
    <row r="11" spans="1:5" x14ac:dyDescent="0.25">
      <c r="A11" s="199" t="s">
        <v>312</v>
      </c>
      <c r="B11" s="193"/>
      <c r="C11" s="193"/>
      <c r="D11" s="193"/>
      <c r="E11" s="193"/>
    </row>
    <row r="12" spans="1:5" x14ac:dyDescent="0.25">
      <c r="A12" s="200" t="s">
        <v>313</v>
      </c>
      <c r="B12" s="201" t="s">
        <v>314</v>
      </c>
      <c r="C12" s="202"/>
      <c r="D12" s="202"/>
      <c r="E12" s="203" t="s">
        <v>315</v>
      </c>
    </row>
    <row r="13" spans="1:5" x14ac:dyDescent="0.25">
      <c r="A13" s="194"/>
      <c r="B13" s="194"/>
      <c r="C13" s="194"/>
      <c r="D13" s="194"/>
      <c r="E13" s="204"/>
    </row>
    <row r="14" spans="1:5" x14ac:dyDescent="0.25">
      <c r="A14" s="204">
        <v>1</v>
      </c>
      <c r="B14" s="205" t="s">
        <v>316</v>
      </c>
      <c r="C14" s="194"/>
      <c r="D14" s="194"/>
      <c r="E14" s="206">
        <v>7.1570000000000002E-3</v>
      </c>
    </row>
    <row r="15" spans="1:5" x14ac:dyDescent="0.25">
      <c r="A15" s="204">
        <v>2</v>
      </c>
      <c r="B15" s="205" t="s">
        <v>317</v>
      </c>
      <c r="C15" s="194"/>
      <c r="D15" s="194"/>
      <c r="E15" s="206">
        <v>2E-3</v>
      </c>
    </row>
    <row r="16" spans="1:5" x14ac:dyDescent="0.25">
      <c r="A16" s="204">
        <v>3</v>
      </c>
      <c r="B16" s="205" t="str">
        <f>"STATE UTILITY TAX - NET OF BAD DEBTS ( "&amp;D16*100&amp;"% - ( LINE 1 * "&amp;D16*100&amp;"%) )"</f>
        <v>STATE UTILITY TAX - NET OF BAD DEBTS ( 3.8734% - ( LINE 1 * 3.8734%) )</v>
      </c>
      <c r="C16" s="194"/>
      <c r="D16" s="207">
        <v>3.8733999999999998E-2</v>
      </c>
      <c r="E16" s="208">
        <f>ROUND(D16-(D16*E14),6)</f>
        <v>3.8456999999999998E-2</v>
      </c>
    </row>
    <row r="17" spans="1:5" x14ac:dyDescent="0.25">
      <c r="A17" s="204">
        <v>4</v>
      </c>
      <c r="B17" s="205"/>
      <c r="C17" s="194"/>
      <c r="D17" s="194"/>
      <c r="E17" s="209"/>
    </row>
    <row r="18" spans="1:5" x14ac:dyDescent="0.25">
      <c r="A18" s="204">
        <v>5</v>
      </c>
      <c r="B18" s="205" t="s">
        <v>318</v>
      </c>
      <c r="C18" s="194"/>
      <c r="D18" s="194"/>
      <c r="E18" s="206">
        <f>ROUND(SUM(E14:E16),6)</f>
        <v>4.7613999999999997E-2</v>
      </c>
    </row>
    <row r="19" spans="1:5" x14ac:dyDescent="0.25">
      <c r="A19" s="204">
        <v>6</v>
      </c>
      <c r="B19" s="194"/>
      <c r="C19" s="194"/>
      <c r="D19" s="194"/>
      <c r="E19" s="206"/>
    </row>
    <row r="20" spans="1:5" x14ac:dyDescent="0.25">
      <c r="A20" s="204">
        <v>7</v>
      </c>
      <c r="B20" s="194" t="s">
        <v>319</v>
      </c>
      <c r="C20" s="194"/>
      <c r="D20" s="194"/>
      <c r="E20" s="206">
        <f>ROUND(1-E18,6)</f>
        <v>0.95238599999999995</v>
      </c>
    </row>
    <row r="21" spans="1:5" x14ac:dyDescent="0.25">
      <c r="A21" s="204">
        <v>8</v>
      </c>
      <c r="B21" s="205" t="s">
        <v>320</v>
      </c>
      <c r="C21" s="194"/>
      <c r="D21" s="210">
        <v>0.35</v>
      </c>
      <c r="E21" s="206">
        <f>ROUND((E20)*D21,6)</f>
        <v>0.33333499999999999</v>
      </c>
    </row>
    <row r="22" spans="1:5" x14ac:dyDescent="0.25">
      <c r="A22" s="204">
        <v>9</v>
      </c>
      <c r="B22" s="205" t="s">
        <v>321</v>
      </c>
      <c r="C22" s="194"/>
      <c r="D22" s="194"/>
      <c r="E22" s="211">
        <f>ROUND(1-E21-E18,6)</f>
        <v>0.61905100000000002</v>
      </c>
    </row>
  </sheetData>
  <mergeCells count="4">
    <mergeCell ref="B6:E6"/>
    <mergeCell ref="B7:E7"/>
    <mergeCell ref="B8:E8"/>
    <mergeCell ref="B9:E9"/>
  </mergeCells>
  <pageMargins left="0.7" right="0.7" top="0.75" bottom="0.75" header="0.3" footer="0.3"/>
  <pageSetup orientation="portrait" r:id="rId1"/>
  <headerFooter>
    <oddHeader>&amp;RAdvice No. 2018-xx
Workpaper No. 26</oddHeader>
    <oddFooter>&amp;L&amp;F
&amp;A&amp;R&amp;D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zoomScaleNormal="100" workbookViewId="0">
      <selection activeCell="C48" sqref="C48"/>
    </sheetView>
  </sheetViews>
  <sheetFormatPr defaultRowHeight="12.75" x14ac:dyDescent="0.2"/>
  <cols>
    <col min="1" max="1" width="6" style="2" customWidth="1"/>
    <col min="2" max="2" width="45" style="2" customWidth="1"/>
    <col min="3" max="3" width="20" style="2" customWidth="1"/>
    <col min="4" max="4" width="16.42578125" style="2" customWidth="1"/>
    <col min="5" max="5" width="17.7109375" style="2" bestFit="1" customWidth="1"/>
    <col min="6" max="6" width="14.5703125" style="2" bestFit="1" customWidth="1"/>
    <col min="7" max="16384" width="9.140625" style="2"/>
  </cols>
  <sheetData>
    <row r="1" spans="1:15" x14ac:dyDescent="0.2">
      <c r="A1" s="524" t="s">
        <v>0</v>
      </c>
      <c r="B1" s="524"/>
      <c r="C1" s="524"/>
      <c r="D1" s="524"/>
      <c r="E1" s="524"/>
      <c r="F1" s="1"/>
      <c r="G1" s="1"/>
      <c r="H1" s="1"/>
      <c r="I1" s="1"/>
      <c r="J1" s="1"/>
      <c r="K1" s="1"/>
      <c r="L1" s="1"/>
      <c r="M1" s="1"/>
      <c r="N1" s="1"/>
      <c r="O1" s="1"/>
    </row>
    <row r="2" spans="1:15" x14ac:dyDescent="0.2">
      <c r="A2" s="524" t="s">
        <v>240</v>
      </c>
      <c r="B2" s="524"/>
      <c r="C2" s="524"/>
      <c r="D2" s="524"/>
      <c r="E2" s="524"/>
      <c r="F2" s="1"/>
      <c r="G2" s="1"/>
      <c r="H2" s="1"/>
      <c r="I2" s="1"/>
      <c r="J2" s="1"/>
      <c r="K2" s="1"/>
      <c r="L2" s="1"/>
      <c r="M2" s="1"/>
      <c r="N2" s="1"/>
      <c r="O2" s="1"/>
    </row>
    <row r="3" spans="1:15" x14ac:dyDescent="0.2">
      <c r="A3" s="525" t="s">
        <v>241</v>
      </c>
      <c r="B3" s="524"/>
      <c r="C3" s="524"/>
      <c r="D3" s="524"/>
      <c r="E3" s="524"/>
      <c r="F3" s="1"/>
      <c r="G3" s="1"/>
      <c r="H3" s="1"/>
      <c r="I3" s="1"/>
      <c r="J3" s="1"/>
      <c r="K3" s="1"/>
      <c r="L3" s="1"/>
      <c r="M3" s="1"/>
      <c r="N3" s="1"/>
      <c r="O3" s="1"/>
    </row>
    <row r="4" spans="1:15" x14ac:dyDescent="0.2">
      <c r="A4" s="524"/>
      <c r="B4" s="524"/>
      <c r="C4" s="524"/>
      <c r="D4" s="524"/>
      <c r="E4" s="524"/>
      <c r="F4" s="1"/>
      <c r="G4" s="1"/>
      <c r="H4" s="1"/>
      <c r="I4" s="1"/>
      <c r="J4" s="1"/>
      <c r="K4" s="1"/>
      <c r="L4" s="1"/>
      <c r="M4" s="1"/>
      <c r="N4" s="1"/>
      <c r="O4" s="1"/>
    </row>
    <row r="5" spans="1:15" x14ac:dyDescent="0.2">
      <c r="A5" s="139"/>
      <c r="B5" s="139"/>
      <c r="C5" s="139"/>
      <c r="D5" s="139"/>
      <c r="E5" s="139"/>
    </row>
    <row r="6" spans="1:15" x14ac:dyDescent="0.2">
      <c r="A6" s="139"/>
      <c r="B6" s="139"/>
      <c r="C6" s="139"/>
      <c r="D6" s="139"/>
      <c r="E6" s="140" t="s">
        <v>242</v>
      </c>
    </row>
    <row r="7" spans="1:15" ht="25.5" x14ac:dyDescent="0.2">
      <c r="A7" s="141" t="s">
        <v>56</v>
      </c>
      <c r="B7" s="142"/>
      <c r="C7" s="141" t="s">
        <v>6</v>
      </c>
      <c r="D7" s="141" t="s">
        <v>77</v>
      </c>
      <c r="E7" s="141" t="s">
        <v>243</v>
      </c>
    </row>
    <row r="8" spans="1:15" x14ac:dyDescent="0.2">
      <c r="A8" s="143"/>
      <c r="B8" s="144" t="s">
        <v>9</v>
      </c>
      <c r="C8" s="144" t="s">
        <v>10</v>
      </c>
      <c r="D8" s="144" t="s">
        <v>11</v>
      </c>
      <c r="E8" s="144" t="s">
        <v>12</v>
      </c>
    </row>
    <row r="9" spans="1:15" x14ac:dyDescent="0.2">
      <c r="A9" s="144">
        <v>1</v>
      </c>
      <c r="B9" s="145"/>
      <c r="C9" s="144"/>
      <c r="D9" s="144"/>
      <c r="E9" s="144"/>
    </row>
    <row r="10" spans="1:15" x14ac:dyDescent="0.2">
      <c r="A10" s="144">
        <f t="shared" ref="A10:A40" si="0">A9+1</f>
        <v>2</v>
      </c>
      <c r="B10" s="143" t="s">
        <v>244</v>
      </c>
      <c r="C10" s="146" t="s">
        <v>245</v>
      </c>
      <c r="D10" s="147">
        <v>372335049.88542497</v>
      </c>
      <c r="E10" s="147">
        <v>179629636.10176432</v>
      </c>
    </row>
    <row r="11" spans="1:15" x14ac:dyDescent="0.2">
      <c r="A11" s="144">
        <f t="shared" si="0"/>
        <v>3</v>
      </c>
      <c r="B11" s="143"/>
      <c r="C11" s="143"/>
      <c r="D11" s="143"/>
      <c r="E11" s="143"/>
    </row>
    <row r="12" spans="1:15" x14ac:dyDescent="0.2">
      <c r="A12" s="144">
        <f t="shared" si="0"/>
        <v>4</v>
      </c>
      <c r="B12" s="143" t="s">
        <v>246</v>
      </c>
      <c r="C12" s="144" t="s">
        <v>247</v>
      </c>
      <c r="D12" s="148">
        <v>959515</v>
      </c>
      <c r="E12" s="148">
        <v>122066.57575757576</v>
      </c>
    </row>
    <row r="13" spans="1:15" x14ac:dyDescent="0.2">
      <c r="A13" s="144">
        <f t="shared" si="0"/>
        <v>5</v>
      </c>
      <c r="B13" s="143"/>
      <c r="C13" s="143"/>
      <c r="D13" s="148"/>
      <c r="E13" s="148"/>
    </row>
    <row r="14" spans="1:15" x14ac:dyDescent="0.2">
      <c r="A14" s="144">
        <f t="shared" si="0"/>
        <v>6</v>
      </c>
      <c r="B14" s="143" t="s">
        <v>248</v>
      </c>
      <c r="C14" s="144" t="str">
        <f>"("&amp;A10&amp;") / ("&amp;A12&amp;")"</f>
        <v>(2) / (4)</v>
      </c>
      <c r="D14" s="149">
        <f>ROUND(D10/D12,2)</f>
        <v>388.05</v>
      </c>
      <c r="E14" s="149">
        <f>ROUND(E10/E12,2)</f>
        <v>1471.57</v>
      </c>
    </row>
    <row r="15" spans="1:15" x14ac:dyDescent="0.2">
      <c r="A15" s="144">
        <f t="shared" si="0"/>
        <v>7</v>
      </c>
      <c r="B15" s="143"/>
      <c r="C15" s="144"/>
      <c r="D15" s="139"/>
      <c r="E15" s="139"/>
    </row>
    <row r="16" spans="1:15" x14ac:dyDescent="0.2">
      <c r="A16" s="144">
        <f t="shared" si="0"/>
        <v>8</v>
      </c>
      <c r="B16" s="143" t="s">
        <v>249</v>
      </c>
      <c r="C16" s="144"/>
      <c r="D16" s="139"/>
      <c r="E16" s="139"/>
    </row>
    <row r="17" spans="1:5" x14ac:dyDescent="0.2">
      <c r="A17" s="144">
        <f t="shared" si="0"/>
        <v>9</v>
      </c>
      <c r="B17" s="150" t="s">
        <v>250</v>
      </c>
      <c r="C17" s="144" t="s">
        <v>251</v>
      </c>
      <c r="D17" s="151">
        <v>1.03</v>
      </c>
      <c r="E17" s="151">
        <f>D17</f>
        <v>1.03</v>
      </c>
    </row>
    <row r="18" spans="1:5" x14ac:dyDescent="0.2">
      <c r="A18" s="144">
        <f t="shared" si="0"/>
        <v>10</v>
      </c>
      <c r="B18" s="143" t="s">
        <v>252</v>
      </c>
      <c r="C18" s="144" t="s">
        <v>251</v>
      </c>
      <c r="D18" s="151">
        <v>1.03</v>
      </c>
      <c r="E18" s="151">
        <f t="shared" ref="E18:E21" si="1">D18</f>
        <v>1.03</v>
      </c>
    </row>
    <row r="19" spans="1:5" x14ac:dyDescent="0.2">
      <c r="A19" s="144">
        <f t="shared" si="0"/>
        <v>11</v>
      </c>
      <c r="B19" s="143" t="s">
        <v>253</v>
      </c>
      <c r="C19" s="144" t="s">
        <v>251</v>
      </c>
      <c r="D19" s="151">
        <v>1.03</v>
      </c>
      <c r="E19" s="151">
        <f t="shared" si="1"/>
        <v>1.03</v>
      </c>
    </row>
    <row r="20" spans="1:5" x14ac:dyDescent="0.2">
      <c r="A20" s="144">
        <f t="shared" si="0"/>
        <v>12</v>
      </c>
      <c r="B20" s="143" t="s">
        <v>254</v>
      </c>
      <c r="C20" s="144" t="s">
        <v>251</v>
      </c>
      <c r="D20" s="151">
        <v>1.03</v>
      </c>
      <c r="E20" s="151">
        <f t="shared" si="1"/>
        <v>1.03</v>
      </c>
    </row>
    <row r="21" spans="1:5" x14ac:dyDescent="0.2">
      <c r="A21" s="144">
        <f t="shared" si="0"/>
        <v>13</v>
      </c>
      <c r="B21" s="143" t="s">
        <v>255</v>
      </c>
      <c r="C21" s="144" t="s">
        <v>251</v>
      </c>
      <c r="D21" s="151">
        <v>1.03</v>
      </c>
      <c r="E21" s="151">
        <f t="shared" si="1"/>
        <v>1.03</v>
      </c>
    </row>
    <row r="22" spans="1:5" x14ac:dyDescent="0.2">
      <c r="A22" s="144">
        <f t="shared" si="0"/>
        <v>14</v>
      </c>
      <c r="B22" s="143"/>
      <c r="C22" s="144"/>
      <c r="D22" s="139"/>
      <c r="E22" s="139"/>
    </row>
    <row r="23" spans="1:5" x14ac:dyDescent="0.2">
      <c r="A23" s="144">
        <f t="shared" si="0"/>
        <v>15</v>
      </c>
      <c r="B23" s="143" t="s">
        <v>256</v>
      </c>
      <c r="C23" s="139"/>
      <c r="D23" s="152"/>
      <c r="E23" s="152"/>
    </row>
    <row r="24" spans="1:5" x14ac:dyDescent="0.2">
      <c r="A24" s="144">
        <f t="shared" si="0"/>
        <v>16</v>
      </c>
      <c r="B24" s="143" t="s">
        <v>252</v>
      </c>
      <c r="C24" s="144" t="str">
        <f>"("&amp;A14&amp;") x ("&amp;A17&amp;") x ("&amp;A18&amp;")"</f>
        <v>(6) x (9) x (10)</v>
      </c>
      <c r="D24" s="153">
        <f>ROUND(ROUND(D$17*D14,2)*D18,2)</f>
        <v>411.68</v>
      </c>
      <c r="E24" s="153">
        <f>ROUND(ROUND(E$17*E14,2)*E18,2)</f>
        <v>1561.19</v>
      </c>
    </row>
    <row r="25" spans="1:5" x14ac:dyDescent="0.2">
      <c r="A25" s="144">
        <f t="shared" si="0"/>
        <v>17</v>
      </c>
      <c r="B25" s="143" t="s">
        <v>253</v>
      </c>
      <c r="C25" s="144" t="str">
        <f>"("&amp;A24&amp;") x ("&amp;A19&amp;")"</f>
        <v>(16) x (11)</v>
      </c>
      <c r="D25" s="153">
        <f>ROUND(D$19*D24,2)</f>
        <v>424.03</v>
      </c>
      <c r="E25" s="153">
        <f>ROUND(E$19*E24,2)</f>
        <v>1608.03</v>
      </c>
    </row>
    <row r="26" spans="1:5" x14ac:dyDescent="0.2">
      <c r="A26" s="144">
        <f t="shared" si="0"/>
        <v>18</v>
      </c>
      <c r="B26" s="143" t="s">
        <v>254</v>
      </c>
      <c r="C26" s="144" t="str">
        <f>"("&amp;A25&amp;") x ("&amp;A20&amp;")"</f>
        <v>(17) x (12)</v>
      </c>
      <c r="D26" s="153">
        <f>ROUND(D$20*D25,2)</f>
        <v>436.75</v>
      </c>
      <c r="E26" s="153">
        <f>ROUND(E$20*E25,2)</f>
        <v>1656.27</v>
      </c>
    </row>
    <row r="27" spans="1:5" x14ac:dyDescent="0.2">
      <c r="A27" s="144">
        <f t="shared" si="0"/>
        <v>19</v>
      </c>
      <c r="B27" s="143" t="s">
        <v>255</v>
      </c>
      <c r="C27" s="144" t="str">
        <f>"("&amp;A26&amp;") x ("&amp;A21&amp;")"</f>
        <v>(18) x (13)</v>
      </c>
      <c r="D27" s="153">
        <f>ROUND(D$21*D26,2)</f>
        <v>449.85</v>
      </c>
      <c r="E27" s="153">
        <f>ROUND(E$21*E26,2)</f>
        <v>1705.96</v>
      </c>
    </row>
    <row r="28" spans="1:5" x14ac:dyDescent="0.2">
      <c r="A28" s="144">
        <f t="shared" si="0"/>
        <v>20</v>
      </c>
      <c r="B28" s="139"/>
      <c r="C28" s="139"/>
      <c r="D28" s="152"/>
      <c r="E28" s="152"/>
    </row>
    <row r="29" spans="1:5" x14ac:dyDescent="0.2">
      <c r="A29" s="144">
        <f t="shared" si="0"/>
        <v>21</v>
      </c>
      <c r="B29" s="154" t="s">
        <v>257</v>
      </c>
      <c r="C29" s="146" t="s">
        <v>245</v>
      </c>
      <c r="D29" s="147">
        <v>93020381.989999995</v>
      </c>
      <c r="E29" s="147">
        <v>28146937.610000007</v>
      </c>
    </row>
    <row r="30" spans="1:5" x14ac:dyDescent="0.2">
      <c r="A30" s="144">
        <f t="shared" si="0"/>
        <v>22</v>
      </c>
      <c r="B30" s="150"/>
      <c r="C30" s="144"/>
      <c r="D30" s="153"/>
      <c r="E30" s="153"/>
    </row>
    <row r="31" spans="1:5" x14ac:dyDescent="0.2">
      <c r="A31" s="144">
        <f t="shared" si="0"/>
        <v>23</v>
      </c>
      <c r="B31" s="143" t="s">
        <v>258</v>
      </c>
      <c r="C31" s="144" t="str">
        <f>"("&amp;A29&amp;") / ("&amp;A12&amp;")"</f>
        <v>(21) / (4)</v>
      </c>
      <c r="D31" s="149">
        <f>ROUND(D29/D12,2)</f>
        <v>96.95</v>
      </c>
      <c r="E31" s="149">
        <f>ROUND(E29/E12,2)</f>
        <v>230.59</v>
      </c>
    </row>
    <row r="32" spans="1:5" x14ac:dyDescent="0.2">
      <c r="A32" s="144">
        <f t="shared" si="0"/>
        <v>24</v>
      </c>
      <c r="B32" s="143"/>
      <c r="C32" s="144"/>
      <c r="D32" s="139"/>
      <c r="E32" s="139"/>
    </row>
    <row r="33" spans="1:5" x14ac:dyDescent="0.2">
      <c r="A33" s="144">
        <f t="shared" si="0"/>
        <v>25</v>
      </c>
      <c r="B33" s="143" t="s">
        <v>259</v>
      </c>
      <c r="C33" s="139"/>
      <c r="D33" s="152"/>
      <c r="E33" s="152"/>
    </row>
    <row r="34" spans="1:5" x14ac:dyDescent="0.2">
      <c r="A34" s="144">
        <f t="shared" si="0"/>
        <v>26</v>
      </c>
      <c r="B34" s="143" t="s">
        <v>252</v>
      </c>
      <c r="C34" s="144" t="str">
        <f t="shared" ref="C34:C37" si="2">"("&amp;A24&amp;") - ("&amp;A$31&amp;")"</f>
        <v>(16) - (23)</v>
      </c>
      <c r="D34" s="153">
        <f t="shared" ref="D34:D37" si="3">D24-D$31</f>
        <v>314.73</v>
      </c>
      <c r="E34" s="153">
        <f>E24-E$31</f>
        <v>1330.6000000000001</v>
      </c>
    </row>
    <row r="35" spans="1:5" x14ac:dyDescent="0.2">
      <c r="A35" s="144">
        <f t="shared" si="0"/>
        <v>27</v>
      </c>
      <c r="B35" s="143" t="s">
        <v>253</v>
      </c>
      <c r="C35" s="144" t="str">
        <f t="shared" si="2"/>
        <v>(17) - (23)</v>
      </c>
      <c r="D35" s="153">
        <f t="shared" si="3"/>
        <v>327.08</v>
      </c>
      <c r="E35" s="153">
        <f>E25-E$31</f>
        <v>1377.44</v>
      </c>
    </row>
    <row r="36" spans="1:5" x14ac:dyDescent="0.2">
      <c r="A36" s="144">
        <f t="shared" si="0"/>
        <v>28</v>
      </c>
      <c r="B36" s="143" t="s">
        <v>254</v>
      </c>
      <c r="C36" s="144" t="str">
        <f t="shared" si="2"/>
        <v>(18) - (23)</v>
      </c>
      <c r="D36" s="153">
        <f t="shared" si="3"/>
        <v>339.8</v>
      </c>
      <c r="E36" s="153">
        <f>E26-E$31</f>
        <v>1425.68</v>
      </c>
    </row>
    <row r="37" spans="1:5" x14ac:dyDescent="0.2">
      <c r="A37" s="144">
        <f t="shared" si="0"/>
        <v>29</v>
      </c>
      <c r="B37" s="143" t="s">
        <v>255</v>
      </c>
      <c r="C37" s="144" t="str">
        <f t="shared" si="2"/>
        <v>(19) - (23)</v>
      </c>
      <c r="D37" s="153">
        <f t="shared" si="3"/>
        <v>352.90000000000003</v>
      </c>
      <c r="E37" s="153">
        <f>E27-E$31</f>
        <v>1475.3700000000001</v>
      </c>
    </row>
    <row r="38" spans="1:5" x14ac:dyDescent="0.2">
      <c r="A38" s="144">
        <f t="shared" si="0"/>
        <v>30</v>
      </c>
      <c r="B38" s="139"/>
      <c r="C38" s="139"/>
      <c r="D38" s="152"/>
      <c r="E38" s="152"/>
    </row>
    <row r="39" spans="1:5" x14ac:dyDescent="0.2">
      <c r="A39" s="144">
        <f t="shared" si="0"/>
        <v>31</v>
      </c>
      <c r="B39" s="155" t="s">
        <v>260</v>
      </c>
      <c r="C39" s="139"/>
      <c r="D39" s="139"/>
      <c r="E39" s="139"/>
    </row>
    <row r="40" spans="1:5" x14ac:dyDescent="0.2">
      <c r="A40" s="144">
        <f t="shared" si="0"/>
        <v>32</v>
      </c>
      <c r="B40" s="139" t="s">
        <v>261</v>
      </c>
      <c r="C40" s="139"/>
      <c r="D40" s="156"/>
      <c r="E40" s="156"/>
    </row>
    <row r="41" spans="1:5" x14ac:dyDescent="0.2">
      <c r="A41" s="144"/>
      <c r="C41" s="139"/>
      <c r="D41" s="152"/>
      <c r="E41" s="152"/>
    </row>
    <row r="42" spans="1:5" x14ac:dyDescent="0.2">
      <c r="A42" s="144"/>
    </row>
    <row r="43" spans="1:5" x14ac:dyDescent="0.2">
      <c r="A43" s="144"/>
      <c r="D43" s="107"/>
      <c r="E43" s="107"/>
    </row>
    <row r="44" spans="1:5" x14ac:dyDescent="0.2">
      <c r="A44" s="144"/>
      <c r="D44" s="157"/>
      <c r="E44" s="157"/>
    </row>
    <row r="46" spans="1:5" x14ac:dyDescent="0.2">
      <c r="D46" s="107"/>
      <c r="E46" s="107"/>
    </row>
    <row r="47" spans="1:5" x14ac:dyDescent="0.2">
      <c r="D47" s="107"/>
      <c r="E47" s="107"/>
    </row>
    <row r="48" spans="1:5" x14ac:dyDescent="0.2">
      <c r="D48" s="107"/>
      <c r="E48" s="107"/>
    </row>
    <row r="49" spans="4:5" x14ac:dyDescent="0.2">
      <c r="D49" s="107"/>
      <c r="E49" s="107"/>
    </row>
    <row r="50" spans="4:5" x14ac:dyDescent="0.2">
      <c r="D50" s="107"/>
      <c r="E50" s="107"/>
    </row>
  </sheetData>
  <mergeCells count="4">
    <mergeCell ref="A1:E1"/>
    <mergeCell ref="A2:E2"/>
    <mergeCell ref="A3:E3"/>
    <mergeCell ref="A4:E4"/>
  </mergeCells>
  <printOptions horizontalCentered="1"/>
  <pageMargins left="0.7" right="0.7" top="0.75" bottom="0.75" header="0.3" footer="0.3"/>
  <pageSetup scale="91" orientation="landscape" blackAndWhite="1" r:id="rId1"/>
  <headerFooter>
    <oddHeader>&amp;RAdvice No. 2018-xx
Workpaper No. 27</oddHeader>
    <oddFooter>&amp;L&amp;F
&amp;A&amp;R&amp;D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zoomScaleNormal="100" workbookViewId="0">
      <selection activeCell="C48" sqref="C48"/>
    </sheetView>
  </sheetViews>
  <sheetFormatPr defaultColWidth="9.140625" defaultRowHeight="12.75" x14ac:dyDescent="0.2"/>
  <cols>
    <col min="1" max="1" width="6" style="2" customWidth="1"/>
    <col min="2" max="2" width="45" style="2" customWidth="1"/>
    <col min="3" max="3" width="20" style="2" customWidth="1"/>
    <col min="4" max="4" width="17.7109375" style="2" bestFit="1" customWidth="1"/>
    <col min="5" max="5" width="14.5703125" style="2" customWidth="1"/>
    <col min="6" max="16384" width="9.140625" style="2"/>
  </cols>
  <sheetData>
    <row r="1" spans="1:14" x14ac:dyDescent="0.2">
      <c r="A1" s="524" t="s">
        <v>0</v>
      </c>
      <c r="B1" s="524"/>
      <c r="C1" s="524"/>
      <c r="D1" s="524"/>
      <c r="E1" s="524"/>
      <c r="F1" s="1"/>
      <c r="G1" s="1"/>
      <c r="H1" s="1"/>
      <c r="I1" s="1"/>
      <c r="J1" s="1"/>
      <c r="K1" s="1"/>
      <c r="L1" s="1"/>
      <c r="M1" s="1"/>
      <c r="N1" s="1"/>
    </row>
    <row r="2" spans="1:14" x14ac:dyDescent="0.2">
      <c r="A2" s="524" t="s">
        <v>262</v>
      </c>
      <c r="B2" s="524"/>
      <c r="C2" s="524"/>
      <c r="D2" s="524"/>
      <c r="E2" s="524"/>
      <c r="F2" s="1"/>
      <c r="G2" s="1"/>
      <c r="H2" s="1"/>
      <c r="I2" s="1"/>
      <c r="J2" s="1"/>
      <c r="K2" s="1"/>
      <c r="L2" s="1"/>
      <c r="M2" s="1"/>
      <c r="N2" s="1"/>
    </row>
    <row r="3" spans="1:14" x14ac:dyDescent="0.2">
      <c r="A3" s="525" t="s">
        <v>263</v>
      </c>
      <c r="B3" s="525"/>
      <c r="C3" s="525"/>
      <c r="D3" s="525"/>
      <c r="E3" s="525"/>
      <c r="F3" s="1"/>
      <c r="G3" s="1"/>
      <c r="H3" s="1"/>
      <c r="I3" s="1"/>
      <c r="J3" s="1"/>
      <c r="K3" s="1"/>
      <c r="L3" s="1"/>
      <c r="M3" s="1"/>
      <c r="N3" s="1"/>
    </row>
    <row r="4" spans="1:14" x14ac:dyDescent="0.2">
      <c r="A4" s="158"/>
      <c r="B4" s="158"/>
      <c r="C4" s="158"/>
      <c r="D4" s="158"/>
      <c r="E4" s="1"/>
      <c r="F4" s="1"/>
      <c r="G4" s="1"/>
      <c r="H4" s="1"/>
      <c r="I4" s="1"/>
      <c r="J4" s="1"/>
      <c r="K4" s="1"/>
      <c r="L4" s="1"/>
      <c r="M4" s="1"/>
      <c r="N4" s="1"/>
    </row>
    <row r="5" spans="1:14" x14ac:dyDescent="0.2">
      <c r="A5" s="139"/>
      <c r="B5" s="139"/>
      <c r="C5" s="139"/>
      <c r="D5" s="139"/>
      <c r="E5" s="139"/>
    </row>
    <row r="6" spans="1:14" x14ac:dyDescent="0.2">
      <c r="A6" s="139"/>
      <c r="B6" s="139"/>
      <c r="C6" s="139"/>
      <c r="D6" s="139"/>
    </row>
    <row r="7" spans="1:14" ht="25.5" x14ac:dyDescent="0.2">
      <c r="A7" s="141" t="s">
        <v>56</v>
      </c>
      <c r="B7" s="142"/>
      <c r="C7" s="141" t="s">
        <v>6</v>
      </c>
      <c r="D7" s="141" t="s">
        <v>264</v>
      </c>
      <c r="E7" s="141" t="s">
        <v>265</v>
      </c>
    </row>
    <row r="8" spans="1:14" x14ac:dyDescent="0.2">
      <c r="A8" s="143"/>
      <c r="B8" s="144" t="s">
        <v>9</v>
      </c>
      <c r="C8" s="144" t="s">
        <v>10</v>
      </c>
      <c r="D8" s="144" t="s">
        <v>11</v>
      </c>
      <c r="E8" s="144" t="s">
        <v>12</v>
      </c>
    </row>
    <row r="9" spans="1:14" x14ac:dyDescent="0.2">
      <c r="A9" s="144">
        <v>1</v>
      </c>
      <c r="B9" s="145"/>
      <c r="C9" s="144"/>
      <c r="D9" s="144"/>
      <c r="E9" s="144"/>
    </row>
    <row r="10" spans="1:14" x14ac:dyDescent="0.2">
      <c r="A10" s="144">
        <f t="shared" ref="A10:A41" si="0">A9+1</f>
        <v>2</v>
      </c>
      <c r="B10" s="143" t="s">
        <v>244</v>
      </c>
      <c r="C10" s="146" t="s">
        <v>245</v>
      </c>
      <c r="D10" s="147">
        <v>36330722.766005091</v>
      </c>
      <c r="E10" s="147">
        <v>27596119.136007201</v>
      </c>
    </row>
    <row r="11" spans="1:14" x14ac:dyDescent="0.2">
      <c r="A11" s="144">
        <f t="shared" si="0"/>
        <v>3</v>
      </c>
      <c r="B11" s="143"/>
      <c r="C11" s="143"/>
      <c r="D11" s="143"/>
      <c r="E11" s="143"/>
    </row>
    <row r="12" spans="1:14" x14ac:dyDescent="0.2">
      <c r="A12" s="144">
        <f t="shared" si="0"/>
        <v>4</v>
      </c>
      <c r="B12" s="143" t="s">
        <v>246</v>
      </c>
      <c r="C12" s="144" t="s">
        <v>247</v>
      </c>
      <c r="D12" s="148">
        <v>803.25</v>
      </c>
      <c r="E12" s="148">
        <v>494.91666666666669</v>
      </c>
    </row>
    <row r="13" spans="1:14" x14ac:dyDescent="0.2">
      <c r="A13" s="144">
        <f t="shared" si="0"/>
        <v>5</v>
      </c>
      <c r="B13" s="143"/>
      <c r="C13" s="143"/>
      <c r="D13" s="148"/>
      <c r="E13" s="148"/>
    </row>
    <row r="14" spans="1:14" x14ac:dyDescent="0.2">
      <c r="A14" s="144">
        <f t="shared" si="0"/>
        <v>6</v>
      </c>
      <c r="B14" s="143" t="s">
        <v>248</v>
      </c>
      <c r="C14" s="144" t="str">
        <f>"("&amp;A10&amp;") / ("&amp;A12&amp;")"</f>
        <v>(2) / (4)</v>
      </c>
      <c r="D14" s="149">
        <f>ROUND(D10/D12,2)</f>
        <v>45229.66</v>
      </c>
      <c r="E14" s="149">
        <f>ROUND(E10/E12,2)</f>
        <v>55759.12</v>
      </c>
    </row>
    <row r="15" spans="1:14" x14ac:dyDescent="0.2">
      <c r="A15" s="144">
        <f t="shared" si="0"/>
        <v>7</v>
      </c>
      <c r="B15" s="143"/>
      <c r="C15" s="144"/>
      <c r="D15" s="139"/>
      <c r="E15" s="139"/>
    </row>
    <row r="16" spans="1:14" x14ac:dyDescent="0.2">
      <c r="A16" s="144">
        <f t="shared" si="0"/>
        <v>8</v>
      </c>
      <c r="B16" s="143" t="s">
        <v>249</v>
      </c>
      <c r="C16" s="144"/>
      <c r="D16" s="139"/>
      <c r="E16" s="139"/>
    </row>
    <row r="17" spans="1:5" x14ac:dyDescent="0.2">
      <c r="A17" s="144">
        <f t="shared" si="0"/>
        <v>9</v>
      </c>
      <c r="B17" s="150" t="s">
        <v>250</v>
      </c>
      <c r="C17" s="144" t="s">
        <v>251</v>
      </c>
      <c r="D17" s="151">
        <v>1.03</v>
      </c>
      <c r="E17" s="151">
        <v>1.03</v>
      </c>
    </row>
    <row r="18" spans="1:5" x14ac:dyDescent="0.2">
      <c r="A18" s="144">
        <f t="shared" si="0"/>
        <v>10</v>
      </c>
      <c r="B18" s="143" t="s">
        <v>252</v>
      </c>
      <c r="C18" s="144" t="s">
        <v>251</v>
      </c>
      <c r="D18" s="151">
        <v>1.03</v>
      </c>
      <c r="E18" s="151">
        <v>1.03</v>
      </c>
    </row>
    <row r="19" spans="1:5" x14ac:dyDescent="0.2">
      <c r="A19" s="144">
        <f t="shared" si="0"/>
        <v>11</v>
      </c>
      <c r="B19" s="143" t="s">
        <v>253</v>
      </c>
      <c r="C19" s="144" t="s">
        <v>251</v>
      </c>
      <c r="D19" s="151">
        <v>1.03</v>
      </c>
      <c r="E19" s="151">
        <v>1.03</v>
      </c>
    </row>
    <row r="20" spans="1:5" x14ac:dyDescent="0.2">
      <c r="A20" s="144">
        <f t="shared" si="0"/>
        <v>12</v>
      </c>
      <c r="B20" s="143" t="s">
        <v>254</v>
      </c>
      <c r="C20" s="144" t="s">
        <v>251</v>
      </c>
      <c r="D20" s="151">
        <v>1.03</v>
      </c>
      <c r="E20" s="151">
        <v>1.03</v>
      </c>
    </row>
    <row r="21" spans="1:5" x14ac:dyDescent="0.2">
      <c r="A21" s="144">
        <f t="shared" si="0"/>
        <v>13</v>
      </c>
      <c r="B21" s="143" t="s">
        <v>255</v>
      </c>
      <c r="C21" s="144" t="s">
        <v>251</v>
      </c>
      <c r="D21" s="151">
        <v>1.03</v>
      </c>
      <c r="E21" s="151">
        <v>1.03</v>
      </c>
    </row>
    <row r="22" spans="1:5" x14ac:dyDescent="0.2">
      <c r="A22" s="144">
        <f t="shared" si="0"/>
        <v>14</v>
      </c>
      <c r="B22" s="143"/>
      <c r="C22" s="144"/>
      <c r="D22" s="139"/>
      <c r="E22" s="139"/>
    </row>
    <row r="23" spans="1:5" x14ac:dyDescent="0.2">
      <c r="A23" s="144">
        <f t="shared" si="0"/>
        <v>15</v>
      </c>
      <c r="B23" s="143" t="s">
        <v>256</v>
      </c>
      <c r="C23" s="139"/>
      <c r="D23" s="152"/>
      <c r="E23" s="152"/>
    </row>
    <row r="24" spans="1:5" x14ac:dyDescent="0.2">
      <c r="A24" s="144">
        <f t="shared" si="0"/>
        <v>16</v>
      </c>
      <c r="B24" s="143" t="s">
        <v>250</v>
      </c>
      <c r="C24" s="144" t="str">
        <f>"("&amp;A14&amp;") x ("&amp;A17&amp;")"</f>
        <v>(6) x (9)</v>
      </c>
      <c r="D24" s="153">
        <f>ROUND(D14*D17,2)</f>
        <v>46586.55</v>
      </c>
      <c r="E24" s="153">
        <f>ROUND(E14*E17,2)</f>
        <v>57431.89</v>
      </c>
    </row>
    <row r="25" spans="1:5" x14ac:dyDescent="0.2">
      <c r="A25" s="144">
        <f t="shared" si="0"/>
        <v>17</v>
      </c>
      <c r="B25" s="143" t="s">
        <v>252</v>
      </c>
      <c r="C25" s="144" t="str">
        <f>"("&amp;A24&amp;") x ("&amp;A18&amp;")"</f>
        <v>(16) x (10)</v>
      </c>
      <c r="D25" s="153">
        <f>ROUND(D$18*D24,2)</f>
        <v>47984.15</v>
      </c>
      <c r="E25" s="153">
        <f>ROUND(E$18*E24,2)</f>
        <v>59154.85</v>
      </c>
    </row>
    <row r="26" spans="1:5" x14ac:dyDescent="0.2">
      <c r="A26" s="144">
        <f t="shared" si="0"/>
        <v>18</v>
      </c>
      <c r="B26" s="143" t="s">
        <v>253</v>
      </c>
      <c r="C26" s="144" t="str">
        <f t="shared" ref="C26:C28" si="1">"("&amp;A25&amp;") x ("&amp;A19&amp;")"</f>
        <v>(17) x (11)</v>
      </c>
      <c r="D26" s="153">
        <f>ROUND(D$19*D25,2)</f>
        <v>49423.67</v>
      </c>
      <c r="E26" s="153">
        <f>ROUND(E$19*E25,2)</f>
        <v>60929.5</v>
      </c>
    </row>
    <row r="27" spans="1:5" x14ac:dyDescent="0.2">
      <c r="A27" s="144">
        <f t="shared" si="0"/>
        <v>19</v>
      </c>
      <c r="B27" s="143" t="s">
        <v>254</v>
      </c>
      <c r="C27" s="144" t="str">
        <f t="shared" si="1"/>
        <v>(18) x (12)</v>
      </c>
      <c r="D27" s="153">
        <f>ROUND(D$20*D26,2)</f>
        <v>50906.38</v>
      </c>
      <c r="E27" s="153">
        <f>ROUND(E$20*E26,2)</f>
        <v>62757.39</v>
      </c>
    </row>
    <row r="28" spans="1:5" x14ac:dyDescent="0.2">
      <c r="A28" s="144">
        <f t="shared" si="0"/>
        <v>20</v>
      </c>
      <c r="B28" s="143" t="s">
        <v>255</v>
      </c>
      <c r="C28" s="144" t="str">
        <f t="shared" si="1"/>
        <v>(19) x (13)</v>
      </c>
      <c r="D28" s="153">
        <f>ROUND(D$21*D27,2)</f>
        <v>52433.57</v>
      </c>
      <c r="E28" s="153">
        <f>ROUND(E$21*E27,2)</f>
        <v>64640.11</v>
      </c>
    </row>
    <row r="29" spans="1:5" x14ac:dyDescent="0.2">
      <c r="A29" s="144">
        <f t="shared" si="0"/>
        <v>21</v>
      </c>
      <c r="B29" s="143"/>
      <c r="C29" s="144"/>
      <c r="D29" s="153"/>
      <c r="E29" s="153"/>
    </row>
    <row r="30" spans="1:5" x14ac:dyDescent="0.2">
      <c r="A30" s="144">
        <f t="shared" si="0"/>
        <v>22</v>
      </c>
      <c r="B30" s="154" t="s">
        <v>257</v>
      </c>
      <c r="C30" s="146" t="s">
        <v>245</v>
      </c>
      <c r="D30" s="147">
        <v>1076543.1599999999</v>
      </c>
      <c r="E30" s="147">
        <v>2115048.6599999997</v>
      </c>
    </row>
    <row r="31" spans="1:5" x14ac:dyDescent="0.2">
      <c r="A31" s="144">
        <f t="shared" si="0"/>
        <v>23</v>
      </c>
      <c r="B31" s="150"/>
      <c r="C31" s="144"/>
      <c r="D31" s="153"/>
      <c r="E31" s="153"/>
    </row>
    <row r="32" spans="1:5" x14ac:dyDescent="0.2">
      <c r="A32" s="144">
        <f t="shared" si="0"/>
        <v>24</v>
      </c>
      <c r="B32" s="143" t="s">
        <v>258</v>
      </c>
      <c r="C32" s="144" t="str">
        <f>"("&amp;A30&amp;") / ("&amp;A12&amp;")"</f>
        <v>(22) / (4)</v>
      </c>
      <c r="D32" s="149">
        <f>ROUND(D30/D12,2)</f>
        <v>1340.23</v>
      </c>
      <c r="E32" s="149">
        <f>ROUND(E30/E12,2)</f>
        <v>4273.55</v>
      </c>
    </row>
    <row r="33" spans="1:5" x14ac:dyDescent="0.2">
      <c r="A33" s="144">
        <f t="shared" si="0"/>
        <v>25</v>
      </c>
      <c r="B33" s="143"/>
      <c r="C33" s="144"/>
      <c r="D33" s="139"/>
      <c r="E33" s="139"/>
    </row>
    <row r="34" spans="1:5" x14ac:dyDescent="0.2">
      <c r="A34" s="144">
        <f t="shared" si="0"/>
        <v>26</v>
      </c>
      <c r="B34" s="143" t="s">
        <v>259</v>
      </c>
      <c r="C34" s="139"/>
      <c r="D34" s="152"/>
      <c r="E34" s="152"/>
    </row>
    <row r="35" spans="1:5" x14ac:dyDescent="0.2">
      <c r="A35" s="144">
        <f t="shared" si="0"/>
        <v>27</v>
      </c>
      <c r="B35" s="150" t="s">
        <v>250</v>
      </c>
      <c r="C35" s="144" t="str">
        <f>"("&amp;A24&amp;") - ("&amp;A$32&amp;")"</f>
        <v>(16) - (24)</v>
      </c>
      <c r="D35" s="153">
        <f>D24-D$32</f>
        <v>45246.32</v>
      </c>
      <c r="E35" s="153">
        <f>E24-E$32</f>
        <v>53158.34</v>
      </c>
    </row>
    <row r="36" spans="1:5" x14ac:dyDescent="0.2">
      <c r="A36" s="144">
        <f t="shared" si="0"/>
        <v>28</v>
      </c>
      <c r="B36" s="143" t="s">
        <v>252</v>
      </c>
      <c r="C36" s="144" t="str">
        <f t="shared" ref="C36:C39" si="2">"("&amp;A25&amp;") - ("&amp;A$32&amp;")"</f>
        <v>(17) - (24)</v>
      </c>
      <c r="D36" s="153">
        <f t="shared" ref="D36:E39" si="3">D25-D$32</f>
        <v>46643.92</v>
      </c>
      <c r="E36" s="153">
        <f t="shared" si="3"/>
        <v>54881.299999999996</v>
      </c>
    </row>
    <row r="37" spans="1:5" x14ac:dyDescent="0.2">
      <c r="A37" s="144">
        <f t="shared" si="0"/>
        <v>29</v>
      </c>
      <c r="B37" s="143" t="s">
        <v>253</v>
      </c>
      <c r="C37" s="144" t="str">
        <f t="shared" si="2"/>
        <v>(18) - (24)</v>
      </c>
      <c r="D37" s="153">
        <f t="shared" si="3"/>
        <v>48083.439999999995</v>
      </c>
      <c r="E37" s="153">
        <f t="shared" si="3"/>
        <v>56655.95</v>
      </c>
    </row>
    <row r="38" spans="1:5" x14ac:dyDescent="0.2">
      <c r="A38" s="144">
        <f t="shared" si="0"/>
        <v>30</v>
      </c>
      <c r="B38" s="143" t="s">
        <v>254</v>
      </c>
      <c r="C38" s="144" t="str">
        <f t="shared" si="2"/>
        <v>(19) - (24)</v>
      </c>
      <c r="D38" s="153">
        <f t="shared" si="3"/>
        <v>49566.149999999994</v>
      </c>
      <c r="E38" s="153">
        <f t="shared" si="3"/>
        <v>58483.839999999997</v>
      </c>
    </row>
    <row r="39" spans="1:5" x14ac:dyDescent="0.2">
      <c r="A39" s="144">
        <f t="shared" si="0"/>
        <v>31</v>
      </c>
      <c r="B39" s="143" t="s">
        <v>266</v>
      </c>
      <c r="C39" s="144" t="str">
        <f t="shared" si="2"/>
        <v>(20) - (24)</v>
      </c>
      <c r="D39" s="153">
        <f t="shared" si="3"/>
        <v>51093.34</v>
      </c>
      <c r="E39" s="153">
        <f t="shared" si="3"/>
        <v>60366.559999999998</v>
      </c>
    </row>
    <row r="40" spans="1:5" x14ac:dyDescent="0.2">
      <c r="A40" s="144">
        <f t="shared" si="0"/>
        <v>32</v>
      </c>
      <c r="B40" s="143"/>
      <c r="C40" s="144"/>
      <c r="D40" s="153"/>
      <c r="E40" s="153"/>
    </row>
    <row r="41" spans="1:5" x14ac:dyDescent="0.2">
      <c r="A41" s="144">
        <f t="shared" si="0"/>
        <v>33</v>
      </c>
      <c r="B41" s="139" t="s">
        <v>267</v>
      </c>
      <c r="C41" s="139"/>
      <c r="D41" s="156"/>
      <c r="E41" s="156"/>
    </row>
    <row r="42" spans="1:5" x14ac:dyDescent="0.2">
      <c r="A42" s="144"/>
      <c r="C42" s="139"/>
      <c r="D42" s="152"/>
      <c r="E42" s="152"/>
    </row>
    <row r="43" spans="1:5" x14ac:dyDescent="0.2">
      <c r="A43" s="144"/>
      <c r="D43" s="107"/>
      <c r="E43" s="107"/>
    </row>
    <row r="44" spans="1:5" x14ac:dyDescent="0.2">
      <c r="A44" s="144"/>
      <c r="D44" s="107"/>
    </row>
    <row r="45" spans="1:5" x14ac:dyDescent="0.2">
      <c r="A45" s="144"/>
      <c r="D45" s="157"/>
    </row>
    <row r="47" spans="1:5" x14ac:dyDescent="0.2">
      <c r="D47" s="107"/>
    </row>
    <row r="48" spans="1:5" x14ac:dyDescent="0.2">
      <c r="D48" s="107"/>
    </row>
    <row r="49" spans="4:4" x14ac:dyDescent="0.2">
      <c r="D49" s="107"/>
    </row>
    <row r="50" spans="4:4" x14ac:dyDescent="0.2">
      <c r="D50" s="107"/>
    </row>
    <row r="51" spans="4:4" x14ac:dyDescent="0.2">
      <c r="D51" s="107"/>
    </row>
  </sheetData>
  <mergeCells count="3">
    <mergeCell ref="A1:E1"/>
    <mergeCell ref="A2:E2"/>
    <mergeCell ref="A3:E3"/>
  </mergeCells>
  <printOptions horizontalCentered="1"/>
  <pageMargins left="0.7" right="0.7" top="0.75" bottom="0.75" header="0.3" footer="0.3"/>
  <pageSetup scale="89" orientation="landscape" blackAndWhite="1" r:id="rId1"/>
  <headerFooter>
    <oddHeader>&amp;RAdvice No. 2018-xx
Workpaper No. 28</oddHeader>
    <oddFooter>&amp;L&amp;F
&amp;A&amp;R&amp;D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A4" zoomScaleNormal="100" workbookViewId="0">
      <selection activeCell="E35" sqref="E35"/>
    </sheetView>
  </sheetViews>
  <sheetFormatPr defaultRowHeight="12.75" x14ac:dyDescent="0.2"/>
  <cols>
    <col min="1" max="1" width="5.42578125" style="54" customWidth="1"/>
    <col min="2" max="2" width="36.7109375" style="54" customWidth="1"/>
    <col min="3" max="3" width="13.42578125" style="54" bestFit="1" customWidth="1"/>
    <col min="4" max="4" width="6.42578125" style="54" customWidth="1"/>
    <col min="5" max="5" width="14.42578125" style="54" bestFit="1" customWidth="1"/>
    <col min="6" max="6" width="18.42578125" style="54" bestFit="1" customWidth="1"/>
    <col min="7" max="7" width="15.85546875" style="54" bestFit="1" customWidth="1"/>
    <col min="8" max="15" width="14" style="54" bestFit="1" customWidth="1"/>
    <col min="16" max="16" width="14.5703125" style="54" customWidth="1"/>
    <col min="17" max="17" width="15" style="54" bestFit="1" customWidth="1"/>
    <col min="18" max="18" width="14.28515625" style="54" customWidth="1"/>
    <col min="19" max="19" width="13.42578125" style="54" bestFit="1" customWidth="1"/>
    <col min="20" max="16384" width="9.140625" style="54"/>
  </cols>
  <sheetData>
    <row r="1" spans="1:19" x14ac:dyDescent="0.2">
      <c r="A1" s="443" t="s">
        <v>0</v>
      </c>
      <c r="B1" s="443"/>
    </row>
    <row r="2" spans="1:19" x14ac:dyDescent="0.2">
      <c r="A2" s="443" t="s">
        <v>649</v>
      </c>
    </row>
    <row r="3" spans="1:19" x14ac:dyDescent="0.2">
      <c r="A3" s="443"/>
    </row>
    <row r="4" spans="1:19" x14ac:dyDescent="0.2">
      <c r="A4" s="443"/>
    </row>
    <row r="5" spans="1:19" x14ac:dyDescent="0.2">
      <c r="A5" s="443" t="s">
        <v>650</v>
      </c>
    </row>
    <row r="6" spans="1:19" x14ac:dyDescent="0.2">
      <c r="P6" s="444"/>
    </row>
    <row r="7" spans="1:19" x14ac:dyDescent="0.2">
      <c r="A7" s="443"/>
      <c r="B7" s="54" t="s">
        <v>651</v>
      </c>
      <c r="C7" s="445">
        <v>525885095.34357238</v>
      </c>
    </row>
    <row r="8" spans="1:19" x14ac:dyDescent="0.2">
      <c r="A8" s="54" t="s">
        <v>652</v>
      </c>
      <c r="E8" s="446">
        <v>42736</v>
      </c>
      <c r="F8" s="447">
        <v>42767</v>
      </c>
      <c r="G8" s="446">
        <v>42795</v>
      </c>
      <c r="H8" s="446">
        <v>42826</v>
      </c>
      <c r="I8" s="446">
        <v>42856</v>
      </c>
      <c r="J8" s="447">
        <v>42887</v>
      </c>
      <c r="K8" s="446">
        <v>42917</v>
      </c>
      <c r="L8" s="447">
        <v>42948</v>
      </c>
      <c r="M8" s="446">
        <v>42979</v>
      </c>
      <c r="N8" s="447">
        <v>43009</v>
      </c>
      <c r="O8" s="446">
        <v>43040</v>
      </c>
      <c r="P8" s="447">
        <v>43070</v>
      </c>
      <c r="Q8" s="446" t="s">
        <v>84</v>
      </c>
      <c r="R8" s="447"/>
      <c r="S8" s="446"/>
    </row>
    <row r="9" spans="1:19" x14ac:dyDescent="0.2">
      <c r="A9" s="448">
        <v>1</v>
      </c>
      <c r="B9" s="54" t="s">
        <v>653</v>
      </c>
      <c r="E9" s="449">
        <f>$C$7/12</f>
        <v>43823757.945297696</v>
      </c>
      <c r="F9" s="449">
        <f t="shared" ref="F9:O9" si="0">$C$7/12</f>
        <v>43823757.945297696</v>
      </c>
      <c r="G9" s="449">
        <f t="shared" si="0"/>
        <v>43823757.945297696</v>
      </c>
      <c r="H9" s="449">
        <f t="shared" si="0"/>
        <v>43823757.945297696</v>
      </c>
      <c r="I9" s="449">
        <f t="shared" si="0"/>
        <v>43823757.945297696</v>
      </c>
      <c r="J9" s="449">
        <f t="shared" si="0"/>
        <v>43823757.945297696</v>
      </c>
      <c r="K9" s="449">
        <f t="shared" si="0"/>
        <v>43823757.945297696</v>
      </c>
      <c r="L9" s="449">
        <f t="shared" si="0"/>
        <v>43823757.945297696</v>
      </c>
      <c r="M9" s="449">
        <f t="shared" si="0"/>
        <v>43823757.945297696</v>
      </c>
      <c r="N9" s="449">
        <f>$C$7/12</f>
        <v>43823757.945297696</v>
      </c>
      <c r="O9" s="449">
        <f t="shared" si="0"/>
        <v>43823757.945297696</v>
      </c>
      <c r="P9" s="449">
        <f>$C$7/12*18/31</f>
        <v>25446053.000495438</v>
      </c>
      <c r="Q9" s="449">
        <f>SUM(E9:P9)</f>
        <v>507507390.39877015</v>
      </c>
      <c r="R9" s="450"/>
    </row>
    <row r="10" spans="1:19" x14ac:dyDescent="0.2">
      <c r="A10" s="448">
        <v>2</v>
      </c>
      <c r="E10" s="408"/>
      <c r="F10" s="408"/>
      <c r="G10" s="408"/>
      <c r="H10" s="408"/>
    </row>
    <row r="11" spans="1:19" x14ac:dyDescent="0.2">
      <c r="A11" s="448">
        <v>3</v>
      </c>
      <c r="B11" s="54" t="s">
        <v>654</v>
      </c>
      <c r="E11" s="451">
        <v>2311111402</v>
      </c>
      <c r="F11" s="452">
        <v>1939919961</v>
      </c>
      <c r="G11" s="452">
        <v>1940551765</v>
      </c>
      <c r="H11" s="452">
        <v>1647518890</v>
      </c>
      <c r="I11" s="452">
        <v>1543718724</v>
      </c>
      <c r="J11" s="452">
        <v>1476133475</v>
      </c>
      <c r="K11" s="452">
        <v>1555636675</v>
      </c>
      <c r="L11" s="452">
        <v>1648038900</v>
      </c>
      <c r="M11" s="452">
        <v>1485662265</v>
      </c>
      <c r="N11" s="452">
        <v>1686782928</v>
      </c>
      <c r="O11" s="452">
        <v>1867373203</v>
      </c>
      <c r="P11" s="452">
        <v>1250770430.53</v>
      </c>
      <c r="Q11" s="452">
        <f>SUM(E11:P11)</f>
        <v>20353218618.529999</v>
      </c>
    </row>
    <row r="12" spans="1:19" ht="25.5" x14ac:dyDescent="0.2">
      <c r="A12" s="448">
        <v>4</v>
      </c>
      <c r="B12" s="453" t="s">
        <v>655</v>
      </c>
      <c r="C12" s="454">
        <v>2.4690728477550952E-2</v>
      </c>
      <c r="D12" s="454"/>
      <c r="E12" s="455">
        <f>+E11*$C$12</f>
        <v>57063024.108154103</v>
      </c>
      <c r="F12" s="455">
        <f t="shared" ref="F12:O12" si="1">+F11*$C$12</f>
        <v>47898037.025232233</v>
      </c>
      <c r="G12" s="455">
        <f t="shared" si="1"/>
        <v>47913636.726247266</v>
      </c>
      <c r="H12" s="455">
        <f t="shared" si="1"/>
        <v>40678441.574626133</v>
      </c>
      <c r="I12" s="455">
        <f t="shared" si="1"/>
        <v>38115539.859995417</v>
      </c>
      <c r="J12" s="455">
        <f t="shared" si="1"/>
        <v>36446810.827848747</v>
      </c>
      <c r="K12" s="455">
        <f t="shared" si="1"/>
        <v>38409802.752145179</v>
      </c>
      <c r="L12" s="455">
        <f t="shared" si="1"/>
        <v>40691281.000341743</v>
      </c>
      <c r="M12" s="455">
        <f t="shared" si="1"/>
        <v>36682083.594458349</v>
      </c>
      <c r="N12" s="455">
        <f t="shared" si="1"/>
        <v>41647899.275816381</v>
      </c>
      <c r="O12" s="455">
        <f t="shared" si="1"/>
        <v>46106804.721527636</v>
      </c>
      <c r="P12" s="455">
        <f>+P11*$C$12</f>
        <v>30882433.087965734</v>
      </c>
      <c r="Q12" s="455">
        <f>SUM(E12:P12)</f>
        <v>502535794.55435896</v>
      </c>
      <c r="R12" s="450"/>
    </row>
    <row r="13" spans="1:19" x14ac:dyDescent="0.2">
      <c r="A13" s="448">
        <v>5</v>
      </c>
      <c r="C13" s="454"/>
      <c r="D13" s="454"/>
      <c r="E13" s="408"/>
      <c r="F13" s="408"/>
      <c r="G13" s="408"/>
      <c r="H13" s="408"/>
    </row>
    <row r="14" spans="1:19" ht="13.5" thickBot="1" x14ac:dyDescent="0.25">
      <c r="A14" s="448">
        <v>6</v>
      </c>
      <c r="B14" s="54" t="s">
        <v>656</v>
      </c>
      <c r="E14" s="456">
        <f>+E9-E12</f>
        <v>-13239266.162856407</v>
      </c>
      <c r="F14" s="456">
        <f t="shared" ref="F14:Q14" si="2">+F9-F12</f>
        <v>-4074279.0799345374</v>
      </c>
      <c r="G14" s="456">
        <f t="shared" si="2"/>
        <v>-4089878.7809495702</v>
      </c>
      <c r="H14" s="456">
        <f t="shared" si="2"/>
        <v>3145316.3706715629</v>
      </c>
      <c r="I14" s="456">
        <f t="shared" si="2"/>
        <v>5708218.0853022784</v>
      </c>
      <c r="J14" s="456">
        <f t="shared" si="2"/>
        <v>7376947.1174489483</v>
      </c>
      <c r="K14" s="456">
        <f t="shared" si="2"/>
        <v>5413955.1931525171</v>
      </c>
      <c r="L14" s="456">
        <f t="shared" si="2"/>
        <v>3132476.9449559525</v>
      </c>
      <c r="M14" s="456">
        <f t="shared" si="2"/>
        <v>7141674.3508393466</v>
      </c>
      <c r="N14" s="456">
        <f t="shared" si="2"/>
        <v>2175858.6694813147</v>
      </c>
      <c r="O14" s="456">
        <f t="shared" si="2"/>
        <v>-2283046.7762299404</v>
      </c>
      <c r="P14" s="456">
        <f t="shared" si="2"/>
        <v>-5436380.0874702968</v>
      </c>
      <c r="Q14" s="456">
        <f t="shared" si="2"/>
        <v>4971595.8444111943</v>
      </c>
      <c r="R14" s="450"/>
    </row>
    <row r="15" spans="1:19" ht="13.5" thickTop="1" x14ac:dyDescent="0.2">
      <c r="A15" s="448">
        <v>7</v>
      </c>
      <c r="B15" s="457" t="s">
        <v>657</v>
      </c>
      <c r="E15" s="408"/>
      <c r="F15" s="408"/>
      <c r="G15" s="408"/>
      <c r="H15" s="408"/>
    </row>
    <row r="16" spans="1:19" x14ac:dyDescent="0.2">
      <c r="A16" s="448">
        <v>8</v>
      </c>
      <c r="B16" s="54" t="s">
        <v>658</v>
      </c>
      <c r="C16" s="458">
        <v>3.4860000000000002E-4</v>
      </c>
      <c r="D16" s="458"/>
      <c r="E16" s="459">
        <f t="shared" ref="E16:P16" si="3">+E14*-($C$16)</f>
        <v>4615.2081843717442</v>
      </c>
      <c r="F16" s="459">
        <f t="shared" si="3"/>
        <v>1420.2936872651799</v>
      </c>
      <c r="G16" s="459">
        <f t="shared" si="3"/>
        <v>1425.7317430390203</v>
      </c>
      <c r="H16" s="459">
        <f t="shared" si="3"/>
        <v>-1096.4572868161069</v>
      </c>
      <c r="I16" s="459">
        <f t="shared" si="3"/>
        <v>-1989.8848245363743</v>
      </c>
      <c r="J16" s="459">
        <f t="shared" si="3"/>
        <v>-2571.6037651427037</v>
      </c>
      <c r="K16" s="459">
        <f t="shared" si="3"/>
        <v>-1887.3047803329675</v>
      </c>
      <c r="L16" s="459">
        <f t="shared" si="3"/>
        <v>-1091.981463011645</v>
      </c>
      <c r="M16" s="459">
        <f t="shared" si="3"/>
        <v>-2489.5876787025963</v>
      </c>
      <c r="N16" s="459">
        <f t="shared" si="3"/>
        <v>-758.50433218118633</v>
      </c>
      <c r="O16" s="459">
        <f t="shared" si="3"/>
        <v>795.87010619375724</v>
      </c>
      <c r="P16" s="459">
        <f t="shared" si="3"/>
        <v>1895.1220984921456</v>
      </c>
      <c r="Q16" s="455">
        <f>SUM(E16:P16)</f>
        <v>-1733.0983113617331</v>
      </c>
    </row>
    <row r="17" spans="1:19" ht="13.5" thickBot="1" x14ac:dyDescent="0.25">
      <c r="A17" s="448">
        <v>9</v>
      </c>
      <c r="B17" s="54" t="s">
        <v>659</v>
      </c>
      <c r="E17" s="456">
        <f>E14+E16</f>
        <v>-13234650.954672035</v>
      </c>
      <c r="F17" s="456">
        <f t="shared" ref="F17:O17" si="4">F14+F16</f>
        <v>-4072858.786247272</v>
      </c>
      <c r="G17" s="456">
        <f t="shared" si="4"/>
        <v>-4088453.0492065311</v>
      </c>
      <c r="H17" s="456">
        <f t="shared" si="4"/>
        <v>3144219.9133847468</v>
      </c>
      <c r="I17" s="456">
        <f t="shared" si="4"/>
        <v>5706228.2004777417</v>
      </c>
      <c r="J17" s="456">
        <f t="shared" si="4"/>
        <v>7374375.5136838052</v>
      </c>
      <c r="K17" s="456">
        <f t="shared" si="4"/>
        <v>5412067.8883721838</v>
      </c>
      <c r="L17" s="456">
        <f t="shared" si="4"/>
        <v>3131384.9634929406</v>
      </c>
      <c r="M17" s="456">
        <f t="shared" si="4"/>
        <v>7139184.7631606441</v>
      </c>
      <c r="N17" s="456">
        <f t="shared" si="4"/>
        <v>2175100.1651491337</v>
      </c>
      <c r="O17" s="456">
        <f t="shared" si="4"/>
        <v>-2282250.9061237467</v>
      </c>
      <c r="P17" s="456">
        <f>P14+P16</f>
        <v>-5434484.9653718043</v>
      </c>
      <c r="Q17" s="456">
        <f>SUM(E17:P17)</f>
        <v>4969862.7460998055</v>
      </c>
      <c r="R17" s="408"/>
    </row>
    <row r="18" spans="1:19" ht="13.5" thickTop="1" x14ac:dyDescent="0.2">
      <c r="A18" s="448"/>
      <c r="E18" s="408"/>
      <c r="F18" s="408"/>
      <c r="G18" s="408"/>
      <c r="H18" s="408"/>
    </row>
    <row r="19" spans="1:19" x14ac:dyDescent="0.2">
      <c r="A19" s="448"/>
      <c r="E19" s="408"/>
      <c r="F19" s="408"/>
      <c r="G19" s="408"/>
      <c r="H19" s="408"/>
      <c r="Q19" s="443"/>
    </row>
    <row r="20" spans="1:19" x14ac:dyDescent="0.2">
      <c r="P20" s="460"/>
      <c r="Q20" s="460"/>
    </row>
    <row r="21" spans="1:19" x14ac:dyDescent="0.2">
      <c r="A21" s="443" t="s">
        <v>660</v>
      </c>
    </row>
    <row r="23" spans="1:19" x14ac:dyDescent="0.2">
      <c r="A23" s="54" t="s">
        <v>652</v>
      </c>
      <c r="E23" s="446" t="s">
        <v>661</v>
      </c>
      <c r="F23" s="447" t="s">
        <v>662</v>
      </c>
      <c r="G23" s="446" t="s">
        <v>663</v>
      </c>
      <c r="H23" s="446" t="s">
        <v>664</v>
      </c>
      <c r="I23" s="446" t="s">
        <v>132</v>
      </c>
      <c r="J23" s="447" t="s">
        <v>665</v>
      </c>
      <c r="K23" s="446" t="s">
        <v>666</v>
      </c>
      <c r="L23" s="447" t="s">
        <v>667</v>
      </c>
      <c r="M23" s="446" t="s">
        <v>668</v>
      </c>
      <c r="N23" s="447" t="s">
        <v>669</v>
      </c>
      <c r="O23" s="446" t="s">
        <v>670</v>
      </c>
      <c r="P23" s="447" t="s">
        <v>671</v>
      </c>
      <c r="Q23" s="446" t="s">
        <v>84</v>
      </c>
      <c r="R23" s="447"/>
      <c r="S23" s="446"/>
    </row>
    <row r="24" spans="1:19" x14ac:dyDescent="0.2">
      <c r="A24" s="448">
        <v>1</v>
      </c>
      <c r="B24" s="54" t="s">
        <v>672</v>
      </c>
      <c r="E24" s="449">
        <f>$C$7*E42</f>
        <v>54671831.889310241</v>
      </c>
      <c r="F24" s="449">
        <f t="shared" ref="F24:P24" si="5">$C$7*F42</f>
        <v>48855115.212643139</v>
      </c>
      <c r="G24" s="449">
        <f t="shared" si="5"/>
        <v>46885480.960987605</v>
      </c>
      <c r="H24" s="449">
        <f t="shared" si="5"/>
        <v>39579463.197668828</v>
      </c>
      <c r="I24" s="449">
        <f t="shared" si="5"/>
        <v>38191088.222019576</v>
      </c>
      <c r="J24" s="449">
        <f t="shared" si="5"/>
        <v>37094352.746110857</v>
      </c>
      <c r="K24" s="449">
        <f t="shared" si="5"/>
        <v>39546515.418840423</v>
      </c>
      <c r="L24" s="449">
        <f t="shared" si="5"/>
        <v>39059164.39915292</v>
      </c>
      <c r="M24" s="449">
        <f t="shared" si="5"/>
        <v>37346502.438681543</v>
      </c>
      <c r="N24" s="449">
        <f t="shared" si="5"/>
        <v>41240323.808368839</v>
      </c>
      <c r="O24" s="449">
        <f t="shared" si="5"/>
        <v>48383615.74808307</v>
      </c>
      <c r="P24" s="449">
        <f t="shared" si="5"/>
        <v>55031641.301705293</v>
      </c>
      <c r="Q24" s="449">
        <f>SUM(E24:P24)</f>
        <v>525885095.34357238</v>
      </c>
      <c r="R24" s="450"/>
    </row>
    <row r="25" spans="1:19" x14ac:dyDescent="0.2">
      <c r="A25" s="448">
        <v>2</v>
      </c>
      <c r="B25" s="54" t="s">
        <v>653</v>
      </c>
      <c r="E25" s="459">
        <f>E24</f>
        <v>54671831.889310241</v>
      </c>
      <c r="F25" s="459">
        <f t="shared" ref="F25:O25" si="6">F24</f>
        <v>48855115.212643139</v>
      </c>
      <c r="G25" s="459">
        <f t="shared" si="6"/>
        <v>46885480.960987605</v>
      </c>
      <c r="H25" s="459">
        <f t="shared" si="6"/>
        <v>39579463.197668828</v>
      </c>
      <c r="I25" s="459">
        <f t="shared" si="6"/>
        <v>38191088.222019576</v>
      </c>
      <c r="J25" s="459">
        <f t="shared" si="6"/>
        <v>37094352.746110857</v>
      </c>
      <c r="K25" s="459">
        <f t="shared" si="6"/>
        <v>39546515.418840423</v>
      </c>
      <c r="L25" s="459">
        <f t="shared" si="6"/>
        <v>39059164.39915292</v>
      </c>
      <c r="M25" s="459">
        <f t="shared" si="6"/>
        <v>37346502.438681543</v>
      </c>
      <c r="N25" s="459">
        <f t="shared" si="6"/>
        <v>41240323.808368839</v>
      </c>
      <c r="O25" s="459">
        <f t="shared" si="6"/>
        <v>48383615.74808307</v>
      </c>
      <c r="P25" s="455">
        <f>P24/31*18</f>
        <v>31953856.239699848</v>
      </c>
      <c r="Q25" s="455">
        <f>SUM(E24:O24)+P25</f>
        <v>502807310.28156692</v>
      </c>
      <c r="R25" s="450"/>
    </row>
    <row r="26" spans="1:19" x14ac:dyDescent="0.2">
      <c r="A26" s="448">
        <v>3</v>
      </c>
      <c r="B26" s="54" t="s">
        <v>654</v>
      </c>
      <c r="E26" s="451">
        <f t="shared" ref="E26:P26" si="7">E11</f>
        <v>2311111402</v>
      </c>
      <c r="F26" s="451">
        <f t="shared" si="7"/>
        <v>1939919961</v>
      </c>
      <c r="G26" s="451">
        <f t="shared" si="7"/>
        <v>1940551765</v>
      </c>
      <c r="H26" s="451">
        <f t="shared" si="7"/>
        <v>1647518890</v>
      </c>
      <c r="I26" s="451">
        <f t="shared" si="7"/>
        <v>1543718724</v>
      </c>
      <c r="J26" s="451">
        <f t="shared" si="7"/>
        <v>1476133475</v>
      </c>
      <c r="K26" s="451">
        <f t="shared" si="7"/>
        <v>1555636675</v>
      </c>
      <c r="L26" s="451">
        <f t="shared" si="7"/>
        <v>1648038900</v>
      </c>
      <c r="M26" s="451">
        <f t="shared" si="7"/>
        <v>1485662265</v>
      </c>
      <c r="N26" s="451">
        <f t="shared" si="7"/>
        <v>1686782928</v>
      </c>
      <c r="O26" s="451">
        <f t="shared" si="7"/>
        <v>1867373203</v>
      </c>
      <c r="P26" s="451">
        <f t="shared" si="7"/>
        <v>1250770430.53</v>
      </c>
      <c r="Q26" s="452">
        <f>SUM(E26:P26)</f>
        <v>20353218618.529999</v>
      </c>
    </row>
    <row r="27" spans="1:19" ht="25.5" x14ac:dyDescent="0.2">
      <c r="A27" s="448">
        <v>4</v>
      </c>
      <c r="B27" s="453" t="s">
        <v>655</v>
      </c>
      <c r="C27" s="454">
        <f>C12</f>
        <v>2.4690728477550952E-2</v>
      </c>
      <c r="D27" s="454"/>
      <c r="E27" s="455">
        <f>E26*$C$27</f>
        <v>57063024.108154103</v>
      </c>
      <c r="F27" s="455">
        <f t="shared" ref="F27:M27" si="8">F26*$C$27</f>
        <v>47898037.025232233</v>
      </c>
      <c r="G27" s="455">
        <f t="shared" si="8"/>
        <v>47913636.726247266</v>
      </c>
      <c r="H27" s="455">
        <f t="shared" si="8"/>
        <v>40678441.574626133</v>
      </c>
      <c r="I27" s="455">
        <f t="shared" si="8"/>
        <v>38115539.859995417</v>
      </c>
      <c r="J27" s="455">
        <f t="shared" si="8"/>
        <v>36446810.827848747</v>
      </c>
      <c r="K27" s="455">
        <f t="shared" si="8"/>
        <v>38409802.752145179</v>
      </c>
      <c r="L27" s="455">
        <f t="shared" si="8"/>
        <v>40691281.000341743</v>
      </c>
      <c r="M27" s="455">
        <f t="shared" si="8"/>
        <v>36682083.594458349</v>
      </c>
      <c r="N27" s="455">
        <f>N26*$C$27</f>
        <v>41647899.275816381</v>
      </c>
      <c r="O27" s="455">
        <f t="shared" ref="O27:P27" si="9">O26*$C$27</f>
        <v>46106804.721527636</v>
      </c>
      <c r="P27" s="455">
        <f t="shared" si="9"/>
        <v>30882433.087965734</v>
      </c>
      <c r="Q27" s="455">
        <f>SUM(E27:P27)</f>
        <v>502535794.55435896</v>
      </c>
      <c r="R27" s="450"/>
    </row>
    <row r="28" spans="1:19" x14ac:dyDescent="0.2">
      <c r="A28" s="448">
        <v>5</v>
      </c>
      <c r="C28" s="454"/>
      <c r="D28" s="454"/>
      <c r="E28" s="408"/>
      <c r="F28" s="408"/>
      <c r="G28" s="408"/>
      <c r="H28" s="408"/>
    </row>
    <row r="29" spans="1:19" ht="13.5" thickBot="1" x14ac:dyDescent="0.25">
      <c r="A29" s="448">
        <v>6</v>
      </c>
      <c r="B29" s="54" t="s">
        <v>656</v>
      </c>
      <c r="E29" s="456">
        <f>E25-E27</f>
        <v>-2391192.2188438624</v>
      </c>
      <c r="F29" s="456">
        <f t="shared" ref="F29:P29" si="10">F25-F27</f>
        <v>957078.18741090596</v>
      </c>
      <c r="G29" s="456">
        <f t="shared" si="10"/>
        <v>-1028155.7652596608</v>
      </c>
      <c r="H29" s="456">
        <f t="shared" si="10"/>
        <v>-1098978.3769573048</v>
      </c>
      <c r="I29" s="456">
        <f t="shared" si="10"/>
        <v>75548.362024158239</v>
      </c>
      <c r="J29" s="456">
        <f t="shared" si="10"/>
        <v>647541.91826210916</v>
      </c>
      <c r="K29" s="456">
        <f t="shared" si="10"/>
        <v>1136712.6666952446</v>
      </c>
      <c r="L29" s="456">
        <f t="shared" si="10"/>
        <v>-1632116.6011888236</v>
      </c>
      <c r="M29" s="456">
        <f t="shared" si="10"/>
        <v>664418.84422319382</v>
      </c>
      <c r="N29" s="456">
        <f t="shared" si="10"/>
        <v>-407575.46744754165</v>
      </c>
      <c r="O29" s="456">
        <f t="shared" si="10"/>
        <v>2276811.0265554339</v>
      </c>
      <c r="P29" s="456">
        <f t="shared" si="10"/>
        <v>1071423.1517341137</v>
      </c>
      <c r="Q29" s="456">
        <f>SUM(E29:P29)</f>
        <v>271515.72720796615</v>
      </c>
      <c r="R29" s="450"/>
    </row>
    <row r="30" spans="1:19" ht="13.5" thickTop="1" x14ac:dyDescent="0.2">
      <c r="A30" s="448">
        <v>7</v>
      </c>
      <c r="B30" s="457" t="s">
        <v>657</v>
      </c>
      <c r="E30" s="408"/>
      <c r="F30" s="408"/>
      <c r="G30" s="408"/>
      <c r="H30" s="408"/>
    </row>
    <row r="31" spans="1:19" x14ac:dyDescent="0.2">
      <c r="A31" s="448">
        <v>8</v>
      </c>
      <c r="B31" s="54" t="s">
        <v>658</v>
      </c>
      <c r="C31" s="458">
        <f>C16</f>
        <v>3.4860000000000002E-4</v>
      </c>
      <c r="D31" s="458"/>
      <c r="E31" s="459">
        <v>4615.2081843717442</v>
      </c>
      <c r="F31" s="459">
        <v>1420.2936872651799</v>
      </c>
      <c r="G31" s="459">
        <v>1425.7317430390203</v>
      </c>
      <c r="H31" s="459">
        <v>-1096.4572868161069</v>
      </c>
      <c r="I31" s="459">
        <v>-1989.8848245363743</v>
      </c>
      <c r="J31" s="459">
        <v>-2571.6037651427037</v>
      </c>
      <c r="K31" s="459">
        <v>-1887.3047803329675</v>
      </c>
      <c r="L31" s="459">
        <v>-1091.981463011645</v>
      </c>
      <c r="M31" s="459">
        <v>-2489.5876787025963</v>
      </c>
      <c r="N31" s="459">
        <v>-758.50433218118633</v>
      </c>
      <c r="O31" s="459">
        <v>795.87010619375724</v>
      </c>
      <c r="P31" s="459">
        <v>1895.1220984921456</v>
      </c>
      <c r="Q31" s="455">
        <v>-1733.0983113617331</v>
      </c>
    </row>
    <row r="32" spans="1:19" ht="13.5" thickBot="1" x14ac:dyDescent="0.25">
      <c r="A32" s="448">
        <v>9</v>
      </c>
      <c r="B32" s="54" t="s">
        <v>659</v>
      </c>
      <c r="E32" s="456">
        <f>E29+E31</f>
        <v>-2386577.0106594907</v>
      </c>
      <c r="F32" s="456">
        <f t="shared" ref="F32:K32" si="11">F29+F31</f>
        <v>958498.48109817109</v>
      </c>
      <c r="G32" s="456">
        <f t="shared" si="11"/>
        <v>-1026730.0335166218</v>
      </c>
      <c r="H32" s="456">
        <f t="shared" si="11"/>
        <v>-1100074.8342441209</v>
      </c>
      <c r="I32" s="456">
        <f t="shared" si="11"/>
        <v>73558.477199621862</v>
      </c>
      <c r="J32" s="456">
        <f t="shared" si="11"/>
        <v>644970.31449696643</v>
      </c>
      <c r="K32" s="456">
        <f t="shared" si="11"/>
        <v>1134825.3619149115</v>
      </c>
      <c r="L32" s="456">
        <f>L29+L31</f>
        <v>-1633208.5826518352</v>
      </c>
      <c r="M32" s="456">
        <f t="shared" ref="M32:P32" si="12">M29+M31</f>
        <v>661929.25654449128</v>
      </c>
      <c r="N32" s="456">
        <f t="shared" si="12"/>
        <v>-408333.97177972284</v>
      </c>
      <c r="O32" s="456">
        <f t="shared" si="12"/>
        <v>2277606.8966616276</v>
      </c>
      <c r="P32" s="456">
        <f t="shared" si="12"/>
        <v>1073318.2738326059</v>
      </c>
      <c r="Q32" s="456">
        <f>SUM(E32:P32)</f>
        <v>269782.62889660452</v>
      </c>
      <c r="R32" s="408"/>
    </row>
    <row r="33" spans="1:18" ht="13.5" thickTop="1" x14ac:dyDescent="0.2">
      <c r="A33" s="448"/>
      <c r="E33" s="459"/>
      <c r="F33" s="459"/>
      <c r="G33" s="459"/>
      <c r="H33" s="459"/>
      <c r="I33" s="459"/>
      <c r="J33" s="459"/>
      <c r="K33" s="459"/>
      <c r="L33" s="459"/>
      <c r="M33" s="459"/>
      <c r="N33" s="459"/>
      <c r="O33" s="459"/>
      <c r="P33" s="459"/>
      <c r="Q33" s="459"/>
      <c r="R33" s="408"/>
    </row>
    <row r="34" spans="1:18" x14ac:dyDescent="0.2">
      <c r="A34" s="448"/>
      <c r="E34" s="459"/>
      <c r="F34" s="459"/>
      <c r="G34" s="459"/>
      <c r="H34" s="459"/>
      <c r="I34" s="459"/>
      <c r="J34" s="459"/>
      <c r="K34" s="459"/>
      <c r="L34" s="459"/>
      <c r="M34" s="459"/>
      <c r="N34" s="459"/>
      <c r="O34" s="459"/>
      <c r="P34" s="459"/>
      <c r="Q34" s="459"/>
      <c r="R34" s="408"/>
    </row>
    <row r="35" spans="1:18" x14ac:dyDescent="0.2">
      <c r="A35" s="448"/>
      <c r="E35" s="459"/>
      <c r="F35" s="459"/>
      <c r="G35" s="459"/>
      <c r="H35" s="459"/>
      <c r="I35" s="459"/>
      <c r="J35" s="459"/>
      <c r="K35" s="459"/>
      <c r="L35" s="459"/>
      <c r="M35" s="459"/>
      <c r="N35" s="459"/>
      <c r="O35" s="459"/>
      <c r="P35" s="459"/>
      <c r="Q35" s="459"/>
      <c r="R35" s="408"/>
    </row>
    <row r="36" spans="1:18" x14ac:dyDescent="0.2">
      <c r="A36" s="448"/>
      <c r="E36" s="459"/>
      <c r="F36" s="459"/>
      <c r="G36" s="459"/>
      <c r="H36" s="459"/>
      <c r="I36" s="459"/>
      <c r="J36" s="459"/>
      <c r="K36" s="459"/>
      <c r="L36" s="459"/>
      <c r="M36" s="459"/>
      <c r="N36" s="459"/>
      <c r="O36" s="459"/>
      <c r="P36" s="461" t="s">
        <v>673</v>
      </c>
      <c r="Q36" s="459">
        <f>Q17-Q32</f>
        <v>4700080.1172032012</v>
      </c>
      <c r="R36" s="408"/>
    </row>
    <row r="37" spans="1:18" x14ac:dyDescent="0.2">
      <c r="A37" s="448"/>
      <c r="E37" s="459"/>
      <c r="F37" s="459"/>
      <c r="G37" s="459"/>
      <c r="H37" s="459"/>
      <c r="I37" s="459"/>
      <c r="J37" s="459"/>
      <c r="K37" s="459"/>
      <c r="L37" s="459"/>
      <c r="M37" s="459"/>
      <c r="N37" s="459"/>
      <c r="O37" s="459"/>
      <c r="P37" s="461" t="s">
        <v>175</v>
      </c>
      <c r="Q37" s="462">
        <v>0.95238599999999995</v>
      </c>
      <c r="R37" s="408"/>
    </row>
    <row r="38" spans="1:18" x14ac:dyDescent="0.2">
      <c r="A38" s="448"/>
      <c r="E38" s="459"/>
      <c r="F38" s="459"/>
      <c r="G38" s="459"/>
      <c r="H38" s="459"/>
      <c r="I38" s="459"/>
      <c r="J38" s="459"/>
      <c r="K38" s="459"/>
      <c r="L38" s="459"/>
      <c r="M38" s="459"/>
      <c r="N38" s="459"/>
      <c r="O38" s="459"/>
      <c r="P38" s="461" t="s">
        <v>674</v>
      </c>
      <c r="Q38" s="459">
        <f>Q36/Q37</f>
        <v>4935057.9672561353</v>
      </c>
      <c r="R38" s="408"/>
    </row>
    <row r="41" spans="1:18" x14ac:dyDescent="0.2">
      <c r="B41" s="297" t="s">
        <v>675</v>
      </c>
      <c r="E41" s="463">
        <v>2145590125.2520325</v>
      </c>
      <c r="F41" s="463">
        <v>1917313708.8313494</v>
      </c>
      <c r="G41" s="463">
        <v>1840015625.8026631</v>
      </c>
      <c r="H41" s="463">
        <v>1553291749.4264314</v>
      </c>
      <c r="I41" s="463">
        <v>1498805123.7737339</v>
      </c>
      <c r="J41" s="463">
        <v>1455763858.7236149</v>
      </c>
      <c r="K41" s="463">
        <v>1551998717.4123158</v>
      </c>
      <c r="L41" s="463">
        <v>1532872679.3916755</v>
      </c>
      <c r="M41" s="463">
        <v>1465659446.1178758</v>
      </c>
      <c r="N41" s="463">
        <v>1618472044.3350198</v>
      </c>
      <c r="O41" s="463">
        <v>1898809763.376039</v>
      </c>
      <c r="P41" s="463">
        <v>2159710806.6985693</v>
      </c>
      <c r="Q41" s="408">
        <f>SUM(E41:P41)</f>
        <v>20638303649.141323</v>
      </c>
    </row>
    <row r="42" spans="1:18" s="416" customFormat="1" x14ac:dyDescent="0.2">
      <c r="B42" s="339" t="s">
        <v>676</v>
      </c>
      <c r="E42" s="464">
        <f>E41/$Q$41</f>
        <v>0.10396155428894961</v>
      </c>
      <c r="F42" s="464">
        <f t="shared" ref="F42:O42" si="13">F41/$Q$41</f>
        <v>9.2900741331573597E-2</v>
      </c>
      <c r="G42" s="464">
        <f t="shared" si="13"/>
        <v>8.9155371346579582E-2</v>
      </c>
      <c r="H42" s="464">
        <f t="shared" si="13"/>
        <v>7.526256885415375E-2</v>
      </c>
      <c r="I42" s="464">
        <f t="shared" si="13"/>
        <v>7.2622495979028451E-2</v>
      </c>
      <c r="J42" s="464">
        <f t="shared" si="13"/>
        <v>7.0536991967563356E-2</v>
      </c>
      <c r="K42" s="464">
        <f t="shared" si="13"/>
        <v>7.5199916805027162E-2</v>
      </c>
      <c r="L42" s="464">
        <f t="shared" si="13"/>
        <v>7.4273191510846492E-2</v>
      </c>
      <c r="M42" s="464">
        <f t="shared" si="13"/>
        <v>7.1016468748334172E-2</v>
      </c>
      <c r="N42" s="464">
        <f t="shared" si="13"/>
        <v>7.8420788445098685E-2</v>
      </c>
      <c r="O42" s="464">
        <f t="shared" si="13"/>
        <v>9.200415865840994E-2</v>
      </c>
      <c r="P42" s="464">
        <f>P41/$Q$41</f>
        <v>0.1046457520644351</v>
      </c>
    </row>
    <row r="43" spans="1:18" s="416" customFormat="1" x14ac:dyDescent="0.2"/>
    <row r="44" spans="1:18" s="416" customFormat="1" x14ac:dyDescent="0.2"/>
  </sheetData>
  <printOptions horizontalCentered="1"/>
  <pageMargins left="0.5" right="0.5" top="1" bottom="0.75" header="0.5" footer="0.5"/>
  <pageSetup scale="50" orientation="landscape" blackAndWhite="1" r:id="rId1"/>
  <headerFooter>
    <oddHeader>&amp;R&amp;"Times New Roman,Regular"&amp;12Advice No. 2018-xx
Workpaper No. 29</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43"/>
  <sheetViews>
    <sheetView zoomScaleNormal="100" workbookViewId="0">
      <selection activeCell="C48" sqref="C48"/>
    </sheetView>
  </sheetViews>
  <sheetFormatPr defaultRowHeight="15" x14ac:dyDescent="0.25"/>
  <cols>
    <col min="1" max="1" width="5.28515625" customWidth="1"/>
    <col min="2" max="2" width="67" customWidth="1"/>
    <col min="3" max="3" width="17" bestFit="1" customWidth="1"/>
    <col min="4" max="5" width="16.140625" customWidth="1"/>
    <col min="6" max="6" width="20.5703125" bestFit="1" customWidth="1"/>
    <col min="7" max="8" width="16.140625" customWidth="1"/>
  </cols>
  <sheetData>
    <row r="1" spans="1:8" ht="12.75" customHeight="1" x14ac:dyDescent="0.25">
      <c r="A1" s="504" t="s">
        <v>0</v>
      </c>
      <c r="B1" s="504"/>
      <c r="C1" s="504"/>
      <c r="D1" s="504"/>
      <c r="E1" s="504"/>
      <c r="F1" s="504"/>
      <c r="G1" s="504"/>
      <c r="H1" s="504"/>
    </row>
    <row r="2" spans="1:8" ht="12.75" customHeight="1" x14ac:dyDescent="0.25">
      <c r="A2" s="504" t="str">
        <f>'Delivery Rate Change Calc'!A2:H2</f>
        <v>2018 Electric Decoupling Filing</v>
      </c>
      <c r="B2" s="504"/>
      <c r="C2" s="504"/>
      <c r="D2" s="504"/>
      <c r="E2" s="504"/>
      <c r="F2" s="504"/>
      <c r="G2" s="504"/>
      <c r="H2" s="504"/>
    </row>
    <row r="3" spans="1:8" ht="12.75" customHeight="1" x14ac:dyDescent="0.25">
      <c r="A3" s="504" t="s">
        <v>627</v>
      </c>
      <c r="B3" s="504"/>
      <c r="C3" s="504"/>
      <c r="D3" s="504"/>
      <c r="E3" s="504"/>
      <c r="F3" s="504"/>
      <c r="G3" s="504"/>
      <c r="H3" s="504"/>
    </row>
    <row r="4" spans="1:8" ht="12.75" customHeight="1" x14ac:dyDescent="0.25">
      <c r="A4" s="504" t="str">
        <f>'Delivery Rate Change Calc'!A4:H4</f>
        <v>Proposed Effective May 1, 2018</v>
      </c>
      <c r="B4" s="504"/>
      <c r="C4" s="504"/>
      <c r="D4" s="504"/>
      <c r="E4" s="504"/>
      <c r="F4" s="504"/>
      <c r="G4" s="504"/>
      <c r="H4" s="504"/>
    </row>
    <row r="5" spans="1:8" ht="12.75" customHeight="1" x14ac:dyDescent="0.25">
      <c r="A5" s="6"/>
      <c r="B5" s="6"/>
      <c r="C5" s="6"/>
      <c r="D5" s="6"/>
      <c r="E5" s="6"/>
      <c r="F5" s="6"/>
      <c r="G5" s="22"/>
      <c r="H5" s="22"/>
    </row>
    <row r="6" spans="1:8" ht="12.75" customHeight="1" x14ac:dyDescent="0.25">
      <c r="A6" s="3"/>
      <c r="B6" s="3"/>
      <c r="C6" s="3"/>
      <c r="D6" s="3"/>
      <c r="E6" s="3"/>
      <c r="F6" s="22"/>
      <c r="G6" s="22"/>
      <c r="H6" s="22"/>
    </row>
    <row r="7" spans="1:8" ht="12.75" customHeight="1" x14ac:dyDescent="0.25">
      <c r="A7" s="5" t="s">
        <v>2</v>
      </c>
      <c r="B7" s="3"/>
      <c r="C7" s="3"/>
      <c r="D7" s="6" t="s">
        <v>3</v>
      </c>
      <c r="E7" s="6" t="s">
        <v>4</v>
      </c>
      <c r="F7" s="6" t="s">
        <v>4</v>
      </c>
      <c r="G7" s="6" t="s">
        <v>3</v>
      </c>
      <c r="H7" s="6" t="s">
        <v>4</v>
      </c>
    </row>
    <row r="8" spans="1:8" ht="12.75" customHeight="1" x14ac:dyDescent="0.25">
      <c r="A8" s="7" t="s">
        <v>5</v>
      </c>
      <c r="B8" s="23"/>
      <c r="C8" s="7" t="s">
        <v>6</v>
      </c>
      <c r="D8" s="7">
        <v>7</v>
      </c>
      <c r="E8" s="7" t="s">
        <v>7</v>
      </c>
      <c r="F8" s="7" t="s">
        <v>8</v>
      </c>
      <c r="G8" s="7">
        <v>40</v>
      </c>
      <c r="H8" s="7" t="s">
        <v>268</v>
      </c>
    </row>
    <row r="9" spans="1:8" ht="12.75" customHeight="1" x14ac:dyDescent="0.25">
      <c r="A9" s="9"/>
      <c r="B9" s="10" t="s">
        <v>9</v>
      </c>
      <c r="C9" s="10" t="s">
        <v>10</v>
      </c>
      <c r="D9" s="10" t="s">
        <v>11</v>
      </c>
      <c r="E9" s="10" t="s">
        <v>12</v>
      </c>
      <c r="F9" s="10" t="s">
        <v>13</v>
      </c>
      <c r="G9" s="10" t="s">
        <v>14</v>
      </c>
      <c r="H9" s="10" t="s">
        <v>67</v>
      </c>
    </row>
    <row r="10" spans="1:8" ht="12.75" customHeight="1" x14ac:dyDescent="0.25">
      <c r="A10" s="10"/>
      <c r="B10" s="11"/>
      <c r="C10" s="10"/>
      <c r="D10" s="10"/>
      <c r="E10" s="10"/>
      <c r="F10" s="10"/>
      <c r="G10" s="22"/>
      <c r="H10" s="22"/>
    </row>
    <row r="11" spans="1:8" ht="12.75" customHeight="1" x14ac:dyDescent="0.25">
      <c r="A11" s="10">
        <v>1</v>
      </c>
      <c r="B11" s="9" t="s">
        <v>276</v>
      </c>
      <c r="C11" s="10" t="s">
        <v>15</v>
      </c>
      <c r="D11" s="24">
        <f>'Rate Test Revenue'!N8</f>
        <v>1194228000</v>
      </c>
      <c r="E11" s="24">
        <f>SUM('Rate Test Revenue'!N12:N13)</f>
        <v>303517000</v>
      </c>
      <c r="F11" s="24">
        <f>SUM('Rate Test Revenue'!N9,'Rate Test Revenue'!N14:N15,'Rate Test Revenue'!N18,'Rate Test Revenue'!N23:N24)</f>
        <v>300515000</v>
      </c>
      <c r="G11" s="24">
        <f>'Rate Test Revenue'!N27</f>
        <v>48596000</v>
      </c>
      <c r="H11" s="24">
        <f>'Rate Test Revenue'!N31</f>
        <v>45578000</v>
      </c>
    </row>
    <row r="12" spans="1:8" ht="12.75" customHeight="1" x14ac:dyDescent="0.25">
      <c r="A12" s="10">
        <f t="shared" ref="A12:A43" si="0">A11+1</f>
        <v>2</v>
      </c>
      <c r="B12" s="9"/>
      <c r="C12" s="10"/>
      <c r="D12" s="25"/>
      <c r="E12" s="25"/>
      <c r="F12" s="25"/>
      <c r="G12" s="25"/>
      <c r="H12" s="25"/>
    </row>
    <row r="13" spans="1:8" ht="12.75" customHeight="1" x14ac:dyDescent="0.25">
      <c r="A13" s="10">
        <f t="shared" si="0"/>
        <v>3</v>
      </c>
      <c r="B13" s="9" t="s">
        <v>277</v>
      </c>
      <c r="C13" s="10" t="s">
        <v>15</v>
      </c>
      <c r="D13" s="26">
        <f>'Rate Test Revenue'!C8</f>
        <v>10803894020.475845</v>
      </c>
      <c r="E13" s="26">
        <f>SUM('Rate Test Revenue'!C12:C13)</f>
        <v>2844941878.1609416</v>
      </c>
      <c r="F13" s="26">
        <f>SUM('Rate Test Revenue'!C9,'Rate Test Revenue'!C14:C15,'Rate Test Revenue'!C18,'Rate Test Revenue'!C23:C24)</f>
        <v>3044524460.6324711</v>
      </c>
      <c r="G13" s="26">
        <f>'Rate Test Revenue'!C27</f>
        <v>589021558.84228396</v>
      </c>
      <c r="H13" s="26">
        <f>'Rate Test Revenue'!C31</f>
        <v>623859801.57400012</v>
      </c>
    </row>
    <row r="14" spans="1:8" ht="12.75" customHeight="1" x14ac:dyDescent="0.25">
      <c r="A14" s="10">
        <f t="shared" si="0"/>
        <v>4</v>
      </c>
      <c r="B14" s="9"/>
      <c r="C14" s="10"/>
      <c r="D14" s="9"/>
      <c r="E14" s="9"/>
      <c r="F14" s="9"/>
      <c r="G14" s="9"/>
      <c r="H14" s="9"/>
    </row>
    <row r="15" spans="1:8" ht="12.75" customHeight="1" x14ac:dyDescent="0.25">
      <c r="A15" s="10">
        <f t="shared" si="0"/>
        <v>5</v>
      </c>
      <c r="B15" s="9" t="s">
        <v>29</v>
      </c>
      <c r="C15" s="10" t="str">
        <f>"("&amp;A11&amp;") / ("&amp;A13&amp;")"</f>
        <v>(1) / (3)</v>
      </c>
      <c r="D15" s="27">
        <f>ROUND(D11/D13,6)</f>
        <v>0.110537</v>
      </c>
      <c r="E15" s="27">
        <f t="shared" ref="E15:G15" si="1">ROUND(E11/E13,6)</f>
        <v>0.106687</v>
      </c>
      <c r="F15" s="27">
        <f t="shared" si="1"/>
        <v>9.8707000000000003E-2</v>
      </c>
      <c r="G15" s="27">
        <f t="shared" si="1"/>
        <v>8.2503000000000007E-2</v>
      </c>
      <c r="H15" s="27">
        <f t="shared" ref="H15" si="2">ROUND(H11/H13,6)</f>
        <v>7.3057999999999998E-2</v>
      </c>
    </row>
    <row r="16" spans="1:8" ht="12.75" customHeight="1" x14ac:dyDescent="0.25">
      <c r="A16" s="10">
        <f t="shared" si="0"/>
        <v>6</v>
      </c>
      <c r="B16" s="9"/>
      <c r="C16" s="10"/>
      <c r="D16" s="28"/>
      <c r="E16" s="28"/>
      <c r="F16" s="28"/>
      <c r="G16" s="28"/>
      <c r="H16" s="28"/>
    </row>
    <row r="17" spans="1:8" ht="12.75" customHeight="1" x14ac:dyDescent="0.25">
      <c r="A17" s="10">
        <f>A16+1</f>
        <v>7</v>
      </c>
      <c r="B17" s="9" t="s">
        <v>30</v>
      </c>
      <c r="C17" s="10" t="s">
        <v>31</v>
      </c>
      <c r="D17" s="251">
        <v>1.201E-3</v>
      </c>
      <c r="E17" s="251">
        <v>1.335E-3</v>
      </c>
      <c r="F17" s="251">
        <v>1.335E-3</v>
      </c>
      <c r="G17" s="251">
        <v>1.335E-3</v>
      </c>
      <c r="H17" s="251">
        <v>1.335E-3</v>
      </c>
    </row>
    <row r="18" spans="1:8" ht="12.75" customHeight="1" x14ac:dyDescent="0.25">
      <c r="A18" s="10">
        <f t="shared" si="0"/>
        <v>8</v>
      </c>
      <c r="B18" s="9"/>
      <c r="C18" s="10"/>
      <c r="D18" s="27"/>
      <c r="E18" s="27"/>
      <c r="F18" s="27"/>
      <c r="G18" s="27"/>
      <c r="H18" s="27"/>
    </row>
    <row r="19" spans="1:8" ht="12.75" customHeight="1" x14ac:dyDescent="0.25">
      <c r="A19" s="10">
        <f t="shared" si="0"/>
        <v>9</v>
      </c>
      <c r="B19" s="9" t="s">
        <v>32</v>
      </c>
      <c r="C19" s="10" t="s">
        <v>31</v>
      </c>
      <c r="D19" s="250">
        <v>0</v>
      </c>
      <c r="E19" s="250">
        <v>0</v>
      </c>
      <c r="F19" s="250">
        <v>0</v>
      </c>
      <c r="G19" s="250">
        <v>0</v>
      </c>
      <c r="H19" s="250">
        <v>0</v>
      </c>
    </row>
    <row r="20" spans="1:8" ht="12.75" customHeight="1" x14ac:dyDescent="0.25">
      <c r="A20" s="10">
        <f t="shared" si="0"/>
        <v>10</v>
      </c>
      <c r="B20" s="9"/>
      <c r="C20" s="10"/>
      <c r="D20" s="30"/>
      <c r="E20" s="30"/>
      <c r="F20" s="30"/>
      <c r="G20" s="30"/>
      <c r="H20" s="30"/>
    </row>
    <row r="21" spans="1:8" ht="12.75" customHeight="1" x14ac:dyDescent="0.25">
      <c r="A21" s="10">
        <f t="shared" si="0"/>
        <v>11</v>
      </c>
      <c r="B21" s="9" t="s">
        <v>33</v>
      </c>
      <c r="C21" s="10" t="str">
        <f>"("&amp;A17&amp;") + ("&amp;A19&amp;")"</f>
        <v>(7) + (9)</v>
      </c>
      <c r="D21" s="29">
        <f>SUM(D17,D19)</f>
        <v>1.201E-3</v>
      </c>
      <c r="E21" s="29">
        <f t="shared" ref="E21:G21" si="3">SUM(E17,E19)</f>
        <v>1.335E-3</v>
      </c>
      <c r="F21" s="29">
        <f t="shared" si="3"/>
        <v>1.335E-3</v>
      </c>
      <c r="G21" s="29">
        <f t="shared" si="3"/>
        <v>1.335E-3</v>
      </c>
      <c r="H21" s="29">
        <f t="shared" ref="H21" si="4">SUM(H17,H19)</f>
        <v>1.335E-3</v>
      </c>
    </row>
    <row r="22" spans="1:8" ht="12.75" customHeight="1" x14ac:dyDescent="0.25">
      <c r="A22" s="10">
        <f t="shared" si="0"/>
        <v>12</v>
      </c>
      <c r="B22" s="9"/>
      <c r="C22" s="10"/>
      <c r="D22" s="28"/>
      <c r="E22" s="28"/>
      <c r="F22" s="28"/>
      <c r="G22" s="28"/>
      <c r="H22" s="28"/>
    </row>
    <row r="23" spans="1:8" ht="12.75" customHeight="1" x14ac:dyDescent="0.25">
      <c r="A23" s="10">
        <f t="shared" si="0"/>
        <v>13</v>
      </c>
      <c r="B23" s="9" t="s">
        <v>34</v>
      </c>
      <c r="C23" s="10" t="s">
        <v>643</v>
      </c>
      <c r="D23" s="17">
        <f>'Delivery Rate Change Calc'!D24</f>
        <v>-1.1150000000000001E-3</v>
      </c>
      <c r="E23" s="17">
        <f>'Delivery Rate Change Calc'!E24</f>
        <v>1.3129999999999999E-3</v>
      </c>
      <c r="F23" s="17">
        <f>'Delivery Rate Change Calc'!F24</f>
        <v>1.408E-3</v>
      </c>
      <c r="G23" s="17">
        <f>'Delivery Rate Change Calc'!G24</f>
        <v>1.5690000000000001E-3</v>
      </c>
      <c r="H23" s="17">
        <f>'Delivery Rate Change Calc'!H24</f>
        <v>1.312E-3</v>
      </c>
    </row>
    <row r="24" spans="1:8" ht="12.75" customHeight="1" x14ac:dyDescent="0.25">
      <c r="A24" s="10">
        <f t="shared" si="0"/>
        <v>14</v>
      </c>
      <c r="B24" s="9"/>
      <c r="C24" s="10"/>
      <c r="D24" s="9"/>
      <c r="E24" s="9"/>
      <c r="F24" s="9"/>
      <c r="G24" s="9"/>
      <c r="H24" s="9"/>
    </row>
    <row r="25" spans="1:8" ht="12.75" customHeight="1" x14ac:dyDescent="0.25">
      <c r="A25" s="10">
        <f t="shared" si="0"/>
        <v>15</v>
      </c>
      <c r="B25" s="9" t="s">
        <v>35</v>
      </c>
      <c r="C25" s="10" t="s">
        <v>644</v>
      </c>
      <c r="D25" s="31">
        <f>'FPC Rate Change Calc'!D24</f>
        <v>-1.22E-4</v>
      </c>
      <c r="E25" s="31">
        <f>'FPC Rate Change Calc'!E24</f>
        <v>-6.2000000000000003E-5</v>
      </c>
      <c r="F25" s="31">
        <f>'FPC Rate Change Calc'!F24</f>
        <v>0</v>
      </c>
      <c r="G25" s="31">
        <f>'FPC Rate Change Calc'!G24</f>
        <v>2.2900000000000001E-4</v>
      </c>
      <c r="H25" s="31">
        <f>'FPC Rate Change Calc'!J24</f>
        <v>1.1E-5</v>
      </c>
    </row>
    <row r="26" spans="1:8" ht="12.75" customHeight="1" x14ac:dyDescent="0.25">
      <c r="A26" s="10">
        <f t="shared" si="0"/>
        <v>16</v>
      </c>
      <c r="B26" s="9"/>
      <c r="C26" s="10"/>
      <c r="D26" s="9"/>
      <c r="E26" s="9"/>
      <c r="F26" s="9"/>
      <c r="G26" s="9"/>
      <c r="H26" s="9"/>
    </row>
    <row r="27" spans="1:8" ht="12.75" customHeight="1" x14ac:dyDescent="0.25">
      <c r="A27" s="10">
        <f t="shared" si="0"/>
        <v>17</v>
      </c>
      <c r="B27" s="9" t="s">
        <v>36</v>
      </c>
      <c r="C27" s="10" t="str">
        <f>"("&amp;A23&amp;") + ("&amp;A25&amp;")"</f>
        <v>(13) + (15)</v>
      </c>
      <c r="D27" s="29">
        <f>SUM(D23,D25)</f>
        <v>-1.237E-3</v>
      </c>
      <c r="E27" s="29">
        <f t="shared" ref="E27:G27" si="5">SUM(E23,E25)</f>
        <v>1.2509999999999999E-3</v>
      </c>
      <c r="F27" s="29">
        <f t="shared" si="5"/>
        <v>1.408E-3</v>
      </c>
      <c r="G27" s="29">
        <f t="shared" si="5"/>
        <v>1.7980000000000001E-3</v>
      </c>
      <c r="H27" s="29">
        <f t="shared" ref="H27" si="6">SUM(H23,H25)</f>
        <v>1.323E-3</v>
      </c>
    </row>
    <row r="28" spans="1:8" ht="12.75" customHeight="1" x14ac:dyDescent="0.25">
      <c r="A28" s="10">
        <f t="shared" si="0"/>
        <v>18</v>
      </c>
      <c r="B28" s="9"/>
      <c r="C28" s="10"/>
      <c r="D28" s="9"/>
      <c r="E28" s="9"/>
      <c r="F28" s="9"/>
      <c r="G28" s="9"/>
      <c r="H28" s="9"/>
    </row>
    <row r="29" spans="1:8" ht="12.75" customHeight="1" x14ac:dyDescent="0.25">
      <c r="A29" s="10">
        <f t="shared" si="0"/>
        <v>19</v>
      </c>
      <c r="B29" s="9" t="s">
        <v>37</v>
      </c>
      <c r="C29" s="10" t="str">
        <f>"("&amp;A27&amp;") - ("&amp;A21&amp;")"</f>
        <v>(17) - (11)</v>
      </c>
      <c r="D29" s="27">
        <f>D27-D21</f>
        <v>-2.4380000000000001E-3</v>
      </c>
      <c r="E29" s="27">
        <f>E27-E21</f>
        <v>-8.400000000000009E-5</v>
      </c>
      <c r="F29" s="27">
        <f>F27-F21</f>
        <v>7.2999999999999931E-5</v>
      </c>
      <c r="G29" s="27">
        <f>G27-G21</f>
        <v>4.6300000000000009E-4</v>
      </c>
      <c r="H29" s="27">
        <f>H27-H21</f>
        <v>-1.2000000000000075E-5</v>
      </c>
    </row>
    <row r="30" spans="1:8" ht="12.75" customHeight="1" x14ac:dyDescent="0.25">
      <c r="A30" s="10">
        <f t="shared" si="0"/>
        <v>20</v>
      </c>
      <c r="B30" s="9"/>
      <c r="C30" s="10"/>
      <c r="D30" s="9"/>
      <c r="E30" s="9"/>
      <c r="F30" s="9"/>
      <c r="G30" s="9"/>
      <c r="H30" s="9"/>
    </row>
    <row r="31" spans="1:8" ht="12.75" customHeight="1" x14ac:dyDescent="0.25">
      <c r="A31" s="10">
        <f t="shared" si="0"/>
        <v>21</v>
      </c>
      <c r="B31" s="9" t="s">
        <v>38</v>
      </c>
      <c r="C31" s="10" t="str">
        <f>"("&amp;A29&amp;") / ("&amp;A15&amp;")"</f>
        <v>(19) / (5)</v>
      </c>
      <c r="D31" s="32">
        <f>D29/D15</f>
        <v>-2.205596316165628E-2</v>
      </c>
      <c r="E31" s="32">
        <f>E29/E15</f>
        <v>-7.8734991142313576E-4</v>
      </c>
      <c r="F31" s="32">
        <f>F29/F15</f>
        <v>7.3956254368990986E-4</v>
      </c>
      <c r="G31" s="32">
        <f>G29/G15</f>
        <v>5.6119171424069431E-3</v>
      </c>
      <c r="H31" s="32">
        <f>H29/H15</f>
        <v>-1.6425305921322888E-4</v>
      </c>
    </row>
    <row r="32" spans="1:8" ht="12.75" customHeight="1" x14ac:dyDescent="0.25">
      <c r="A32" s="10">
        <f t="shared" si="0"/>
        <v>22</v>
      </c>
      <c r="B32" s="9"/>
      <c r="C32" s="10"/>
      <c r="D32" s="9"/>
      <c r="E32" s="9"/>
      <c r="F32" s="9"/>
      <c r="G32" s="9"/>
      <c r="H32" s="9"/>
    </row>
    <row r="33" spans="1:8" ht="12.75" customHeight="1" x14ac:dyDescent="0.25">
      <c r="A33" s="10">
        <f t="shared" si="0"/>
        <v>23</v>
      </c>
      <c r="B33" s="9" t="s">
        <v>39</v>
      </c>
      <c r="C33" s="10" t="s">
        <v>21</v>
      </c>
      <c r="D33" s="33">
        <f>IF(D31&gt;3%,D31-3%,0)</f>
        <v>0</v>
      </c>
      <c r="E33" s="33">
        <f t="shared" ref="E33:G33" si="7">IF(E31&gt;3%,E31-3%,0)</f>
        <v>0</v>
      </c>
      <c r="F33" s="33">
        <f>IF(F31&gt;3%,F31-3%,0)</f>
        <v>0</v>
      </c>
      <c r="G33" s="33">
        <f t="shared" si="7"/>
        <v>0</v>
      </c>
      <c r="H33" s="33">
        <f>IF(H31&gt;3%,H31-3%,0)</f>
        <v>0</v>
      </c>
    </row>
    <row r="34" spans="1:8" ht="12.75" customHeight="1" x14ac:dyDescent="0.25">
      <c r="A34" s="10">
        <f t="shared" si="0"/>
        <v>24</v>
      </c>
      <c r="B34" s="9"/>
      <c r="C34" s="10"/>
      <c r="D34" s="9"/>
      <c r="E34" s="9"/>
      <c r="F34" s="9"/>
      <c r="G34" s="9"/>
      <c r="H34" s="9"/>
    </row>
    <row r="35" spans="1:8" ht="12.75" customHeight="1" x14ac:dyDescent="0.25">
      <c r="A35" s="10">
        <f t="shared" si="0"/>
        <v>25</v>
      </c>
      <c r="B35" s="9" t="s">
        <v>40</v>
      </c>
      <c r="C35" s="10" t="s">
        <v>21</v>
      </c>
      <c r="D35" s="29">
        <f>ROUND(IF(D23&lt;=0,0,(IF(D25&lt;0,D33*D15,(D33*(D23/D27))*D15))),6)</f>
        <v>0</v>
      </c>
      <c r="E35" s="29">
        <f>ROUND(IF(E23&lt;=0,0,(IF(E25&lt;0,E33*E15,(E33*(E23/E27))*E15))),6)</f>
        <v>0</v>
      </c>
      <c r="F35" s="29">
        <f>ROUND(IF(F23&lt;=0,0,(IF(F25&lt;0,F33*F15,(F33*(F23/F27))*F15))),6)</f>
        <v>0</v>
      </c>
      <c r="G35" s="29">
        <f>ROUND(IF(G23&lt;=0,0,(IF(G25&lt;0,G33*G15,(G33*(G23/G27))*G15))),6)</f>
        <v>0</v>
      </c>
      <c r="H35" s="29">
        <f>ROUND(IF(H23&lt;=0,0,(IF(H25&lt;0,H33*H15,(H33*(H23/H27))*H15))),6)</f>
        <v>0</v>
      </c>
    </row>
    <row r="36" spans="1:8" ht="12.75" customHeight="1" x14ac:dyDescent="0.25">
      <c r="A36" s="10">
        <f t="shared" si="0"/>
        <v>26</v>
      </c>
      <c r="B36" s="3"/>
      <c r="C36" s="3"/>
      <c r="D36" s="21"/>
      <c r="E36" s="21"/>
      <c r="F36" s="21"/>
      <c r="G36" s="21"/>
      <c r="H36" s="21"/>
    </row>
    <row r="37" spans="1:8" ht="12.75" customHeight="1" x14ac:dyDescent="0.25">
      <c r="A37" s="10">
        <f t="shared" si="0"/>
        <v>27</v>
      </c>
      <c r="B37" s="9" t="s">
        <v>41</v>
      </c>
      <c r="C37" s="10" t="s">
        <v>21</v>
      </c>
      <c r="D37" s="29">
        <f>ROUND(IF(D25&lt;=0,0,(IF(D23&lt;0,D33*D15,(D33*(D25/D27))*D15))),6)</f>
        <v>0</v>
      </c>
      <c r="E37" s="29">
        <f>ROUND(IF(E25&lt;=0,0,(IF(E23&lt;0,E33*E15,(E33*(E25/E27))*E15))),6)</f>
        <v>0</v>
      </c>
      <c r="F37" s="29">
        <f>ROUND(IF(F25&lt;=0,0,(IF(F23&lt;0,F33*F15,(F33*(F25/F27))*F15))),6)</f>
        <v>0</v>
      </c>
      <c r="G37" s="29">
        <f>ROUND(IF(G25&lt;=0,0,(IF(G23&lt;0,G33*G15,(G33*(G25/G27))*G15))),6)</f>
        <v>0</v>
      </c>
      <c r="H37" s="29">
        <f>ROUND(IF(H25&lt;=0,0,(IF(H23&lt;0,H33*H15,(H33*(H25/H27))*H15))),6)</f>
        <v>0</v>
      </c>
    </row>
    <row r="38" spans="1:8" ht="12.75" customHeight="1" x14ac:dyDescent="0.25">
      <c r="A38" s="10">
        <f t="shared" si="0"/>
        <v>28</v>
      </c>
      <c r="B38" s="3"/>
      <c r="C38" s="3"/>
      <c r="D38" s="34"/>
      <c r="E38" s="34"/>
      <c r="F38" s="34"/>
      <c r="G38" s="34"/>
      <c r="H38" s="34"/>
    </row>
    <row r="39" spans="1:8" ht="12.75" customHeight="1" x14ac:dyDescent="0.25">
      <c r="A39" s="10">
        <f t="shared" si="0"/>
        <v>29</v>
      </c>
      <c r="B39" s="9" t="s">
        <v>42</v>
      </c>
      <c r="C39" s="10" t="str">
        <f>"("&amp;A23&amp;") - ("&amp;A35&amp;")"</f>
        <v>(13) - (25)</v>
      </c>
      <c r="D39" s="27">
        <f>D23-D35</f>
        <v>-1.1150000000000001E-3</v>
      </c>
      <c r="E39" s="27">
        <f t="shared" ref="E39:G39" si="8">E23-E35</f>
        <v>1.3129999999999999E-3</v>
      </c>
      <c r="F39" s="27">
        <f t="shared" si="8"/>
        <v>1.408E-3</v>
      </c>
      <c r="G39" s="27">
        <f t="shared" si="8"/>
        <v>1.5690000000000001E-3</v>
      </c>
      <c r="H39" s="27">
        <f t="shared" ref="H39" si="9">H23-H35</f>
        <v>1.312E-3</v>
      </c>
    </row>
    <row r="40" spans="1:8" ht="12.75" customHeight="1" x14ac:dyDescent="0.25">
      <c r="A40" s="10">
        <f t="shared" si="0"/>
        <v>30</v>
      </c>
      <c r="B40" s="9"/>
      <c r="C40" s="10"/>
      <c r="D40" s="27"/>
      <c r="E40" s="27"/>
      <c r="F40" s="27"/>
      <c r="G40" s="27"/>
      <c r="H40" s="27"/>
    </row>
    <row r="41" spans="1:8" ht="12.75" customHeight="1" x14ac:dyDescent="0.25">
      <c r="A41" s="10">
        <f t="shared" si="0"/>
        <v>31</v>
      </c>
      <c r="B41" s="9" t="s">
        <v>43</v>
      </c>
      <c r="C41" s="10" t="str">
        <f>"("&amp;A25&amp;") - ("&amp;A37&amp;")"</f>
        <v>(15) - (27)</v>
      </c>
      <c r="D41" s="27">
        <f>D25-D37</f>
        <v>-1.22E-4</v>
      </c>
      <c r="E41" s="27">
        <f t="shared" ref="E41:G41" si="10">E25-E37</f>
        <v>-6.2000000000000003E-5</v>
      </c>
      <c r="F41" s="27">
        <f t="shared" si="10"/>
        <v>0</v>
      </c>
      <c r="G41" s="27">
        <f t="shared" si="10"/>
        <v>2.2900000000000001E-4</v>
      </c>
      <c r="H41" s="27">
        <f t="shared" ref="H41" si="11">H25-H37</f>
        <v>1.1E-5</v>
      </c>
    </row>
    <row r="42" spans="1:8" ht="12.75" customHeight="1" x14ac:dyDescent="0.25">
      <c r="A42" s="10">
        <f t="shared" si="0"/>
        <v>32</v>
      </c>
      <c r="B42" s="22"/>
      <c r="C42" s="22"/>
      <c r="D42" s="22"/>
      <c r="E42" s="22"/>
      <c r="F42" s="22"/>
      <c r="G42" s="22"/>
      <c r="H42" s="22"/>
    </row>
    <row r="43" spans="1:8" ht="12.75" customHeight="1" x14ac:dyDescent="0.25">
      <c r="A43" s="10">
        <f t="shared" si="0"/>
        <v>33</v>
      </c>
      <c r="B43" s="9" t="s">
        <v>44</v>
      </c>
      <c r="C43" s="10" t="str">
        <f>"("&amp;A39&amp;") + ("&amp;A41&amp;")"</f>
        <v>(29) + (31)</v>
      </c>
      <c r="D43" s="27">
        <f>SUM(D39,D41)</f>
        <v>-1.237E-3</v>
      </c>
      <c r="E43" s="27">
        <f t="shared" ref="E43:G43" si="12">SUM(E39,E41)</f>
        <v>1.2509999999999999E-3</v>
      </c>
      <c r="F43" s="27">
        <f t="shared" si="12"/>
        <v>1.408E-3</v>
      </c>
      <c r="G43" s="27">
        <f t="shared" si="12"/>
        <v>1.7980000000000001E-3</v>
      </c>
      <c r="H43" s="27">
        <f t="shared" ref="H43" si="13">SUM(H39,H41)</f>
        <v>1.323E-3</v>
      </c>
    </row>
  </sheetData>
  <mergeCells count="4">
    <mergeCell ref="A1:H1"/>
    <mergeCell ref="A2:H2"/>
    <mergeCell ref="A3:H3"/>
    <mergeCell ref="A4:H4"/>
  </mergeCells>
  <printOptions horizontalCentered="1"/>
  <pageMargins left="0.7" right="0.7" top="0.75" bottom="0.75" header="0.3" footer="0.3"/>
  <pageSetup scale="70" orientation="landscape" blackAndWhite="1" r:id="rId1"/>
  <headerFooter>
    <oddHeader>&amp;RAdvice No. 2018-xx
Exhibit No. 5</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0"/>
  <sheetViews>
    <sheetView zoomScaleNormal="100" workbookViewId="0">
      <selection activeCell="C48" sqref="C48"/>
    </sheetView>
  </sheetViews>
  <sheetFormatPr defaultRowHeight="15" x14ac:dyDescent="0.25"/>
  <cols>
    <col min="1" max="1" width="5.28515625" customWidth="1"/>
    <col min="2" max="2" width="67" customWidth="1"/>
    <col min="3" max="3" width="17" bestFit="1" customWidth="1"/>
    <col min="4" max="5" width="17.5703125" customWidth="1"/>
    <col min="7" max="10" width="9.140625" customWidth="1"/>
  </cols>
  <sheetData>
    <row r="1" spans="1:6" ht="12.75" customHeight="1" x14ac:dyDescent="0.25">
      <c r="A1" s="504" t="s">
        <v>0</v>
      </c>
      <c r="B1" s="504"/>
      <c r="C1" s="504"/>
      <c r="D1" s="504"/>
      <c r="E1" s="504"/>
      <c r="F1" s="22"/>
    </row>
    <row r="2" spans="1:6" ht="12.75" customHeight="1" x14ac:dyDescent="0.25">
      <c r="A2" s="504" t="str">
        <f>'Delivery Rate Change Calc'!A2:H2</f>
        <v>2018 Electric Decoupling Filing</v>
      </c>
      <c r="B2" s="504"/>
      <c r="C2" s="504"/>
      <c r="D2" s="504"/>
      <c r="E2" s="504"/>
      <c r="F2" s="22"/>
    </row>
    <row r="3" spans="1:6" ht="12.75" customHeight="1" x14ac:dyDescent="0.25">
      <c r="A3" s="504" t="s">
        <v>627</v>
      </c>
      <c r="B3" s="504"/>
      <c r="C3" s="504"/>
      <c r="D3" s="504"/>
      <c r="E3" s="504"/>
      <c r="F3" s="22"/>
    </row>
    <row r="4" spans="1:6" ht="12.75" customHeight="1" x14ac:dyDescent="0.25">
      <c r="A4" s="504" t="str">
        <f>'Delivery Rate Change Calc'!A4:H4</f>
        <v>Proposed Effective May 1, 2018</v>
      </c>
      <c r="B4" s="504"/>
      <c r="C4" s="504"/>
      <c r="D4" s="504"/>
      <c r="E4" s="504"/>
      <c r="F4" s="22"/>
    </row>
    <row r="5" spans="1:6" ht="12.75" customHeight="1" x14ac:dyDescent="0.25">
      <c r="A5" s="6"/>
      <c r="B5" s="6"/>
      <c r="C5" s="6"/>
      <c r="D5" s="6"/>
      <c r="E5" s="6"/>
      <c r="F5" s="22"/>
    </row>
    <row r="6" spans="1:6" ht="12.75" customHeight="1" x14ac:dyDescent="0.25">
      <c r="A6" s="3"/>
      <c r="B6" s="3"/>
      <c r="C6" s="3"/>
      <c r="D6" s="3"/>
      <c r="E6" s="3"/>
      <c r="F6" s="22"/>
    </row>
    <row r="7" spans="1:6" ht="12.75" customHeight="1" x14ac:dyDescent="0.25">
      <c r="A7" s="5" t="s">
        <v>2</v>
      </c>
      <c r="B7" s="3"/>
      <c r="C7" s="3"/>
      <c r="D7" s="6" t="s">
        <v>4</v>
      </c>
      <c r="E7" s="6" t="s">
        <v>4</v>
      </c>
      <c r="F7" s="22"/>
    </row>
    <row r="8" spans="1:6" ht="12.75" customHeight="1" x14ac:dyDescent="0.25">
      <c r="A8" s="7" t="s">
        <v>5</v>
      </c>
      <c r="B8" s="23"/>
      <c r="C8" s="7" t="s">
        <v>6</v>
      </c>
      <c r="D8" s="7" t="s">
        <v>24</v>
      </c>
      <c r="E8" s="7" t="s">
        <v>25</v>
      </c>
      <c r="F8" s="22"/>
    </row>
    <row r="9" spans="1:6" ht="12.75" customHeight="1" x14ac:dyDescent="0.25">
      <c r="A9" s="9"/>
      <c r="B9" s="10" t="s">
        <v>9</v>
      </c>
      <c r="C9" s="10" t="s">
        <v>10</v>
      </c>
      <c r="D9" s="10" t="s">
        <v>11</v>
      </c>
      <c r="E9" s="10" t="s">
        <v>12</v>
      </c>
      <c r="F9" s="22"/>
    </row>
    <row r="10" spans="1:6" ht="12.75" customHeight="1" x14ac:dyDescent="0.25">
      <c r="A10" s="10"/>
      <c r="B10" s="11"/>
      <c r="C10" s="10"/>
      <c r="D10" s="10"/>
      <c r="E10" s="10"/>
      <c r="F10" s="22"/>
    </row>
    <row r="11" spans="1:6" ht="12.75" customHeight="1" x14ac:dyDescent="0.25">
      <c r="A11" s="10">
        <v>1</v>
      </c>
      <c r="B11" s="9" t="s">
        <v>276</v>
      </c>
      <c r="C11" s="10" t="s">
        <v>15</v>
      </c>
      <c r="D11" s="24">
        <f>SUM('Rate Test Revenue'!N16:N17)</f>
        <v>168050000</v>
      </c>
      <c r="E11" s="24">
        <f>SUM('Rate Test Revenue'!N21:N22)</f>
        <v>115986000</v>
      </c>
      <c r="F11" s="22"/>
    </row>
    <row r="12" spans="1:6" ht="12.75" customHeight="1" x14ac:dyDescent="0.25">
      <c r="A12" s="10">
        <f t="shared" ref="A12:A47" si="0">A11+1</f>
        <v>2</v>
      </c>
      <c r="B12" s="9"/>
      <c r="C12" s="10"/>
      <c r="D12" s="25"/>
      <c r="E12" s="25"/>
      <c r="F12" s="22"/>
    </row>
    <row r="13" spans="1:6" ht="12.75" customHeight="1" x14ac:dyDescent="0.25">
      <c r="A13" s="10">
        <f t="shared" si="0"/>
        <v>3</v>
      </c>
      <c r="B13" s="9" t="s">
        <v>278</v>
      </c>
      <c r="C13" s="10" t="s">
        <v>15</v>
      </c>
      <c r="D13" s="441">
        <v>4603544</v>
      </c>
      <c r="E13" s="441">
        <v>3310518</v>
      </c>
      <c r="F13" s="22"/>
    </row>
    <row r="14" spans="1:6" ht="12.75" customHeight="1" x14ac:dyDescent="0.25">
      <c r="A14" s="10">
        <f t="shared" si="0"/>
        <v>4</v>
      </c>
      <c r="B14" s="9"/>
      <c r="C14" s="10"/>
      <c r="D14" s="25"/>
      <c r="E14" s="25"/>
      <c r="F14" s="22"/>
    </row>
    <row r="15" spans="1:6" ht="12.75" customHeight="1" x14ac:dyDescent="0.25">
      <c r="A15" s="10">
        <f t="shared" si="0"/>
        <v>5</v>
      </c>
      <c r="B15" s="9" t="s">
        <v>277</v>
      </c>
      <c r="C15" s="10" t="s">
        <v>15</v>
      </c>
      <c r="D15" s="35">
        <f>SUM('Rate Test Revenue'!C16:C17)</f>
        <v>1871789208.5669701</v>
      </c>
      <c r="E15" s="35">
        <f>SUM('Rate Test Revenue'!C21:C22)</f>
        <v>1313210386.4720819</v>
      </c>
      <c r="F15" s="22"/>
    </row>
    <row r="16" spans="1:6" ht="12.75" customHeight="1" x14ac:dyDescent="0.25">
      <c r="A16" s="10">
        <f t="shared" si="0"/>
        <v>6</v>
      </c>
      <c r="B16" s="9"/>
      <c r="C16" s="10"/>
      <c r="D16" s="9"/>
      <c r="E16" s="9"/>
      <c r="F16" s="22"/>
    </row>
    <row r="17" spans="1:6" ht="12.75" customHeight="1" x14ac:dyDescent="0.25">
      <c r="A17" s="10">
        <f t="shared" si="0"/>
        <v>7</v>
      </c>
      <c r="B17" s="9" t="s">
        <v>45</v>
      </c>
      <c r="C17" s="10" t="str">
        <f>"("&amp;A11&amp;") / ("&amp;A13&amp;")"</f>
        <v>(1) / (3)</v>
      </c>
      <c r="D17" s="36">
        <f>ROUND(D11/D13,2)</f>
        <v>36.5</v>
      </c>
      <c r="E17" s="36">
        <f>ROUND(E11/E13,2)</f>
        <v>35.04</v>
      </c>
      <c r="F17" s="22"/>
    </row>
    <row r="18" spans="1:6" ht="12.75" customHeight="1" x14ac:dyDescent="0.25">
      <c r="A18" s="10">
        <f t="shared" si="0"/>
        <v>8</v>
      </c>
      <c r="B18" s="9"/>
      <c r="C18" s="10"/>
      <c r="D18" s="9"/>
      <c r="E18" s="9"/>
      <c r="F18" s="22"/>
    </row>
    <row r="19" spans="1:6" ht="12.75" customHeight="1" x14ac:dyDescent="0.25">
      <c r="A19" s="10">
        <f t="shared" si="0"/>
        <v>9</v>
      </c>
      <c r="B19" s="9" t="s">
        <v>29</v>
      </c>
      <c r="C19" s="10" t="str">
        <f>"("&amp;A11&amp;") / ("&amp;A15&amp;")"</f>
        <v>(1) / (5)</v>
      </c>
      <c r="D19" s="27">
        <f>ROUND(D11/D15,6)</f>
        <v>8.9779999999999999E-2</v>
      </c>
      <c r="E19" s="27">
        <f>ROUND(E11/E15,6)</f>
        <v>8.8321999999999998E-2</v>
      </c>
      <c r="F19" s="22"/>
    </row>
    <row r="20" spans="1:6" ht="12.75" customHeight="1" x14ac:dyDescent="0.25">
      <c r="A20" s="10">
        <f t="shared" si="0"/>
        <v>10</v>
      </c>
      <c r="B20" s="9"/>
      <c r="C20" s="10"/>
      <c r="D20" s="28"/>
      <c r="E20" s="28"/>
      <c r="F20" s="22"/>
    </row>
    <row r="21" spans="1:6" ht="12.75" customHeight="1" x14ac:dyDescent="0.25">
      <c r="A21" s="10">
        <f t="shared" si="0"/>
        <v>11</v>
      </c>
      <c r="B21" s="9" t="s">
        <v>46</v>
      </c>
      <c r="C21" s="10" t="s">
        <v>31</v>
      </c>
      <c r="D21" s="252">
        <v>-0.17</v>
      </c>
      <c r="E21" s="252">
        <v>-0.04</v>
      </c>
      <c r="F21" s="22"/>
    </row>
    <row r="22" spans="1:6" ht="12.75" customHeight="1" x14ac:dyDescent="0.25">
      <c r="A22" s="10">
        <f t="shared" si="0"/>
        <v>12</v>
      </c>
      <c r="B22" s="9"/>
      <c r="C22" s="10"/>
      <c r="D22" s="253"/>
      <c r="E22" s="253"/>
      <c r="F22" s="22"/>
    </row>
    <row r="23" spans="1:6" ht="12.75" customHeight="1" x14ac:dyDescent="0.25">
      <c r="A23" s="10">
        <f t="shared" si="0"/>
        <v>13</v>
      </c>
      <c r="B23" s="9" t="s">
        <v>47</v>
      </c>
      <c r="C23" s="10" t="s">
        <v>31</v>
      </c>
      <c r="D23" s="252">
        <v>0</v>
      </c>
      <c r="E23" s="252">
        <v>0</v>
      </c>
      <c r="F23" s="22"/>
    </row>
    <row r="24" spans="1:6" ht="12.75" customHeight="1" x14ac:dyDescent="0.25">
      <c r="A24" s="10">
        <f t="shared" si="0"/>
        <v>14</v>
      </c>
      <c r="B24" s="9"/>
      <c r="C24" s="10"/>
      <c r="D24" s="30"/>
      <c r="E24" s="30"/>
      <c r="F24" s="22"/>
    </row>
    <row r="25" spans="1:6" ht="12.75" customHeight="1" x14ac:dyDescent="0.25">
      <c r="A25" s="10">
        <f t="shared" si="0"/>
        <v>15</v>
      </c>
      <c r="B25" s="9" t="s">
        <v>48</v>
      </c>
      <c r="C25" s="10" t="s">
        <v>645</v>
      </c>
      <c r="D25" s="20">
        <f>'Delivery Rate Change Calc 26&amp;31'!D24</f>
        <v>-0.06</v>
      </c>
      <c r="E25" s="20">
        <f>'Delivery Rate Change Calc 26&amp;31'!E24</f>
        <v>-0.08</v>
      </c>
      <c r="F25" s="22"/>
    </row>
    <row r="26" spans="1:6" ht="12.75" customHeight="1" x14ac:dyDescent="0.25">
      <c r="A26" s="10">
        <f t="shared" si="0"/>
        <v>16</v>
      </c>
      <c r="B26" s="9"/>
      <c r="C26" s="10"/>
      <c r="D26" s="9"/>
      <c r="E26" s="9"/>
      <c r="F26" s="22"/>
    </row>
    <row r="27" spans="1:6" ht="12.75" customHeight="1" x14ac:dyDescent="0.25">
      <c r="A27" s="10">
        <f t="shared" si="0"/>
        <v>17</v>
      </c>
      <c r="B27" s="9" t="s">
        <v>35</v>
      </c>
      <c r="C27" s="10" t="s">
        <v>644</v>
      </c>
      <c r="D27" s="38">
        <f>'FPC Rate Change Calc'!H24</f>
        <v>8.5000000000000006E-5</v>
      </c>
      <c r="E27" s="38">
        <f>'FPC Rate Change Calc'!I24</f>
        <v>-5.5999999999999999E-5</v>
      </c>
      <c r="F27" s="22"/>
    </row>
    <row r="28" spans="1:6" ht="12.75" customHeight="1" x14ac:dyDescent="0.25">
      <c r="A28" s="10">
        <f t="shared" si="0"/>
        <v>18</v>
      </c>
      <c r="B28" s="9"/>
      <c r="C28" s="10"/>
      <c r="D28" s="9"/>
      <c r="E28" s="9"/>
      <c r="F28" s="22"/>
    </row>
    <row r="29" spans="1:6" ht="12.75" customHeight="1" x14ac:dyDescent="0.25">
      <c r="A29" s="10">
        <f t="shared" si="0"/>
        <v>19</v>
      </c>
      <c r="B29" s="9" t="s">
        <v>49</v>
      </c>
      <c r="C29" s="10" t="str">
        <f>"("&amp;A25&amp;") - ("&amp;A21&amp;")"</f>
        <v>(15) - (11)</v>
      </c>
      <c r="D29" s="36">
        <f>D25-D21</f>
        <v>0.11000000000000001</v>
      </c>
      <c r="E29" s="36">
        <f>E25-E21</f>
        <v>-0.04</v>
      </c>
      <c r="F29" s="22"/>
    </row>
    <row r="30" spans="1:6" ht="12.75" customHeight="1" x14ac:dyDescent="0.25">
      <c r="A30" s="10">
        <f t="shared" si="0"/>
        <v>20</v>
      </c>
      <c r="B30" s="9"/>
      <c r="C30" s="10"/>
      <c r="D30" s="36"/>
      <c r="E30" s="36"/>
      <c r="F30" s="22"/>
    </row>
    <row r="31" spans="1:6" ht="12.75" customHeight="1" x14ac:dyDescent="0.25">
      <c r="A31" s="10">
        <f t="shared" si="0"/>
        <v>21</v>
      </c>
      <c r="B31" s="9" t="s">
        <v>50</v>
      </c>
      <c r="C31" s="10" t="str">
        <f>"("&amp;A27&amp;") - ("&amp;A23&amp;")"</f>
        <v>(17) - (13)</v>
      </c>
      <c r="D31" s="27">
        <f>D27-D23</f>
        <v>8.5000000000000006E-5</v>
      </c>
      <c r="E31" s="27">
        <f>E27-E23</f>
        <v>-5.5999999999999999E-5</v>
      </c>
      <c r="F31" s="22"/>
    </row>
    <row r="32" spans="1:6" ht="12.75" customHeight="1" x14ac:dyDescent="0.25">
      <c r="A32" s="10">
        <f t="shared" si="0"/>
        <v>22</v>
      </c>
      <c r="B32" s="9"/>
      <c r="C32" s="10"/>
      <c r="D32" s="9"/>
      <c r="E32" s="9"/>
      <c r="F32" s="22"/>
    </row>
    <row r="33" spans="1:10" ht="12.75" customHeight="1" x14ac:dyDescent="0.25">
      <c r="A33" s="10">
        <f t="shared" si="0"/>
        <v>23</v>
      </c>
      <c r="B33" s="9" t="s">
        <v>51</v>
      </c>
      <c r="C33" s="10" t="str">
        <f>"("&amp;A29&amp;") / ("&amp;A17&amp;")"</f>
        <v>(19) / (7)</v>
      </c>
      <c r="D33" s="32">
        <f>D29/D17</f>
        <v>3.0136986301369868E-3</v>
      </c>
      <c r="E33" s="32">
        <f>E29/E17</f>
        <v>-1.1415525114155253E-3</v>
      </c>
      <c r="F33" s="22"/>
      <c r="G33" s="39"/>
    </row>
    <row r="34" spans="1:10" ht="12.75" customHeight="1" x14ac:dyDescent="0.25">
      <c r="A34" s="10">
        <f t="shared" si="0"/>
        <v>24</v>
      </c>
      <c r="B34" s="9"/>
      <c r="C34" s="10"/>
      <c r="D34" s="9"/>
      <c r="E34" s="9"/>
      <c r="F34" s="22"/>
    </row>
    <row r="35" spans="1:10" ht="12.75" customHeight="1" x14ac:dyDescent="0.25">
      <c r="A35" s="10">
        <f t="shared" si="0"/>
        <v>25</v>
      </c>
      <c r="B35" s="9" t="s">
        <v>52</v>
      </c>
      <c r="C35" s="10" t="str">
        <f>"("&amp;A31&amp;") / ("&amp;A19&amp;")"</f>
        <v>(21) / (9)</v>
      </c>
      <c r="D35" s="32">
        <f>D31/D19</f>
        <v>9.4675874359545563E-4</v>
      </c>
      <c r="E35" s="32">
        <f>E31/E19</f>
        <v>-6.3404361314281835E-4</v>
      </c>
      <c r="F35" s="22"/>
      <c r="G35" s="39"/>
    </row>
    <row r="36" spans="1:10" ht="12.75" customHeight="1" x14ac:dyDescent="0.25">
      <c r="A36" s="10">
        <f t="shared" si="0"/>
        <v>26</v>
      </c>
      <c r="B36" s="9"/>
      <c r="C36" s="10"/>
      <c r="D36" s="9"/>
      <c r="E36" s="9"/>
      <c r="F36" s="22"/>
    </row>
    <row r="37" spans="1:10" ht="12.75" customHeight="1" x14ac:dyDescent="0.25">
      <c r="A37" s="10">
        <f t="shared" si="0"/>
        <v>27</v>
      </c>
      <c r="B37" s="9" t="s">
        <v>53</v>
      </c>
      <c r="C37" s="10" t="str">
        <f>"("&amp;A33&amp;") + ("&amp;A35&amp;")"</f>
        <v>(23) + (25)</v>
      </c>
      <c r="D37" s="32">
        <f>SUM(D33:D35)</f>
        <v>3.9604573737324423E-3</v>
      </c>
      <c r="E37" s="32">
        <f>SUM(E33:E35)</f>
        <v>-1.7755961245583436E-3</v>
      </c>
      <c r="F37" s="22"/>
    </row>
    <row r="38" spans="1:10" ht="12.75" customHeight="1" x14ac:dyDescent="0.25">
      <c r="A38" s="10">
        <f t="shared" si="0"/>
        <v>28</v>
      </c>
      <c r="B38" s="9"/>
      <c r="C38" s="10"/>
      <c r="D38" s="9"/>
      <c r="E38" s="9"/>
      <c r="F38" s="22"/>
    </row>
    <row r="39" spans="1:10" ht="12.75" customHeight="1" x14ac:dyDescent="0.25">
      <c r="A39" s="10">
        <f t="shared" si="0"/>
        <v>29</v>
      </c>
      <c r="B39" s="9" t="s">
        <v>39</v>
      </c>
      <c r="C39" s="10" t="s">
        <v>21</v>
      </c>
      <c r="D39" s="33">
        <f>IF(D37&gt;3%,D37-3%,0)</f>
        <v>0</v>
      </c>
      <c r="E39" s="33">
        <f>IF(E37&gt;3%,E37-3%,0)</f>
        <v>0</v>
      </c>
      <c r="F39" s="22"/>
    </row>
    <row r="40" spans="1:10" ht="12.75" customHeight="1" x14ac:dyDescent="0.25">
      <c r="A40" s="10">
        <f t="shared" si="0"/>
        <v>30</v>
      </c>
      <c r="B40" s="9"/>
      <c r="C40" s="10"/>
      <c r="D40" s="9"/>
      <c r="E40" s="9"/>
      <c r="F40" s="22"/>
    </row>
    <row r="41" spans="1:10" ht="12.75" customHeight="1" x14ac:dyDescent="0.25">
      <c r="A41" s="10">
        <f t="shared" si="0"/>
        <v>31</v>
      </c>
      <c r="B41" s="9" t="s">
        <v>54</v>
      </c>
      <c r="C41" s="10" t="s">
        <v>21</v>
      </c>
      <c r="D41" s="37">
        <f>ROUND(IF(D25&lt;=0,0,(IF(D27&lt;0,D39*D17,(D39*(D33/D37))*D17))),2)</f>
        <v>0</v>
      </c>
      <c r="E41" s="37">
        <f>ROUND(IF(E25&lt;=0,0,(IF(E27&lt;0,E39*E17,(E39*(E33/E37))*E17))),2)</f>
        <v>0</v>
      </c>
      <c r="F41" s="22"/>
      <c r="G41" s="40"/>
      <c r="H41" s="40"/>
      <c r="I41" s="41"/>
      <c r="J41" s="40"/>
    </row>
    <row r="42" spans="1:10" ht="12.75" customHeight="1" x14ac:dyDescent="0.25">
      <c r="A42" s="10">
        <f t="shared" si="0"/>
        <v>32</v>
      </c>
      <c r="B42" s="3"/>
      <c r="C42" s="3"/>
      <c r="D42" s="42"/>
      <c r="E42" s="42"/>
      <c r="F42" s="22"/>
    </row>
    <row r="43" spans="1:10" ht="12.75" customHeight="1" x14ac:dyDescent="0.25">
      <c r="A43" s="10">
        <f t="shared" si="0"/>
        <v>33</v>
      </c>
      <c r="B43" s="9" t="s">
        <v>41</v>
      </c>
      <c r="C43" s="10" t="s">
        <v>21</v>
      </c>
      <c r="D43" s="29">
        <f>ROUND(IF(D27&lt;=0,0,(IF(D25&lt;0,D39*D19,(D39*(D35/D37))*D19))),6)</f>
        <v>0</v>
      </c>
      <c r="E43" s="29">
        <f>ROUND(IF(E27&lt;=0,0,(IF(E25&lt;0,E39*E19,(E39*(E35/E37))*E19))),6)</f>
        <v>0</v>
      </c>
      <c r="F43" s="22"/>
      <c r="G43" s="43"/>
      <c r="H43" s="43"/>
      <c r="I43" s="41"/>
      <c r="J43" s="43"/>
    </row>
    <row r="44" spans="1:10" ht="12.75" customHeight="1" x14ac:dyDescent="0.25">
      <c r="A44" s="10">
        <f t="shared" si="0"/>
        <v>34</v>
      </c>
      <c r="B44" s="3"/>
      <c r="C44" s="3"/>
      <c r="D44" s="34"/>
      <c r="E44" s="34"/>
      <c r="F44" s="22"/>
    </row>
    <row r="45" spans="1:10" ht="12.75" customHeight="1" x14ac:dyDescent="0.25">
      <c r="A45" s="10">
        <f t="shared" si="0"/>
        <v>35</v>
      </c>
      <c r="B45" s="9" t="s">
        <v>55</v>
      </c>
      <c r="C45" s="10" t="str">
        <f>"("&amp;A25&amp;") - ("&amp;A41&amp;")"</f>
        <v>(15) - (31)</v>
      </c>
      <c r="D45" s="36">
        <f>D25-D41</f>
        <v>-0.06</v>
      </c>
      <c r="E45" s="36">
        <f>E25-E41</f>
        <v>-0.08</v>
      </c>
      <c r="F45" s="22"/>
    </row>
    <row r="46" spans="1:10" ht="12.75" customHeight="1" x14ac:dyDescent="0.25">
      <c r="A46" s="10">
        <f t="shared" si="0"/>
        <v>36</v>
      </c>
      <c r="B46" s="9"/>
      <c r="C46" s="10"/>
      <c r="D46" s="36"/>
      <c r="E46" s="36"/>
      <c r="F46" s="22"/>
    </row>
    <row r="47" spans="1:10" ht="12.75" customHeight="1" x14ac:dyDescent="0.25">
      <c r="A47" s="10">
        <f t="shared" si="0"/>
        <v>37</v>
      </c>
      <c r="B47" s="9" t="s">
        <v>43</v>
      </c>
      <c r="C47" s="10" t="str">
        <f>"("&amp;A27&amp;") - ("&amp;A43&amp;")"</f>
        <v>(17) - (33)</v>
      </c>
      <c r="D47" s="27">
        <f>D27-D43</f>
        <v>8.5000000000000006E-5</v>
      </c>
      <c r="E47" s="27">
        <f>E27-E43</f>
        <v>-5.5999999999999999E-5</v>
      </c>
      <c r="F47" s="22"/>
    </row>
    <row r="49" spans="4:4" x14ac:dyDescent="0.25">
      <c r="D49" s="44"/>
    </row>
    <row r="50" spans="4:4" x14ac:dyDescent="0.25">
      <c r="D50" s="44"/>
    </row>
  </sheetData>
  <mergeCells count="4">
    <mergeCell ref="A1:E1"/>
    <mergeCell ref="A2:E2"/>
    <mergeCell ref="A3:E3"/>
    <mergeCell ref="A4:E4"/>
  </mergeCells>
  <printOptions horizontalCentered="1"/>
  <pageMargins left="0.7" right="0.7" top="0.75" bottom="0.75" header="0.3" footer="0.3"/>
  <pageSetup scale="87" orientation="landscape" blackAndWhite="1" r:id="rId1"/>
  <headerFooter>
    <oddHeader>&amp;RAdvice No. 2018-xx
Exhibit No. 6</oddHeader>
    <oddFooter>&amp;L&amp;F
&amp;A&amp;R&amp;D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2"/>
  <sheetViews>
    <sheetView workbookViewId="0">
      <selection activeCell="G28" sqref="G28"/>
    </sheetView>
  </sheetViews>
  <sheetFormatPr defaultColWidth="7.85546875" defaultRowHeight="12.75" outlineLevelCol="1" x14ac:dyDescent="0.2"/>
  <cols>
    <col min="1" max="1" width="4.28515625" style="466" customWidth="1"/>
    <col min="2" max="2" width="45" style="466" customWidth="1"/>
    <col min="3" max="3" width="40.140625" style="466" hidden="1" customWidth="1" outlineLevel="1"/>
    <col min="4" max="4" width="16" style="466" customWidth="1" collapsed="1"/>
    <col min="5" max="12" width="16" style="466" customWidth="1"/>
    <col min="13" max="13" width="4.7109375" style="466" customWidth="1"/>
    <col min="14" max="16384" width="7.85546875" style="466"/>
  </cols>
  <sheetData>
    <row r="1" spans="1:14" x14ac:dyDescent="0.2">
      <c r="L1" s="503"/>
    </row>
    <row r="2" spans="1:14" x14ac:dyDescent="0.2">
      <c r="A2" s="476" t="s">
        <v>677</v>
      </c>
      <c r="B2" s="477"/>
      <c r="C2" s="477"/>
      <c r="D2" s="477"/>
      <c r="E2" s="477"/>
      <c r="F2" s="477"/>
      <c r="G2" s="477"/>
      <c r="H2" s="477"/>
      <c r="I2" s="477"/>
      <c r="J2" s="477"/>
      <c r="K2" s="477"/>
      <c r="L2" s="477"/>
    </row>
    <row r="3" spans="1:14" x14ac:dyDescent="0.2">
      <c r="A3" s="476" t="s">
        <v>678</v>
      </c>
      <c r="B3" s="477"/>
      <c r="C3" s="477"/>
      <c r="D3" s="477"/>
      <c r="E3" s="477"/>
      <c r="F3" s="477"/>
      <c r="G3" s="477"/>
      <c r="H3" s="477"/>
      <c r="I3" s="477"/>
      <c r="J3" s="477"/>
      <c r="K3" s="477"/>
      <c r="L3" s="477"/>
    </row>
    <row r="4" spans="1:14" x14ac:dyDescent="0.2">
      <c r="A4" s="476" t="s">
        <v>679</v>
      </c>
      <c r="B4" s="477"/>
      <c r="C4" s="477"/>
      <c r="D4" s="477"/>
      <c r="E4" s="477"/>
      <c r="F4" s="477"/>
      <c r="G4" s="477"/>
      <c r="H4" s="477"/>
      <c r="I4" s="477"/>
      <c r="J4" s="477"/>
      <c r="K4" s="477"/>
      <c r="L4" s="477"/>
    </row>
    <row r="5" spans="1:14" x14ac:dyDescent="0.2">
      <c r="A5" s="476" t="s">
        <v>680</v>
      </c>
      <c r="B5" s="477"/>
      <c r="C5" s="477"/>
      <c r="D5" s="477"/>
      <c r="E5" s="477"/>
      <c r="F5" s="477"/>
      <c r="G5" s="477"/>
      <c r="H5" s="477"/>
      <c r="I5" s="477"/>
      <c r="J5" s="477"/>
      <c r="K5" s="477"/>
      <c r="L5" s="477"/>
    </row>
    <row r="6" spans="1:14" x14ac:dyDescent="0.2">
      <c r="B6" s="478"/>
      <c r="C6" s="478"/>
    </row>
    <row r="7" spans="1:14" x14ac:dyDescent="0.2">
      <c r="C7" s="479"/>
      <c r="E7" s="480" t="s">
        <v>335</v>
      </c>
      <c r="F7" s="481"/>
      <c r="G7" s="481"/>
      <c r="H7" s="481"/>
      <c r="I7" s="481"/>
      <c r="J7" s="481"/>
      <c r="K7" s="482"/>
    </row>
    <row r="8" spans="1:14" ht="49.5" customHeight="1" thickBot="1" x14ac:dyDescent="0.25">
      <c r="A8" s="483" t="s">
        <v>56</v>
      </c>
      <c r="B8" s="484" t="s">
        <v>209</v>
      </c>
      <c r="C8" s="485" t="s">
        <v>6</v>
      </c>
      <c r="D8" s="486" t="s">
        <v>336</v>
      </c>
      <c r="E8" s="487" t="s">
        <v>337</v>
      </c>
      <c r="F8" s="486" t="s">
        <v>338</v>
      </c>
      <c r="G8" s="486" t="s">
        <v>339</v>
      </c>
      <c r="H8" s="486" t="s">
        <v>340</v>
      </c>
      <c r="I8" s="486" t="s">
        <v>341</v>
      </c>
      <c r="J8" s="486" t="s">
        <v>342</v>
      </c>
      <c r="K8" s="486" t="s">
        <v>343</v>
      </c>
      <c r="L8" s="486" t="s">
        <v>344</v>
      </c>
    </row>
    <row r="9" spans="1:14" x14ac:dyDescent="0.2">
      <c r="A9" s="488">
        <v>1</v>
      </c>
      <c r="B9" s="489" t="s">
        <v>345</v>
      </c>
      <c r="C9" s="490" t="s">
        <v>346</v>
      </c>
      <c r="D9" s="491"/>
      <c r="E9" s="467">
        <v>0</v>
      </c>
      <c r="F9" s="467">
        <v>0</v>
      </c>
      <c r="G9" s="467">
        <v>0</v>
      </c>
      <c r="H9" s="467">
        <v>0</v>
      </c>
      <c r="I9" s="467">
        <v>0</v>
      </c>
      <c r="J9" s="467">
        <v>0</v>
      </c>
      <c r="K9" s="467">
        <v>0</v>
      </c>
      <c r="L9" s="467"/>
    </row>
    <row r="10" spans="1:14" x14ac:dyDescent="0.2">
      <c r="A10" s="492">
        <f t="shared" ref="A10:A20" si="0">+A9+1</f>
        <v>2</v>
      </c>
      <c r="B10" s="493" t="s">
        <v>347</v>
      </c>
      <c r="C10" s="494" t="s">
        <v>348</v>
      </c>
      <c r="D10" s="468">
        <v>5138309705.4063549</v>
      </c>
      <c r="E10" s="468">
        <f t="shared" ref="E10:K10" si="1">+D10+E9</f>
        <v>5138309705.4063549</v>
      </c>
      <c r="F10" s="468">
        <f t="shared" si="1"/>
        <v>5138309705.4063549</v>
      </c>
      <c r="G10" s="468">
        <f t="shared" si="1"/>
        <v>5138309705.4063549</v>
      </c>
      <c r="H10" s="468">
        <f t="shared" si="1"/>
        <v>5138309705.4063549</v>
      </c>
      <c r="I10" s="468">
        <f t="shared" si="1"/>
        <v>5138309705.4063549</v>
      </c>
      <c r="J10" s="468">
        <f t="shared" si="1"/>
        <v>5138309705.4063549</v>
      </c>
      <c r="K10" s="468">
        <f t="shared" si="1"/>
        <v>5138309705.4063549</v>
      </c>
      <c r="L10" s="468">
        <f>+K10</f>
        <v>5138309705.4063549</v>
      </c>
    </row>
    <row r="11" spans="1:14" x14ac:dyDescent="0.2">
      <c r="A11" s="492">
        <f t="shared" si="0"/>
        <v>3</v>
      </c>
      <c r="B11" s="493" t="s">
        <v>349</v>
      </c>
      <c r="C11" s="494" t="s">
        <v>350</v>
      </c>
      <c r="D11" s="469">
        <f>((7.77%*18/31)+(7.6%*13/31))*1/12 +(7.77%*11/12)</f>
        <v>7.7640591397849457E-2</v>
      </c>
      <c r="E11" s="469">
        <f t="shared" ref="E11:L11" si="2">((7.77%*18/31)+(7.6%*13/31))*1/12 +(7.77%*11/12)</f>
        <v>7.7640591397849457E-2</v>
      </c>
      <c r="F11" s="469">
        <f t="shared" si="2"/>
        <v>7.7640591397849457E-2</v>
      </c>
      <c r="G11" s="469">
        <f t="shared" si="2"/>
        <v>7.7640591397849457E-2</v>
      </c>
      <c r="H11" s="469">
        <f t="shared" si="2"/>
        <v>7.7640591397849457E-2</v>
      </c>
      <c r="I11" s="469">
        <f t="shared" si="2"/>
        <v>7.7640591397849457E-2</v>
      </c>
      <c r="J11" s="469">
        <f t="shared" si="2"/>
        <v>7.7640591397849457E-2</v>
      </c>
      <c r="K11" s="469">
        <f t="shared" si="2"/>
        <v>7.7640591397849457E-2</v>
      </c>
      <c r="L11" s="469">
        <f t="shared" si="2"/>
        <v>7.7640591397849457E-2</v>
      </c>
    </row>
    <row r="12" spans="1:14" x14ac:dyDescent="0.2">
      <c r="A12" s="492">
        <f t="shared" si="0"/>
        <v>4</v>
      </c>
      <c r="B12" s="493" t="s">
        <v>91</v>
      </c>
      <c r="C12" s="474" t="s">
        <v>351</v>
      </c>
      <c r="D12" s="468">
        <f>ROUND(D10*D11,0)</f>
        <v>398941404</v>
      </c>
      <c r="E12" s="468">
        <f t="shared" ref="E12:L12" si="3">ROUND(E10*E11,0)</f>
        <v>398941404</v>
      </c>
      <c r="F12" s="468">
        <f t="shared" si="3"/>
        <v>398941404</v>
      </c>
      <c r="G12" s="468">
        <f t="shared" si="3"/>
        <v>398941404</v>
      </c>
      <c r="H12" s="468">
        <f t="shared" si="3"/>
        <v>398941404</v>
      </c>
      <c r="I12" s="468">
        <f t="shared" si="3"/>
        <v>398941404</v>
      </c>
      <c r="J12" s="468">
        <f t="shared" si="3"/>
        <v>398941404</v>
      </c>
      <c r="K12" s="468">
        <f t="shared" si="3"/>
        <v>398941404</v>
      </c>
      <c r="L12" s="468">
        <f t="shared" si="3"/>
        <v>398941404</v>
      </c>
    </row>
    <row r="13" spans="1:14" x14ac:dyDescent="0.2">
      <c r="A13" s="492">
        <f t="shared" si="0"/>
        <v>5</v>
      </c>
      <c r="B13" s="493" t="s">
        <v>352</v>
      </c>
      <c r="C13" s="494" t="s">
        <v>346</v>
      </c>
      <c r="D13" s="491"/>
      <c r="E13" s="468">
        <v>10264960</v>
      </c>
      <c r="F13" s="468">
        <v>-16265871.722696023</v>
      </c>
      <c r="G13" s="468">
        <v>-397630</v>
      </c>
      <c r="H13" s="468">
        <v>926663</v>
      </c>
      <c r="I13" s="468">
        <v>-14576.170375000418</v>
      </c>
      <c r="J13" s="468">
        <v>-703879.26328500011</v>
      </c>
      <c r="K13" s="468">
        <v>751793.44283333141</v>
      </c>
      <c r="L13" s="468"/>
    </row>
    <row r="14" spans="1:14" x14ac:dyDescent="0.2">
      <c r="A14" s="492">
        <f t="shared" si="0"/>
        <v>6</v>
      </c>
      <c r="B14" s="493" t="s">
        <v>353</v>
      </c>
      <c r="C14" s="494" t="s">
        <v>354</v>
      </c>
      <c r="D14" s="468">
        <v>416700002.68113971</v>
      </c>
      <c r="E14" s="468">
        <f t="shared" ref="E14:K14" si="4">+D14+E13</f>
        <v>426964962.68113971</v>
      </c>
      <c r="F14" s="468">
        <f t="shared" si="4"/>
        <v>410699090.9584437</v>
      </c>
      <c r="G14" s="468">
        <f t="shared" si="4"/>
        <v>410301460.9584437</v>
      </c>
      <c r="H14" s="468">
        <f t="shared" si="4"/>
        <v>411228123.9584437</v>
      </c>
      <c r="I14" s="468">
        <f t="shared" si="4"/>
        <v>411213547.78806871</v>
      </c>
      <c r="J14" s="468">
        <f t="shared" si="4"/>
        <v>410509668.52478373</v>
      </c>
      <c r="K14" s="468">
        <f t="shared" si="4"/>
        <v>411261461.96761703</v>
      </c>
      <c r="L14" s="468">
        <f>+K14</f>
        <v>411261461.96761703</v>
      </c>
      <c r="M14" s="495"/>
      <c r="N14" s="496"/>
    </row>
    <row r="15" spans="1:14" x14ac:dyDescent="0.2">
      <c r="A15" s="492">
        <f t="shared" si="0"/>
        <v>7</v>
      </c>
      <c r="B15" s="493" t="s">
        <v>92</v>
      </c>
      <c r="C15" s="474" t="s">
        <v>355</v>
      </c>
      <c r="D15" s="470">
        <f t="shared" ref="D15:L15" si="5">ROUND(D14-D12,0)</f>
        <v>17758599</v>
      </c>
      <c r="E15" s="470">
        <f t="shared" si="5"/>
        <v>28023559</v>
      </c>
      <c r="F15" s="470">
        <f t="shared" si="5"/>
        <v>11757687</v>
      </c>
      <c r="G15" s="470">
        <f t="shared" si="5"/>
        <v>11360057</v>
      </c>
      <c r="H15" s="470">
        <f t="shared" si="5"/>
        <v>12286720</v>
      </c>
      <c r="I15" s="470">
        <f t="shared" si="5"/>
        <v>12272144</v>
      </c>
      <c r="J15" s="470">
        <f t="shared" si="5"/>
        <v>11568265</v>
      </c>
      <c r="K15" s="470">
        <f t="shared" si="5"/>
        <v>12320058</v>
      </c>
      <c r="L15" s="470">
        <f t="shared" si="5"/>
        <v>12320058</v>
      </c>
    </row>
    <row r="16" spans="1:14" x14ac:dyDescent="0.2">
      <c r="A16" s="492">
        <f t="shared" si="0"/>
        <v>8</v>
      </c>
      <c r="B16" s="493" t="s">
        <v>356</v>
      </c>
      <c r="C16" s="474" t="s">
        <v>357</v>
      </c>
      <c r="D16" s="468">
        <f t="shared" ref="D16:L16" si="6">IF(D15&lt;0,0,D15)</f>
        <v>17758599</v>
      </c>
      <c r="E16" s="468">
        <f t="shared" si="6"/>
        <v>28023559</v>
      </c>
      <c r="F16" s="468">
        <f t="shared" si="6"/>
        <v>11757687</v>
      </c>
      <c r="G16" s="468">
        <f t="shared" si="6"/>
        <v>11360057</v>
      </c>
      <c r="H16" s="468">
        <f t="shared" si="6"/>
        <v>12286720</v>
      </c>
      <c r="I16" s="468">
        <f t="shared" si="6"/>
        <v>12272144</v>
      </c>
      <c r="J16" s="468">
        <f t="shared" si="6"/>
        <v>11568265</v>
      </c>
      <c r="K16" s="468">
        <f t="shared" si="6"/>
        <v>12320058</v>
      </c>
      <c r="L16" s="471">
        <f t="shared" si="6"/>
        <v>12320058</v>
      </c>
    </row>
    <row r="17" spans="1:12" x14ac:dyDescent="0.2">
      <c r="A17" s="492">
        <f t="shared" si="0"/>
        <v>9</v>
      </c>
      <c r="B17" s="493" t="s">
        <v>358</v>
      </c>
      <c r="C17" s="474" t="s">
        <v>359</v>
      </c>
      <c r="D17" s="472">
        <v>0.5</v>
      </c>
      <c r="E17" s="472">
        <v>0.5</v>
      </c>
      <c r="F17" s="472">
        <v>0.5</v>
      </c>
      <c r="G17" s="472">
        <v>0.5</v>
      </c>
      <c r="H17" s="472">
        <v>0.5</v>
      </c>
      <c r="I17" s="472">
        <v>0.5</v>
      </c>
      <c r="J17" s="472">
        <v>0.5</v>
      </c>
      <c r="K17" s="472">
        <v>0.5</v>
      </c>
      <c r="L17" s="472">
        <v>0.5</v>
      </c>
    </row>
    <row r="18" spans="1:12" x14ac:dyDescent="0.2">
      <c r="A18" s="492">
        <f t="shared" si="0"/>
        <v>10</v>
      </c>
      <c r="B18" s="493" t="s">
        <v>360</v>
      </c>
      <c r="C18" s="474" t="s">
        <v>361</v>
      </c>
      <c r="D18" s="473">
        <f t="shared" ref="D18:L18" si="7">ROUND(D16*D17,0)</f>
        <v>8879300</v>
      </c>
      <c r="E18" s="473">
        <f t="shared" si="7"/>
        <v>14011780</v>
      </c>
      <c r="F18" s="473">
        <f t="shared" si="7"/>
        <v>5878844</v>
      </c>
      <c r="G18" s="473">
        <f t="shared" si="7"/>
        <v>5680029</v>
      </c>
      <c r="H18" s="473">
        <f t="shared" si="7"/>
        <v>6143360</v>
      </c>
      <c r="I18" s="473">
        <f t="shared" si="7"/>
        <v>6136072</v>
      </c>
      <c r="J18" s="473">
        <f t="shared" si="7"/>
        <v>5784133</v>
      </c>
      <c r="K18" s="473">
        <f t="shared" si="7"/>
        <v>6160029</v>
      </c>
      <c r="L18" s="473">
        <f t="shared" si="7"/>
        <v>6160029</v>
      </c>
    </row>
    <row r="19" spans="1:12" x14ac:dyDescent="0.2">
      <c r="A19" s="492">
        <f t="shared" si="0"/>
        <v>11</v>
      </c>
      <c r="B19" s="493" t="s">
        <v>175</v>
      </c>
      <c r="C19" s="494" t="s">
        <v>362</v>
      </c>
      <c r="D19" s="474">
        <v>0.61905100000000002</v>
      </c>
      <c r="E19" s="474">
        <v>0.61905100000000002</v>
      </c>
      <c r="F19" s="474">
        <v>0.61905100000000002</v>
      </c>
      <c r="G19" s="474">
        <v>0.61905100000000002</v>
      </c>
      <c r="H19" s="474">
        <v>0.61905100000000002</v>
      </c>
      <c r="I19" s="474">
        <v>0.61905100000000002</v>
      </c>
      <c r="J19" s="474">
        <v>0.61905100000000002</v>
      </c>
      <c r="K19" s="474">
        <v>0.61905100000000002</v>
      </c>
      <c r="L19" s="474">
        <v>0.61905100000000002</v>
      </c>
    </row>
    <row r="20" spans="1:12" x14ac:dyDescent="0.2">
      <c r="A20" s="497">
        <f t="shared" si="0"/>
        <v>12</v>
      </c>
      <c r="B20" s="498" t="s">
        <v>363</v>
      </c>
      <c r="C20" s="499" t="s">
        <v>364</v>
      </c>
      <c r="D20" s="475">
        <f>ROUND(+D18/D19,0)</f>
        <v>14343406</v>
      </c>
      <c r="E20" s="475">
        <f t="shared" ref="E20:K20" si="8">+ROUND((E18-D18)/E19,0)</f>
        <v>8290884</v>
      </c>
      <c r="F20" s="475">
        <f t="shared" si="8"/>
        <v>-13137748</v>
      </c>
      <c r="G20" s="475">
        <f t="shared" si="8"/>
        <v>-321161</v>
      </c>
      <c r="H20" s="475">
        <f t="shared" si="8"/>
        <v>748454</v>
      </c>
      <c r="I20" s="475">
        <f t="shared" si="8"/>
        <v>-11773</v>
      </c>
      <c r="J20" s="475">
        <f t="shared" si="8"/>
        <v>-568514</v>
      </c>
      <c r="K20" s="475">
        <f t="shared" si="8"/>
        <v>607213</v>
      </c>
      <c r="L20" s="475">
        <f>ROUND(+L18/L19,0)</f>
        <v>9950762</v>
      </c>
    </row>
    <row r="22" spans="1:12" x14ac:dyDescent="0.2">
      <c r="K22" s="500" t="s">
        <v>681</v>
      </c>
      <c r="L22" s="501">
        <v>12417431</v>
      </c>
    </row>
    <row r="24" spans="1:12" x14ac:dyDescent="0.2">
      <c r="K24" s="500" t="s">
        <v>682</v>
      </c>
      <c r="L24" s="501">
        <f>L20-L22</f>
        <v>-2466669</v>
      </c>
    </row>
    <row r="32" spans="1:12" x14ac:dyDescent="0.2">
      <c r="B32" s="502"/>
      <c r="C32" s="502"/>
    </row>
    <row r="33" spans="2:3" x14ac:dyDescent="0.2">
      <c r="B33" s="502"/>
      <c r="C33" s="502"/>
    </row>
    <row r="34" spans="2:3" x14ac:dyDescent="0.2">
      <c r="B34" s="502"/>
      <c r="C34" s="502"/>
    </row>
    <row r="35" spans="2:3" x14ac:dyDescent="0.2">
      <c r="B35" s="502"/>
      <c r="C35" s="502"/>
    </row>
    <row r="36" spans="2:3" x14ac:dyDescent="0.2">
      <c r="B36" s="502"/>
      <c r="C36" s="502"/>
    </row>
    <row r="37" spans="2:3" x14ac:dyDescent="0.2">
      <c r="B37" s="502"/>
      <c r="C37" s="502"/>
    </row>
    <row r="38" spans="2:3" x14ac:dyDescent="0.2">
      <c r="B38" s="502"/>
      <c r="C38" s="502"/>
    </row>
    <row r="39" spans="2:3" x14ac:dyDescent="0.2">
      <c r="B39" s="502"/>
      <c r="C39" s="502"/>
    </row>
    <row r="40" spans="2:3" x14ac:dyDescent="0.2">
      <c r="B40" s="502"/>
      <c r="C40" s="502"/>
    </row>
    <row r="41" spans="2:3" x14ac:dyDescent="0.2">
      <c r="B41" s="502"/>
      <c r="C41" s="502"/>
    </row>
    <row r="42" spans="2:3" x14ac:dyDescent="0.2">
      <c r="B42" s="502"/>
      <c r="C42" s="502"/>
    </row>
  </sheetData>
  <pageMargins left="0.7" right="0.7" top="0.75" bottom="0.75" header="0.3" footer="0.3"/>
  <pageSetup scale="63" orientation="landscape" blackAndWhite="1" r:id="rId1"/>
  <headerFooter>
    <oddHeader>&amp;RAdvice No. 2018-xx
Exhibit No. 7</oddHeader>
    <oddFooter>&amp;L&amp;F
&amp;A&amp;R&amp;D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25"/>
  <sheetViews>
    <sheetView workbookViewId="0">
      <selection activeCell="F28" sqref="F28"/>
    </sheetView>
  </sheetViews>
  <sheetFormatPr defaultRowHeight="12.75" customHeight="1" x14ac:dyDescent="0.2"/>
  <cols>
    <col min="1" max="1" width="5.28515625" style="54" customWidth="1"/>
    <col min="2" max="2" width="40.42578125" style="54" customWidth="1"/>
    <col min="3" max="5" width="16.28515625" style="54" customWidth="1"/>
    <col min="6" max="6" width="19.85546875" style="54" customWidth="1"/>
    <col min="7" max="8" width="16.28515625" style="54" customWidth="1"/>
    <col min="9" max="16384" width="9.140625" style="54"/>
  </cols>
  <sheetData>
    <row r="1" spans="1:14" ht="12.75" customHeight="1" x14ac:dyDescent="0.2">
      <c r="A1" s="504" t="s">
        <v>0</v>
      </c>
      <c r="B1" s="504"/>
      <c r="C1" s="504"/>
      <c r="D1" s="504"/>
      <c r="E1" s="504"/>
      <c r="F1" s="504"/>
      <c r="G1" s="504"/>
      <c r="H1" s="504"/>
      <c r="I1" s="1"/>
      <c r="J1" s="1"/>
      <c r="K1" s="1"/>
      <c r="L1" s="1"/>
      <c r="M1" s="1"/>
      <c r="N1" s="1"/>
    </row>
    <row r="2" spans="1:14" ht="12.75" customHeight="1" x14ac:dyDescent="0.2">
      <c r="A2" s="504" t="str">
        <f>'Delivery Rate Change Calc'!A2:H2</f>
        <v>2018 Electric Decoupling Filing</v>
      </c>
      <c r="B2" s="504"/>
      <c r="C2" s="504"/>
      <c r="D2" s="504"/>
      <c r="E2" s="504"/>
      <c r="F2" s="504"/>
      <c r="G2" s="504"/>
      <c r="H2" s="504"/>
      <c r="I2" s="1"/>
      <c r="J2" s="1"/>
      <c r="K2" s="1"/>
      <c r="L2" s="1"/>
      <c r="M2" s="1"/>
      <c r="N2" s="1"/>
    </row>
    <row r="3" spans="1:14" ht="12.75" customHeight="1" x14ac:dyDescent="0.2">
      <c r="A3" s="504" t="s">
        <v>628</v>
      </c>
      <c r="B3" s="504"/>
      <c r="C3" s="504"/>
      <c r="D3" s="504"/>
      <c r="E3" s="504"/>
      <c r="F3" s="504"/>
      <c r="G3" s="504"/>
      <c r="H3" s="504"/>
      <c r="I3" s="1"/>
      <c r="J3" s="1"/>
      <c r="K3" s="1"/>
      <c r="L3" s="1"/>
      <c r="M3" s="1"/>
      <c r="N3" s="1"/>
    </row>
    <row r="4" spans="1:14" ht="12.75" customHeight="1" x14ac:dyDescent="0.2">
      <c r="A4" s="507" t="str">
        <f>'Delivery Rate Change Calc'!A4:H4</f>
        <v>Proposed Effective May 1, 2018</v>
      </c>
      <c r="B4" s="507"/>
      <c r="C4" s="507"/>
      <c r="D4" s="507"/>
      <c r="E4" s="507"/>
      <c r="F4" s="507"/>
      <c r="G4" s="507"/>
      <c r="H4" s="507"/>
      <c r="I4" s="1"/>
      <c r="J4" s="1"/>
      <c r="K4" s="1"/>
      <c r="L4" s="1"/>
      <c r="M4" s="1"/>
      <c r="N4" s="1"/>
    </row>
    <row r="5" spans="1:14" ht="12.75" customHeight="1" x14ac:dyDescent="0.2">
      <c r="A5" s="9"/>
      <c r="B5" s="9"/>
      <c r="C5" s="9"/>
      <c r="D5" s="9"/>
      <c r="E5" s="9"/>
      <c r="F5" s="9"/>
      <c r="G5" s="9"/>
      <c r="H5" s="9"/>
    </row>
    <row r="6" spans="1:14" ht="12.75" customHeight="1" x14ac:dyDescent="0.2">
      <c r="A6" s="9"/>
      <c r="B6" s="9"/>
      <c r="C6" s="9"/>
      <c r="D6" s="9"/>
      <c r="E6" s="9"/>
      <c r="F6" s="6" t="s">
        <v>4</v>
      </c>
      <c r="G6" s="9"/>
      <c r="H6" s="9"/>
    </row>
    <row r="7" spans="1:14" ht="12.75" customHeight="1" x14ac:dyDescent="0.2">
      <c r="A7" s="65" t="s">
        <v>2</v>
      </c>
      <c r="B7" s="9"/>
      <c r="C7" s="9"/>
      <c r="D7" s="9"/>
      <c r="E7" s="6" t="s">
        <v>3</v>
      </c>
      <c r="F7" s="5" t="s">
        <v>165</v>
      </c>
      <c r="G7" s="6" t="s">
        <v>4</v>
      </c>
      <c r="H7" s="6" t="s">
        <v>4</v>
      </c>
    </row>
    <row r="8" spans="1:14" ht="12.75" customHeight="1" x14ac:dyDescent="0.2">
      <c r="A8" s="66" t="s">
        <v>5</v>
      </c>
      <c r="B8" s="23"/>
      <c r="C8" s="66" t="s">
        <v>6</v>
      </c>
      <c r="D8" s="66" t="s">
        <v>84</v>
      </c>
      <c r="E8" s="7">
        <v>7</v>
      </c>
      <c r="F8" s="7" t="s">
        <v>166</v>
      </c>
      <c r="G8" s="7" t="s">
        <v>24</v>
      </c>
      <c r="H8" s="7" t="s">
        <v>25</v>
      </c>
    </row>
    <row r="9" spans="1:14" ht="12.75" customHeight="1" x14ac:dyDescent="0.2">
      <c r="A9" s="9"/>
      <c r="B9" s="10" t="s">
        <v>9</v>
      </c>
      <c r="C9" s="10" t="s">
        <v>10</v>
      </c>
      <c r="D9" s="10" t="s">
        <v>11</v>
      </c>
      <c r="E9" s="10" t="s">
        <v>12</v>
      </c>
      <c r="F9" s="10" t="s">
        <v>13</v>
      </c>
      <c r="G9" s="10" t="s">
        <v>14</v>
      </c>
      <c r="H9" s="10" t="s">
        <v>67</v>
      </c>
    </row>
    <row r="10" spans="1:14" ht="12.75" customHeight="1" x14ac:dyDescent="0.2">
      <c r="A10" s="10">
        <v>1</v>
      </c>
      <c r="B10" s="11"/>
      <c r="C10" s="10"/>
      <c r="D10" s="10"/>
      <c r="E10" s="10"/>
      <c r="F10" s="10"/>
      <c r="G10" s="10"/>
      <c r="H10" s="10"/>
    </row>
    <row r="11" spans="1:14" ht="12.75" customHeight="1" x14ac:dyDescent="0.2">
      <c r="A11" s="10">
        <f>A10+1</f>
        <v>2</v>
      </c>
      <c r="B11" s="69" t="s">
        <v>95</v>
      </c>
      <c r="C11" s="10"/>
      <c r="D11" s="10"/>
      <c r="E11" s="10"/>
      <c r="F11" s="10"/>
      <c r="G11" s="10"/>
      <c r="H11" s="10"/>
    </row>
    <row r="12" spans="1:14" ht="12.75" customHeight="1" x14ac:dyDescent="0.2">
      <c r="A12" s="10">
        <f t="shared" ref="A12:A18" si="0">A11+1</f>
        <v>3</v>
      </c>
      <c r="B12" s="9" t="s">
        <v>94</v>
      </c>
      <c r="C12" s="71" t="s">
        <v>15</v>
      </c>
      <c r="D12" s="72">
        <f>SUM(E12:H12)</f>
        <v>740232850</v>
      </c>
      <c r="E12" s="24">
        <f>'Elec Margin Calc 2017'!C22</f>
        <v>448984226</v>
      </c>
      <c r="F12" s="24">
        <f>'Elec Margin Calc 2017'!C23</f>
        <v>218550393</v>
      </c>
      <c r="G12" s="24">
        <f>'Elec Margin Calc 2017'!C24</f>
        <v>41627885</v>
      </c>
      <c r="H12" s="24">
        <f>'Elec Margin Calc 2017'!C25</f>
        <v>31070346</v>
      </c>
    </row>
    <row r="13" spans="1:14" ht="12.75" customHeight="1" x14ac:dyDescent="0.2">
      <c r="A13" s="10">
        <f t="shared" si="0"/>
        <v>4</v>
      </c>
      <c r="B13" s="9"/>
      <c r="C13" s="10"/>
      <c r="D13" s="10"/>
      <c r="E13" s="9"/>
      <c r="F13" s="9"/>
      <c r="G13" s="9"/>
      <c r="H13" s="9"/>
    </row>
    <row r="14" spans="1:14" ht="12.75" customHeight="1" x14ac:dyDescent="0.2">
      <c r="A14" s="10">
        <f t="shared" si="0"/>
        <v>5</v>
      </c>
      <c r="B14" s="9" t="s">
        <v>96</v>
      </c>
      <c r="C14" s="71" t="s">
        <v>97</v>
      </c>
      <c r="D14" s="249">
        <f>SUM(E14:H14)</f>
        <v>0.99999999999999989</v>
      </c>
      <c r="E14" s="33">
        <f>ROUND(E12/$D$12,5)</f>
        <v>0.60653999999999997</v>
      </c>
      <c r="F14" s="33">
        <f t="shared" ref="F14:H14" si="1">ROUND(F12/$D$12,5)</f>
        <v>0.29525000000000001</v>
      </c>
      <c r="G14" s="33">
        <f t="shared" si="1"/>
        <v>5.6239999999999998E-2</v>
      </c>
      <c r="H14" s="33">
        <f t="shared" si="1"/>
        <v>4.197E-2</v>
      </c>
    </row>
    <row r="15" spans="1:14" ht="12.75" customHeight="1" x14ac:dyDescent="0.2">
      <c r="A15" s="10">
        <f t="shared" si="0"/>
        <v>6</v>
      </c>
      <c r="B15" s="9"/>
      <c r="C15" s="71"/>
      <c r="D15" s="71"/>
      <c r="E15" s="18"/>
      <c r="F15" s="18"/>
      <c r="G15" s="18"/>
      <c r="H15" s="18"/>
    </row>
    <row r="16" spans="1:14" ht="12.75" customHeight="1" x14ac:dyDescent="0.2">
      <c r="A16" s="10">
        <f t="shared" si="0"/>
        <v>7</v>
      </c>
      <c r="B16" s="9" t="s">
        <v>93</v>
      </c>
      <c r="C16" s="10" t="s">
        <v>646</v>
      </c>
      <c r="D16" s="70">
        <f>'Electric Earnings Test'!L20</f>
        <v>9950762</v>
      </c>
      <c r="E16" s="18"/>
      <c r="F16" s="18"/>
      <c r="G16" s="18"/>
      <c r="H16" s="18"/>
    </row>
    <row r="17" spans="1:8" ht="12.75" customHeight="1" x14ac:dyDescent="0.2">
      <c r="A17" s="10">
        <f t="shared" si="0"/>
        <v>8</v>
      </c>
      <c r="B17" s="9"/>
      <c r="C17" s="71"/>
      <c r="D17" s="71"/>
      <c r="E17" s="9"/>
      <c r="F17" s="9"/>
      <c r="G17" s="9"/>
      <c r="H17" s="9"/>
    </row>
    <row r="18" spans="1:8" ht="12.75" customHeight="1" x14ac:dyDescent="0.2">
      <c r="A18" s="10">
        <f t="shared" si="0"/>
        <v>9</v>
      </c>
      <c r="B18" s="9" t="s">
        <v>98</v>
      </c>
      <c r="C18" s="71" t="s">
        <v>99</v>
      </c>
      <c r="D18" s="72">
        <f>SUM(E18:H18)</f>
        <v>9950762</v>
      </c>
      <c r="E18" s="72">
        <f>IF($D$16&gt;0,$D$16*E14,0)</f>
        <v>6035535.1834800001</v>
      </c>
      <c r="F18" s="72">
        <f t="shared" ref="F18:H18" si="2">IF($D$16&gt;0,$D$16*F14,0)</f>
        <v>2937962.4805000001</v>
      </c>
      <c r="G18" s="72">
        <f t="shared" si="2"/>
        <v>559630.85488</v>
      </c>
      <c r="H18" s="72">
        <f t="shared" si="2"/>
        <v>417633.48113999999</v>
      </c>
    </row>
    <row r="19" spans="1:8" ht="12.75" customHeight="1" x14ac:dyDescent="0.2">
      <c r="A19" s="9"/>
      <c r="B19" s="9"/>
      <c r="C19" s="9"/>
      <c r="D19" s="9"/>
      <c r="E19" s="9"/>
      <c r="F19" s="9"/>
      <c r="G19" s="9"/>
      <c r="H19" s="9"/>
    </row>
    <row r="20" spans="1:8" ht="12.75" customHeight="1" x14ac:dyDescent="0.2">
      <c r="A20" s="9"/>
      <c r="B20" s="9"/>
      <c r="C20" s="9"/>
      <c r="D20" s="9"/>
      <c r="E20" s="9"/>
      <c r="F20" s="9"/>
      <c r="G20" s="9"/>
      <c r="H20" s="9"/>
    </row>
    <row r="21" spans="1:8" ht="12.75" customHeight="1" x14ac:dyDescent="0.2">
      <c r="A21" s="9"/>
      <c r="B21" s="9"/>
      <c r="C21" s="9"/>
      <c r="D21" s="9"/>
      <c r="E21" s="9"/>
      <c r="F21" s="9"/>
      <c r="G21" s="9"/>
      <c r="H21" s="9"/>
    </row>
    <row r="22" spans="1:8" ht="12.75" customHeight="1" x14ac:dyDescent="0.2">
      <c r="A22" s="9"/>
      <c r="B22" s="9"/>
      <c r="C22" s="9"/>
      <c r="D22" s="9"/>
      <c r="E22" s="9"/>
      <c r="F22" s="9"/>
      <c r="G22" s="9"/>
      <c r="H22" s="9"/>
    </row>
    <row r="23" spans="1:8" ht="12.75" customHeight="1" x14ac:dyDescent="0.2">
      <c r="A23" s="9"/>
      <c r="B23" s="9"/>
      <c r="C23" s="9"/>
      <c r="D23" s="9"/>
      <c r="E23" s="9"/>
      <c r="F23" s="9"/>
      <c r="G23" s="9"/>
      <c r="H23" s="9"/>
    </row>
    <row r="24" spans="1:8" ht="12.75" customHeight="1" x14ac:dyDescent="0.2">
      <c r="A24" s="9"/>
      <c r="B24" s="9"/>
      <c r="C24" s="9"/>
      <c r="D24" s="9"/>
      <c r="E24" s="9"/>
      <c r="F24" s="9"/>
      <c r="G24" s="9"/>
      <c r="H24" s="9"/>
    </row>
    <row r="25" spans="1:8" ht="12.75" customHeight="1" x14ac:dyDescent="0.2">
      <c r="A25" s="9"/>
      <c r="B25" s="9"/>
      <c r="C25" s="9"/>
      <c r="D25" s="9"/>
      <c r="E25" s="9"/>
      <c r="F25" s="9"/>
      <c r="G25" s="9"/>
      <c r="H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8</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25"/>
  <sheetViews>
    <sheetView workbookViewId="0">
      <selection activeCell="C48" sqref="C48"/>
    </sheetView>
  </sheetViews>
  <sheetFormatPr defaultRowHeight="12.75" customHeight="1" x14ac:dyDescent="0.2"/>
  <cols>
    <col min="1" max="1" width="5.28515625" style="54" customWidth="1"/>
    <col min="2" max="2" width="40.42578125" style="54" customWidth="1"/>
    <col min="3" max="3" width="16.28515625" style="54" customWidth="1"/>
    <col min="4" max="5" width="16.140625" style="54" customWidth="1"/>
    <col min="6" max="6" width="19.85546875" style="54" customWidth="1"/>
    <col min="7" max="8" width="16.140625" style="54" customWidth="1"/>
    <col min="9" max="16384" width="9.140625" style="54"/>
  </cols>
  <sheetData>
    <row r="1" spans="1:13" ht="12.75" customHeight="1" x14ac:dyDescent="0.2">
      <c r="A1" s="504" t="s">
        <v>0</v>
      </c>
      <c r="B1" s="504"/>
      <c r="C1" s="504"/>
      <c r="D1" s="504"/>
      <c r="E1" s="504"/>
      <c r="F1" s="504"/>
      <c r="G1" s="504"/>
      <c r="H1" s="504"/>
      <c r="I1" s="1"/>
      <c r="J1" s="1"/>
      <c r="K1" s="1"/>
      <c r="L1" s="1"/>
      <c r="M1" s="1"/>
    </row>
    <row r="2" spans="1:13" ht="12.75" customHeight="1" x14ac:dyDescent="0.2">
      <c r="A2" s="504" t="str">
        <f>'Delivery Rate Change Calc'!A2:H2</f>
        <v>2018 Electric Decoupling Filing</v>
      </c>
      <c r="B2" s="504"/>
      <c r="C2" s="504"/>
      <c r="D2" s="504"/>
      <c r="E2" s="504"/>
      <c r="F2" s="504"/>
      <c r="G2" s="504"/>
      <c r="H2" s="504"/>
      <c r="I2" s="1"/>
      <c r="J2" s="1"/>
      <c r="K2" s="1"/>
      <c r="L2" s="1"/>
      <c r="M2" s="1"/>
    </row>
    <row r="3" spans="1:13" ht="12.75" customHeight="1" x14ac:dyDescent="0.2">
      <c r="A3" s="504" t="s">
        <v>629</v>
      </c>
      <c r="B3" s="504"/>
      <c r="C3" s="504"/>
      <c r="D3" s="504"/>
      <c r="E3" s="504"/>
      <c r="F3" s="504"/>
      <c r="G3" s="504"/>
      <c r="H3" s="504"/>
      <c r="I3" s="1"/>
      <c r="J3" s="1"/>
      <c r="K3" s="1"/>
      <c r="L3" s="1"/>
      <c r="M3" s="1"/>
    </row>
    <row r="4" spans="1:13" ht="12.75" customHeight="1" x14ac:dyDescent="0.2">
      <c r="A4" s="507" t="str">
        <f>'Delivery Rate Change Calc'!A4:H4</f>
        <v>Proposed Effective May 1, 2018</v>
      </c>
      <c r="B4" s="507"/>
      <c r="C4" s="507"/>
      <c r="D4" s="507"/>
      <c r="E4" s="507"/>
      <c r="F4" s="507"/>
      <c r="G4" s="507"/>
      <c r="H4" s="507"/>
      <c r="I4" s="1"/>
      <c r="J4" s="1"/>
      <c r="K4" s="1"/>
      <c r="L4" s="1"/>
      <c r="M4" s="1"/>
    </row>
    <row r="5" spans="1:13" ht="12.75" customHeight="1" x14ac:dyDescent="0.2">
      <c r="A5" s="9"/>
      <c r="B5" s="9"/>
      <c r="C5" s="9"/>
      <c r="D5" s="9"/>
      <c r="E5" s="9"/>
      <c r="F5" s="9"/>
      <c r="G5" s="9"/>
    </row>
    <row r="6" spans="1:13" ht="12.75" customHeight="1" x14ac:dyDescent="0.2">
      <c r="A6" s="9"/>
      <c r="B6" s="9"/>
      <c r="C6" s="9"/>
      <c r="D6" s="9"/>
      <c r="E6" s="9"/>
      <c r="F6" s="6"/>
      <c r="G6" s="9"/>
    </row>
    <row r="7" spans="1:13" ht="12.75" customHeight="1" x14ac:dyDescent="0.2">
      <c r="A7" s="65" t="s">
        <v>2</v>
      </c>
      <c r="B7" s="9"/>
      <c r="C7" s="9"/>
      <c r="D7" s="9"/>
      <c r="E7" s="6" t="s">
        <v>4</v>
      </c>
      <c r="F7" s="6" t="s">
        <v>4</v>
      </c>
      <c r="G7" s="6" t="s">
        <v>3</v>
      </c>
      <c r="H7" s="6" t="s">
        <v>4</v>
      </c>
    </row>
    <row r="8" spans="1:13" ht="12.75" customHeight="1" x14ac:dyDescent="0.2">
      <c r="A8" s="66" t="s">
        <v>5</v>
      </c>
      <c r="B8" s="23"/>
      <c r="C8" s="66" t="s">
        <v>6</v>
      </c>
      <c r="D8" s="66" t="s">
        <v>84</v>
      </c>
      <c r="E8" s="7" t="s">
        <v>7</v>
      </c>
      <c r="F8" s="7" t="s">
        <v>8</v>
      </c>
      <c r="G8" s="7">
        <v>40</v>
      </c>
      <c r="H8" s="7" t="s">
        <v>268</v>
      </c>
    </row>
    <row r="9" spans="1:13" ht="12.75" customHeight="1" x14ac:dyDescent="0.2">
      <c r="A9" s="9"/>
      <c r="B9" s="10" t="s">
        <v>9</v>
      </c>
      <c r="C9" s="10" t="s">
        <v>10</v>
      </c>
      <c r="D9" s="10" t="s">
        <v>11</v>
      </c>
      <c r="E9" s="10" t="s">
        <v>12</v>
      </c>
      <c r="F9" s="10" t="s">
        <v>13</v>
      </c>
      <c r="G9" s="10" t="s">
        <v>14</v>
      </c>
      <c r="H9" s="10" t="s">
        <v>67</v>
      </c>
    </row>
    <row r="10" spans="1:13" ht="12.75" customHeight="1" x14ac:dyDescent="0.2">
      <c r="A10" s="10">
        <v>1</v>
      </c>
      <c r="B10" s="11"/>
      <c r="C10" s="10"/>
      <c r="D10" s="10"/>
      <c r="E10" s="10"/>
      <c r="F10" s="10"/>
      <c r="G10" s="10"/>
      <c r="H10" s="10"/>
    </row>
    <row r="11" spans="1:13" ht="12.75" customHeight="1" x14ac:dyDescent="0.2">
      <c r="A11" s="10">
        <f>A10+1</f>
        <v>2</v>
      </c>
      <c r="B11" s="69" t="s">
        <v>95</v>
      </c>
      <c r="C11" s="10"/>
      <c r="D11" s="10"/>
      <c r="E11" s="10"/>
      <c r="F11" s="10"/>
      <c r="G11" s="10"/>
      <c r="H11" s="10"/>
    </row>
    <row r="12" spans="1:13" ht="12.75" customHeight="1" x14ac:dyDescent="0.2">
      <c r="A12" s="10">
        <f t="shared" ref="A12:A18" si="0">A11+1</f>
        <v>3</v>
      </c>
      <c r="B12" s="9" t="s">
        <v>167</v>
      </c>
      <c r="C12" s="71" t="s">
        <v>15</v>
      </c>
      <c r="D12" s="72">
        <f>SUM(E12:H12)</f>
        <v>176175993.00387377</v>
      </c>
      <c r="E12" s="24">
        <f>'Elec Margin Calc NonRes 2017'!O29</f>
        <v>70530903.453302667</v>
      </c>
      <c r="F12" s="24">
        <f>SUM('Elec Margin Calc NonRes 2017'!O30:O32,'Elec Margin Calc NonRes 2017'!O34)</f>
        <v>75538929.644019812</v>
      </c>
      <c r="G12" s="24">
        <f>'Elec Margin Calc NonRes 2017'!O33</f>
        <v>14614421.836192377</v>
      </c>
      <c r="H12" s="24">
        <f>SUM('Elec Margin Calc NonRes 2017'!O35)</f>
        <v>15491738.070358938</v>
      </c>
    </row>
    <row r="13" spans="1:13" ht="12.75" customHeight="1" x14ac:dyDescent="0.2">
      <c r="A13" s="10">
        <f t="shared" si="0"/>
        <v>4</v>
      </c>
      <c r="B13" s="9"/>
      <c r="C13" s="10"/>
      <c r="D13" s="10"/>
      <c r="E13" s="9"/>
      <c r="F13" s="9"/>
      <c r="G13" s="9"/>
      <c r="H13" s="9"/>
    </row>
    <row r="14" spans="1:13" ht="12.75" customHeight="1" x14ac:dyDescent="0.2">
      <c r="A14" s="10">
        <f t="shared" si="0"/>
        <v>5</v>
      </c>
      <c r="B14" s="9" t="s">
        <v>96</v>
      </c>
      <c r="C14" s="71" t="s">
        <v>97</v>
      </c>
      <c r="D14" s="249">
        <f>SUM(E14:H14)</f>
        <v>0.99999999999999989</v>
      </c>
      <c r="E14" s="33">
        <f t="shared" ref="E14:G14" si="1">ROUND(E12/$D$12,4)</f>
        <v>0.40029999999999999</v>
      </c>
      <c r="F14" s="33">
        <f t="shared" si="1"/>
        <v>0.42880000000000001</v>
      </c>
      <c r="G14" s="33">
        <f t="shared" si="1"/>
        <v>8.3000000000000004E-2</v>
      </c>
      <c r="H14" s="33">
        <f t="shared" ref="H14" si="2">ROUND(H12/$D$12,4)</f>
        <v>8.7900000000000006E-2</v>
      </c>
    </row>
    <row r="15" spans="1:13" ht="12.75" customHeight="1" x14ac:dyDescent="0.2">
      <c r="A15" s="10">
        <f t="shared" si="0"/>
        <v>6</v>
      </c>
      <c r="B15" s="9"/>
      <c r="C15" s="71"/>
      <c r="D15" s="71"/>
      <c r="E15" s="18"/>
      <c r="F15" s="18"/>
      <c r="G15" s="18"/>
      <c r="H15" s="18"/>
    </row>
    <row r="16" spans="1:13" ht="12.75" customHeight="1" x14ac:dyDescent="0.2">
      <c r="A16" s="10">
        <f t="shared" si="0"/>
        <v>7</v>
      </c>
      <c r="B16" s="9" t="s">
        <v>168</v>
      </c>
      <c r="C16" s="10" t="s">
        <v>322</v>
      </c>
      <c r="D16" s="70">
        <f>'Earn Test Alloc 2017'!F18</f>
        <v>2937962.4805000001</v>
      </c>
      <c r="E16" s="18"/>
      <c r="F16" s="18"/>
      <c r="G16" s="18"/>
      <c r="H16" s="18"/>
    </row>
    <row r="17" spans="1:8" ht="12.75" customHeight="1" x14ac:dyDescent="0.2">
      <c r="A17" s="10">
        <f t="shared" si="0"/>
        <v>8</v>
      </c>
      <c r="B17" s="9"/>
      <c r="C17" s="71"/>
      <c r="D17" s="71"/>
      <c r="E17" s="9"/>
      <c r="F17" s="9"/>
      <c r="G17" s="9"/>
      <c r="H17" s="9"/>
    </row>
    <row r="18" spans="1:8" ht="12.75" customHeight="1" x14ac:dyDescent="0.2">
      <c r="A18" s="10">
        <f t="shared" si="0"/>
        <v>9</v>
      </c>
      <c r="B18" s="9" t="s">
        <v>98</v>
      </c>
      <c r="C18" s="71" t="s">
        <v>99</v>
      </c>
      <c r="D18" s="72">
        <f>SUM(E18:H18)</f>
        <v>2937962.4805000001</v>
      </c>
      <c r="E18" s="72">
        <f>IF($D$16&gt;0,$D$16*E14,0)</f>
        <v>1176066.38094415</v>
      </c>
      <c r="F18" s="72">
        <f t="shared" ref="F18:G18" si="3">IF($D$16&gt;0,$D$16*F14,0)</f>
        <v>1259798.3116384</v>
      </c>
      <c r="G18" s="72">
        <f t="shared" si="3"/>
        <v>243850.88588150003</v>
      </c>
      <c r="H18" s="72">
        <f t="shared" ref="H18" si="4">IF($D$16&gt;0,$D$16*H14,0)</f>
        <v>258246.90203595001</v>
      </c>
    </row>
    <row r="19" spans="1:8" ht="12.75" customHeight="1" x14ac:dyDescent="0.2">
      <c r="A19" s="9"/>
      <c r="B19" s="9"/>
      <c r="C19" s="9"/>
      <c r="D19" s="9"/>
      <c r="E19" s="9"/>
      <c r="F19" s="9"/>
      <c r="G19" s="9"/>
    </row>
    <row r="20" spans="1:8" ht="12.75" customHeight="1" x14ac:dyDescent="0.2">
      <c r="A20" s="9"/>
      <c r="B20" s="9"/>
      <c r="C20" s="9"/>
      <c r="D20" s="9"/>
      <c r="E20" s="9"/>
      <c r="F20" s="9"/>
      <c r="G20" s="9"/>
    </row>
    <row r="21" spans="1:8" ht="12.75" customHeight="1" x14ac:dyDescent="0.2">
      <c r="A21" s="9"/>
      <c r="B21" s="9"/>
      <c r="C21" s="9"/>
      <c r="D21" s="9"/>
      <c r="E21" s="9"/>
      <c r="F21" s="9"/>
      <c r="G21" s="9"/>
    </row>
    <row r="22" spans="1:8" ht="12.75" customHeight="1" x14ac:dyDescent="0.2">
      <c r="A22" s="9"/>
      <c r="B22" s="9"/>
      <c r="C22" s="9"/>
      <c r="D22" s="9"/>
      <c r="E22" s="9"/>
      <c r="F22" s="9"/>
      <c r="G22" s="9"/>
    </row>
    <row r="23" spans="1:8" ht="12.75" customHeight="1" x14ac:dyDescent="0.2">
      <c r="A23" s="9"/>
      <c r="B23" s="9"/>
      <c r="C23" s="9"/>
      <c r="D23" s="9"/>
      <c r="E23" s="9"/>
      <c r="F23" s="9"/>
      <c r="G23" s="9"/>
    </row>
    <row r="24" spans="1:8" ht="12.75" customHeight="1" x14ac:dyDescent="0.2">
      <c r="A24" s="9"/>
      <c r="B24" s="9"/>
      <c r="C24" s="9"/>
      <c r="D24" s="9"/>
      <c r="E24" s="9"/>
      <c r="F24" s="9"/>
      <c r="G24" s="9"/>
    </row>
    <row r="25" spans="1:8" ht="12.75" customHeight="1" x14ac:dyDescent="0.2">
      <c r="A25" s="9"/>
      <c r="B25" s="9"/>
      <c r="C25" s="9"/>
      <c r="D25" s="9"/>
      <c r="E25" s="9"/>
      <c r="F25" s="9"/>
      <c r="G25" s="9"/>
    </row>
  </sheetData>
  <mergeCells count="4">
    <mergeCell ref="A1:H1"/>
    <mergeCell ref="A2:H2"/>
    <mergeCell ref="A3:H3"/>
    <mergeCell ref="A4:H4"/>
  </mergeCells>
  <printOptions horizontalCentered="1"/>
  <pageMargins left="0.7" right="0.7" top="0.75" bottom="0.75" header="0.3" footer="0.3"/>
  <pageSetup scale="83" orientation="landscape" blackAndWhite="1" horizontalDpi="1200" verticalDpi="1200" r:id="rId1"/>
  <headerFooter>
    <oddHeader>&amp;RAdvice No. 2018-xx
Exhibit No. 9</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2018-04-26T07:00:00+00:00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180280</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E0FDA41F5718C438BF9DA18FDC31E76" ma:contentTypeVersion="76" ma:contentTypeDescription="" ma:contentTypeScope="" ma:versionID="7c238137eb4fffcaef382516d0d4afe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88910D-B763-4B9D-9CE5-CA66F990B9B4}"/>
</file>

<file path=customXml/itemProps2.xml><?xml version="1.0" encoding="utf-8"?>
<ds:datastoreItem xmlns:ds="http://schemas.openxmlformats.org/officeDocument/2006/customXml" ds:itemID="{0B5A49D2-C7CE-4327-A156-A2D67DD9CB5A}"/>
</file>

<file path=customXml/itemProps3.xml><?xml version="1.0" encoding="utf-8"?>
<ds:datastoreItem xmlns:ds="http://schemas.openxmlformats.org/officeDocument/2006/customXml" ds:itemID="{5BAF058B-CC8F-4EC6-A372-1D30906A262E}"/>
</file>

<file path=customXml/itemProps4.xml><?xml version="1.0" encoding="utf-8"?>
<ds:datastoreItem xmlns:ds="http://schemas.openxmlformats.org/officeDocument/2006/customXml" ds:itemID="{751AE510-010A-490A-9D5D-C3783C301AC4}"/>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48</vt:i4>
      </vt:variant>
      <vt:variant>
        <vt:lpstr>Named Ranges</vt:lpstr>
      </vt:variant>
      <vt:variant>
        <vt:i4>21</vt:i4>
      </vt:variant>
    </vt:vector>
  </HeadingPairs>
  <TitlesOfParts>
    <vt:vector size="69" baseType="lpstr">
      <vt:lpstr>Delivery Rate Change Calc</vt:lpstr>
      <vt:lpstr>Delivery Rate Change Calc 26&amp;31</vt:lpstr>
      <vt:lpstr>FPC Rate Change Calc</vt:lpstr>
      <vt:lpstr>Summary of Rates</vt:lpstr>
      <vt:lpstr>Rate Test</vt:lpstr>
      <vt:lpstr>Rate Test 26&amp;31</vt:lpstr>
      <vt:lpstr>Electric Earnings Test</vt:lpstr>
      <vt:lpstr>Earn Test Alloc 2017</vt:lpstr>
      <vt:lpstr>Earn Test Alloc NonRes 2017</vt:lpstr>
      <vt:lpstr>Delivery Deferral Balance</vt:lpstr>
      <vt:lpstr>FPC Deferral Balance</vt:lpstr>
      <vt:lpstr>Electric Account Balance</vt:lpstr>
      <vt:lpstr>Amort Estimate</vt:lpstr>
      <vt:lpstr>Forecast</vt:lpstr>
      <vt:lpstr>Rate Impacts--&gt;</vt:lpstr>
      <vt:lpstr>Impacts Sch 142</vt:lpstr>
      <vt:lpstr>Typical Residential Sch 142</vt:lpstr>
      <vt:lpstr>Sch 142 Impacts</vt:lpstr>
      <vt:lpstr>Work Papers--&gt;</vt:lpstr>
      <vt:lpstr>Res Deferral Calc 2017</vt:lpstr>
      <vt:lpstr>NonRes Deferral Calc 2017</vt:lpstr>
      <vt:lpstr>Sch 12&amp;26 Deferral Calc 2017</vt:lpstr>
      <vt:lpstr>Sch 10&amp;31 Deferral Calc 2017</vt:lpstr>
      <vt:lpstr>Sch 7 Delivery Calc</vt:lpstr>
      <vt:lpstr>Sch 8&amp;24 Delivery Calc</vt:lpstr>
      <vt:lpstr>Non-Res Delivery Calc</vt:lpstr>
      <vt:lpstr>Sch 40 Delivery Calc</vt:lpstr>
      <vt:lpstr>Sch 12&amp;26 Delivery Calc</vt:lpstr>
      <vt:lpstr>Sch 10&amp;31 Delivery Calc</vt:lpstr>
      <vt:lpstr>Sch 46&amp;49 Delivery Calc</vt:lpstr>
      <vt:lpstr>Sch 7 FPC Calc</vt:lpstr>
      <vt:lpstr>Sch 8&amp;24 FPC Calc</vt:lpstr>
      <vt:lpstr>Non-Res FPC Calc</vt:lpstr>
      <vt:lpstr>Sch 40 FPC Calc</vt:lpstr>
      <vt:lpstr>Sch 12&amp;26 FPC Calc</vt:lpstr>
      <vt:lpstr>Sch 10&amp;31 FPC Calc</vt:lpstr>
      <vt:lpstr>Rate Test Revenue</vt:lpstr>
      <vt:lpstr>Elec Margin Calc 2017</vt:lpstr>
      <vt:lpstr>Elec Margin Calc NonRes 2017</vt:lpstr>
      <vt:lpstr>One Time NonRes Alloc 2017</vt:lpstr>
      <vt:lpstr>One Time FPC Alloc 2017</vt:lpstr>
      <vt:lpstr>Elec 2017 Norm Total Usage</vt:lpstr>
      <vt:lpstr>2017 GRC PCA Costs FPC</vt:lpstr>
      <vt:lpstr>Average Cust Counts</vt:lpstr>
      <vt:lpstr>Elect 2017GRC Conv Fctr</vt:lpstr>
      <vt:lpstr>ERF Allowed</vt:lpstr>
      <vt:lpstr>ERF Allowed 26&amp;31</vt:lpstr>
      <vt:lpstr>PCA Deferral</vt:lpstr>
      <vt:lpstr>'2017 GRC PCA Costs FPC'!Print_Area</vt:lpstr>
      <vt:lpstr>'Electric Account Balance'!Print_Area</vt:lpstr>
      <vt:lpstr>Forecast!Print_Area</vt:lpstr>
      <vt:lpstr>'Non-Res Delivery Calc'!Print_Area</vt:lpstr>
      <vt:lpstr>'PCA Deferral'!Print_Area</vt:lpstr>
      <vt:lpstr>'Rate Test Revenue'!Print_Area</vt:lpstr>
      <vt:lpstr>'Sch 10&amp;31 Delivery Calc'!Print_Area</vt:lpstr>
      <vt:lpstr>'Sch 12&amp;26 Delivery Calc'!Print_Area</vt:lpstr>
      <vt:lpstr>'Sch 142 Impacts'!Print_Area</vt:lpstr>
      <vt:lpstr>'Sch 40 Delivery Calc'!Print_Area</vt:lpstr>
      <vt:lpstr>'Sch 46&amp;49 Delivery Calc'!Print_Area</vt:lpstr>
      <vt:lpstr>'Sch 7 Delivery Calc'!Print_Area</vt:lpstr>
      <vt:lpstr>'Sch 8&amp;24 Delivery Calc'!Print_Area</vt:lpstr>
      <vt:lpstr>'Summary of Rates'!Print_Area</vt:lpstr>
      <vt:lpstr>'Typical Residential Sch 142'!Print_Area</vt:lpstr>
      <vt:lpstr>'Electric Account Balance'!Print_Titles</vt:lpstr>
      <vt:lpstr>'PCA Deferral'!Print_Titles</vt:lpstr>
      <vt:lpstr>'NonRes Deferral Calc 2017'!Z_314B38F5_B141_4CFA_B269_574C59187EBF_.wvu.Cols</vt:lpstr>
      <vt:lpstr>'Res Deferral Calc 2017'!Z_314B38F5_B141_4CFA_B269_574C59187EBF_.wvu.Cols</vt:lpstr>
      <vt:lpstr>'Sch 10&amp;31 Deferral Calc 2017'!Z_314B38F5_B141_4CFA_B269_574C59187EBF_.wvu.Cols</vt:lpstr>
      <vt:lpstr>'Sch 12&amp;26 Deferral Calc 2017'!Z_314B38F5_B141_4CFA_B269_574C59187EBF_.wvu.Cols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dc:creator>
  <cp:lastModifiedBy>Paul Schmidt</cp:lastModifiedBy>
  <cp:lastPrinted>2018-04-25T22:04:48Z</cp:lastPrinted>
  <dcterms:created xsi:type="dcterms:W3CDTF">2018-03-16T22:40:08Z</dcterms:created>
  <dcterms:modified xsi:type="dcterms:W3CDTF">2018-04-26T00:02:19Z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0x0101006E56B4D1795A2E4DB2F0B01679ED314A007E0FDA41F5718C438BF9DA18FDC31E76</vt:lpwstr>
  </property>
  <property fmtid="{D5CDD505-2E9C-101B-9397-08002B2CF9AE}" pid="3" name="_docset_NoMedatataSyncRequired">
    <vt:lpwstr>False</vt:lpwstr>
  </property>
  <property fmtid="{D5CDD505-2E9C-101B-9397-08002B2CF9AE}" pid="4" name="IsEFSEC">
    <vt:bool>false</vt:bool>
  </property>
</Properties>
</file>