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filterPrivacy="1"/>
  <bookViews>
    <workbookView xWindow="0" yWindow="0" windowWidth="19200" windowHeight="6950" xr2:uid="{00000000-000D-0000-FFFF-FFFF00000000}"/>
  </bookViews>
  <sheets>
    <sheet name="Total First Year" sheetId="1" r:id="rId1"/>
    <sheet name="2016 Avoided Costs" sheetId="2" r:id="rId2"/>
    <sheet name="2014 Avoided Costs" sheetId="5" r:id="rId3"/>
  </sheets>
  <externalReferences>
    <externalReference r:id="rId4"/>
  </externalReferences>
  <definedNames>
    <definedName name="_xlnm._FilterDatabase" localSheetId="0" hidden="1">'Total First Year'!$A$4:$Y$92</definedName>
    <definedName name="AC">'2014 Avoided Costs'!$B$10:$G$54</definedName>
    <definedName name="Admin_Costs">#REF!</definedName>
    <definedName name="ByMeasure">#REF!</definedName>
    <definedName name="JR_PAGE_ANCHOR_0_1">'Total First Year'!$A$1</definedName>
    <definedName name="JR_PAGE_ANCHOR_0_2">'2016 Avoided Costs'!$A$1</definedName>
    <definedName name="JR_PAGE_ANCHOR_0_3">#REF!</definedName>
    <definedName name="NEPercentage">'[1]Rates&amp;NEB'!$B$11</definedName>
    <definedName name="OffsetAnchor">#REF!</definedName>
  </definedNames>
  <calcPr calcId="171027"/>
  <fileRecoveryPr autoRecover="0"/>
</workbook>
</file>

<file path=xl/calcChain.xml><?xml version="1.0" encoding="utf-8"?>
<calcChain xmlns="http://schemas.openxmlformats.org/spreadsheetml/2006/main">
  <c r="E54" i="1" l="1"/>
  <c r="D84" i="1"/>
  <c r="D86" i="1"/>
  <c r="D50" i="1"/>
  <c r="P86" i="1" l="1"/>
  <c r="P83" i="1"/>
  <c r="P84" i="1"/>
  <c r="P50" i="1"/>
  <c r="Y84" i="1"/>
  <c r="E83" i="1"/>
  <c r="E50" i="1"/>
  <c r="E84" i="1" s="1"/>
  <c r="E86" i="1" l="1"/>
  <c r="G52" i="1"/>
  <c r="O52" i="1" s="1"/>
  <c r="E53" i="1"/>
  <c r="R53" i="1" s="1"/>
  <c r="K54" i="1"/>
  <c r="R82" i="1"/>
  <c r="K82" i="1"/>
  <c r="J82" i="1"/>
  <c r="I82" i="1"/>
  <c r="G82" i="1"/>
  <c r="N82" i="1" s="1"/>
  <c r="R81" i="1"/>
  <c r="K81" i="1"/>
  <c r="J81" i="1"/>
  <c r="I81" i="1"/>
  <c r="G81" i="1"/>
  <c r="R80" i="1"/>
  <c r="K80" i="1"/>
  <c r="J80" i="1"/>
  <c r="I80" i="1"/>
  <c r="G80" i="1"/>
  <c r="R79" i="1"/>
  <c r="K79" i="1"/>
  <c r="J79" i="1"/>
  <c r="I79" i="1"/>
  <c r="G79" i="1"/>
  <c r="R78" i="1"/>
  <c r="K78" i="1"/>
  <c r="J78" i="1"/>
  <c r="I78" i="1"/>
  <c r="G78" i="1"/>
  <c r="R77" i="1"/>
  <c r="K77" i="1"/>
  <c r="J77" i="1"/>
  <c r="I77" i="1"/>
  <c r="G77" i="1"/>
  <c r="R76" i="1"/>
  <c r="K76" i="1"/>
  <c r="J76" i="1"/>
  <c r="I76" i="1"/>
  <c r="G76" i="1"/>
  <c r="O76" i="1" s="1"/>
  <c r="S76" i="1" s="1"/>
  <c r="R75" i="1"/>
  <c r="K75" i="1"/>
  <c r="J75" i="1"/>
  <c r="I75" i="1"/>
  <c r="G75" i="1"/>
  <c r="R74" i="1"/>
  <c r="K74" i="1"/>
  <c r="J74" i="1"/>
  <c r="I74" i="1"/>
  <c r="G74" i="1"/>
  <c r="R73" i="1"/>
  <c r="K73" i="1"/>
  <c r="J73" i="1"/>
  <c r="I73" i="1"/>
  <c r="G73" i="1"/>
  <c r="R72" i="1"/>
  <c r="K72" i="1"/>
  <c r="J72" i="1"/>
  <c r="I72" i="1"/>
  <c r="G72" i="1"/>
  <c r="O72" i="1" s="1"/>
  <c r="S72" i="1" s="1"/>
  <c r="R71" i="1"/>
  <c r="K71" i="1"/>
  <c r="J71" i="1"/>
  <c r="I71" i="1"/>
  <c r="G71" i="1"/>
  <c r="N71" i="1" s="1"/>
  <c r="R70" i="1"/>
  <c r="K70" i="1"/>
  <c r="J70" i="1"/>
  <c r="I70" i="1"/>
  <c r="G70" i="1"/>
  <c r="O70" i="1" s="1"/>
  <c r="S70" i="1" s="1"/>
  <c r="R69" i="1"/>
  <c r="K69" i="1"/>
  <c r="J69" i="1"/>
  <c r="I69" i="1"/>
  <c r="G69" i="1"/>
  <c r="R68" i="1"/>
  <c r="K68" i="1"/>
  <c r="J68" i="1"/>
  <c r="I68" i="1"/>
  <c r="G68" i="1"/>
  <c r="N68" i="1" s="1"/>
  <c r="R67" i="1"/>
  <c r="K67" i="1"/>
  <c r="J67" i="1"/>
  <c r="I67" i="1"/>
  <c r="G67" i="1"/>
  <c r="R66" i="1"/>
  <c r="K66" i="1"/>
  <c r="J66" i="1"/>
  <c r="I66" i="1"/>
  <c r="G66" i="1"/>
  <c r="O66" i="1" s="1"/>
  <c r="R65" i="1"/>
  <c r="K65" i="1"/>
  <c r="J65" i="1"/>
  <c r="I65" i="1"/>
  <c r="G65" i="1"/>
  <c r="R64" i="1"/>
  <c r="K64" i="1"/>
  <c r="J64" i="1"/>
  <c r="I64" i="1"/>
  <c r="G64" i="1"/>
  <c r="O64" i="1" s="1"/>
  <c r="R63" i="1"/>
  <c r="K63" i="1"/>
  <c r="J63" i="1"/>
  <c r="I63" i="1"/>
  <c r="G63" i="1"/>
  <c r="O63" i="1" s="1"/>
  <c r="R62" i="1"/>
  <c r="K62" i="1"/>
  <c r="J62" i="1"/>
  <c r="I62" i="1"/>
  <c r="G62" i="1"/>
  <c r="N62" i="1" s="1"/>
  <c r="R61" i="1"/>
  <c r="K61" i="1"/>
  <c r="J61" i="1"/>
  <c r="I61" i="1"/>
  <c r="G61" i="1"/>
  <c r="R60" i="1"/>
  <c r="K60" i="1"/>
  <c r="J60" i="1"/>
  <c r="I60" i="1"/>
  <c r="G60" i="1"/>
  <c r="R59" i="1"/>
  <c r="K59" i="1"/>
  <c r="J59" i="1"/>
  <c r="I59" i="1"/>
  <c r="G59" i="1"/>
  <c r="R58" i="1"/>
  <c r="K58" i="1"/>
  <c r="J58" i="1"/>
  <c r="I58" i="1"/>
  <c r="G58" i="1"/>
  <c r="O58" i="1" s="1"/>
  <c r="R57" i="1"/>
  <c r="K57" i="1"/>
  <c r="J57" i="1"/>
  <c r="I57" i="1"/>
  <c r="G57" i="1"/>
  <c r="N57" i="1" s="1"/>
  <c r="R56" i="1"/>
  <c r="K56" i="1"/>
  <c r="J56" i="1"/>
  <c r="I56" i="1"/>
  <c r="G56" i="1"/>
  <c r="R55" i="1"/>
  <c r="K55" i="1"/>
  <c r="J55" i="1"/>
  <c r="I55" i="1"/>
  <c r="G55" i="1"/>
  <c r="J54" i="1"/>
  <c r="I54" i="1"/>
  <c r="J53" i="1"/>
  <c r="I53" i="1"/>
  <c r="J52" i="1"/>
  <c r="I52" i="1"/>
  <c r="R51" i="1"/>
  <c r="K51" i="1"/>
  <c r="J51" i="1"/>
  <c r="I51" i="1"/>
  <c r="G51" i="1"/>
  <c r="N51" i="1" l="1"/>
  <c r="L76" i="1"/>
  <c r="L78" i="1"/>
  <c r="L65" i="1"/>
  <c r="L81" i="1"/>
  <c r="L56" i="1"/>
  <c r="O68" i="1"/>
  <c r="S68" i="1" s="1"/>
  <c r="L51" i="1"/>
  <c r="L71" i="1"/>
  <c r="V71" i="1" s="1"/>
  <c r="L79" i="1"/>
  <c r="O62" i="1"/>
  <c r="S62" i="1" s="1"/>
  <c r="L67" i="1"/>
  <c r="L74" i="1"/>
  <c r="L75" i="1"/>
  <c r="L80" i="1"/>
  <c r="L60" i="1"/>
  <c r="S64" i="1"/>
  <c r="N66" i="1"/>
  <c r="O51" i="1"/>
  <c r="S51" i="1" s="1"/>
  <c r="L55" i="1"/>
  <c r="L57" i="1"/>
  <c r="V57" i="1" s="1"/>
  <c r="N63" i="1"/>
  <c r="N72" i="1"/>
  <c r="O57" i="1"/>
  <c r="S57" i="1" s="1"/>
  <c r="N58" i="1"/>
  <c r="N64" i="1"/>
  <c r="L69" i="1"/>
  <c r="N70" i="1"/>
  <c r="L72" i="1"/>
  <c r="L58" i="1"/>
  <c r="L59" i="1"/>
  <c r="L61" i="1"/>
  <c r="L77" i="1"/>
  <c r="L82" i="1"/>
  <c r="V82" i="1" s="1"/>
  <c r="K53" i="1"/>
  <c r="O65" i="1"/>
  <c r="S65" i="1" s="1"/>
  <c r="N65" i="1"/>
  <c r="N75" i="1"/>
  <c r="O75" i="1"/>
  <c r="S75" i="1" s="1"/>
  <c r="N80" i="1"/>
  <c r="O80" i="1"/>
  <c r="S80" i="1" s="1"/>
  <c r="N81" i="1"/>
  <c r="O81" i="1"/>
  <c r="S81" i="1" s="1"/>
  <c r="G53" i="1"/>
  <c r="L54" i="1"/>
  <c r="N55" i="1"/>
  <c r="O55" i="1"/>
  <c r="S55" i="1" s="1"/>
  <c r="O56" i="1"/>
  <c r="S56" i="1" s="1"/>
  <c r="N56" i="1"/>
  <c r="N59" i="1"/>
  <c r="O59" i="1"/>
  <c r="S59" i="1" s="1"/>
  <c r="O60" i="1"/>
  <c r="S60" i="1" s="1"/>
  <c r="N60" i="1"/>
  <c r="O67" i="1"/>
  <c r="S67" i="1" s="1"/>
  <c r="N67" i="1"/>
  <c r="L73" i="1"/>
  <c r="N52" i="1"/>
  <c r="O61" i="1"/>
  <c r="S61" i="1" s="1"/>
  <c r="N61" i="1"/>
  <c r="L62" i="1"/>
  <c r="V62" i="1" s="1"/>
  <c r="L63" i="1"/>
  <c r="L66" i="1"/>
  <c r="O69" i="1"/>
  <c r="S69" i="1" s="1"/>
  <c r="N69" i="1"/>
  <c r="L70" i="1"/>
  <c r="N77" i="1"/>
  <c r="O77" i="1"/>
  <c r="S77" i="1" s="1"/>
  <c r="K52" i="1"/>
  <c r="L52" i="1" s="1"/>
  <c r="R52" i="1"/>
  <c r="R54" i="1"/>
  <c r="G54" i="1"/>
  <c r="O71" i="1"/>
  <c r="S71" i="1" s="1"/>
  <c r="N73" i="1"/>
  <c r="O73" i="1"/>
  <c r="S73" i="1" s="1"/>
  <c r="N74" i="1"/>
  <c r="N79" i="1"/>
  <c r="S58" i="1"/>
  <c r="S63" i="1"/>
  <c r="L64" i="1"/>
  <c r="L68" i="1"/>
  <c r="O74" i="1"/>
  <c r="S74" i="1" s="1"/>
  <c r="N76" i="1"/>
  <c r="O78" i="1"/>
  <c r="S78" i="1" s="1"/>
  <c r="N78" i="1"/>
  <c r="O79" i="1"/>
  <c r="S79" i="1" s="1"/>
  <c r="O82" i="1"/>
  <c r="S82" i="1" s="1"/>
  <c r="S66" i="1"/>
  <c r="L53" i="1" l="1"/>
  <c r="G83" i="1"/>
  <c r="G86" i="1" s="1"/>
  <c r="R83" i="1"/>
  <c r="M83" i="1"/>
  <c r="U83" i="1" s="1"/>
  <c r="V51" i="1"/>
  <c r="L83" i="1"/>
  <c r="K83" i="1"/>
  <c r="V76" i="1"/>
  <c r="V77" i="1"/>
  <c r="V74" i="1"/>
  <c r="V61" i="1"/>
  <c r="V59" i="1"/>
  <c r="V81" i="1"/>
  <c r="V75" i="1"/>
  <c r="V72" i="1"/>
  <c r="V65" i="1"/>
  <c r="V79" i="1"/>
  <c r="V67" i="1"/>
  <c r="V64" i="1"/>
  <c r="V80" i="1"/>
  <c r="V58" i="1"/>
  <c r="V69" i="1"/>
  <c r="V55" i="1"/>
  <c r="V68" i="1"/>
  <c r="N53" i="1"/>
  <c r="O53" i="1"/>
  <c r="S53" i="1" s="1"/>
  <c r="V63" i="1"/>
  <c r="S52" i="1"/>
  <c r="V56" i="1"/>
  <c r="V66" i="1"/>
  <c r="V70" i="1"/>
  <c r="V78" i="1"/>
  <c r="V73" i="1"/>
  <c r="O54" i="1"/>
  <c r="S54" i="1" s="1"/>
  <c r="N54" i="1"/>
  <c r="V54" i="1" s="1"/>
  <c r="V52" i="1"/>
  <c r="V60" i="1"/>
  <c r="V53" i="1" l="1"/>
  <c r="N83" i="1"/>
  <c r="X83" i="1"/>
  <c r="J23" i="1"/>
  <c r="J24" i="1"/>
  <c r="J25" i="1"/>
  <c r="J26" i="1"/>
  <c r="J27" i="1"/>
  <c r="J22" i="1"/>
  <c r="I6" i="1" l="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 i="1"/>
  <c r="J48" i="1"/>
  <c r="J49" i="1"/>
  <c r="J42" i="1"/>
  <c r="J43" i="1"/>
  <c r="J44" i="1"/>
  <c r="J45" i="1"/>
  <c r="J46" i="1"/>
  <c r="J47" i="1"/>
  <c r="J39" i="1"/>
  <c r="J40" i="1"/>
  <c r="J41" i="1"/>
  <c r="J36" i="1"/>
  <c r="J37" i="1"/>
  <c r="J38" i="1"/>
  <c r="J34" i="1"/>
  <c r="J35" i="1"/>
  <c r="J32" i="1"/>
  <c r="J33" i="1"/>
  <c r="J29" i="1"/>
  <c r="J30" i="1"/>
  <c r="J31" i="1"/>
  <c r="J28" i="1"/>
  <c r="J19" i="1"/>
  <c r="J20" i="1"/>
  <c r="J21" i="1"/>
  <c r="J17" i="1"/>
  <c r="J18" i="1"/>
  <c r="J16" i="1"/>
  <c r="J6" i="1" l="1"/>
  <c r="J5" i="1"/>
  <c r="J15" i="1" l="1"/>
  <c r="J14" i="1"/>
  <c r="J13" i="1"/>
  <c r="J12" i="1"/>
  <c r="E13" i="1" l="1"/>
  <c r="R49" i="1" l="1"/>
  <c r="K49" i="1"/>
  <c r="G49" i="1"/>
  <c r="R48" i="1"/>
  <c r="K48" i="1"/>
  <c r="G48" i="1"/>
  <c r="N48" i="1" s="1"/>
  <c r="R47" i="1"/>
  <c r="K47" i="1"/>
  <c r="G47" i="1"/>
  <c r="N47" i="1" s="1"/>
  <c r="R46" i="1"/>
  <c r="K46" i="1"/>
  <c r="G46" i="1"/>
  <c r="N46" i="1" s="1"/>
  <c r="R45" i="1"/>
  <c r="K45" i="1"/>
  <c r="G45" i="1"/>
  <c r="N45" i="1" s="1"/>
  <c r="R44" i="1"/>
  <c r="K44" i="1"/>
  <c r="G44" i="1"/>
  <c r="O44" i="1" s="1"/>
  <c r="R43" i="1"/>
  <c r="K43" i="1"/>
  <c r="G43" i="1"/>
  <c r="N43" i="1" s="1"/>
  <c r="R42" i="1"/>
  <c r="K42" i="1"/>
  <c r="G42" i="1"/>
  <c r="O42" i="1" s="1"/>
  <c r="R41" i="1"/>
  <c r="K41" i="1"/>
  <c r="G41" i="1"/>
  <c r="O41" i="1" s="1"/>
  <c r="R40" i="1"/>
  <c r="K40" i="1"/>
  <c r="G40" i="1"/>
  <c r="O40" i="1" s="1"/>
  <c r="R39" i="1"/>
  <c r="K39" i="1"/>
  <c r="G39" i="1"/>
  <c r="R38" i="1"/>
  <c r="K38" i="1"/>
  <c r="G38" i="1"/>
  <c r="N38" i="1" s="1"/>
  <c r="R37" i="1"/>
  <c r="K37" i="1"/>
  <c r="G37" i="1"/>
  <c r="O37" i="1" s="1"/>
  <c r="R36" i="1"/>
  <c r="K36" i="1"/>
  <c r="G36" i="1"/>
  <c r="O36" i="1" s="1"/>
  <c r="R35" i="1"/>
  <c r="K35" i="1"/>
  <c r="G35" i="1"/>
  <c r="N35" i="1" s="1"/>
  <c r="R34" i="1"/>
  <c r="K34" i="1"/>
  <c r="G34" i="1"/>
  <c r="O34" i="1" s="1"/>
  <c r="R33" i="1"/>
  <c r="K33" i="1"/>
  <c r="G33" i="1"/>
  <c r="N33" i="1" s="1"/>
  <c r="R32" i="1"/>
  <c r="K32" i="1"/>
  <c r="G32" i="1"/>
  <c r="N32" i="1" s="1"/>
  <c r="R31" i="1"/>
  <c r="K31" i="1"/>
  <c r="G31" i="1"/>
  <c r="R30" i="1"/>
  <c r="K30" i="1"/>
  <c r="G30" i="1"/>
  <c r="N30" i="1" s="1"/>
  <c r="R29" i="1"/>
  <c r="K29" i="1"/>
  <c r="G29" i="1"/>
  <c r="R28" i="1"/>
  <c r="K28" i="1"/>
  <c r="G28" i="1"/>
  <c r="N28" i="1" s="1"/>
  <c r="R27" i="1"/>
  <c r="K27" i="1"/>
  <c r="L27" i="1" s="1"/>
  <c r="G27" i="1"/>
  <c r="R26" i="1"/>
  <c r="K26" i="1"/>
  <c r="L26" i="1" s="1"/>
  <c r="G26" i="1"/>
  <c r="O26" i="1" s="1"/>
  <c r="R25" i="1"/>
  <c r="K25" i="1"/>
  <c r="L25" i="1" s="1"/>
  <c r="G25" i="1"/>
  <c r="N25" i="1" s="1"/>
  <c r="R24" i="1"/>
  <c r="K24" i="1"/>
  <c r="L24" i="1" s="1"/>
  <c r="G24" i="1"/>
  <c r="R23" i="1"/>
  <c r="K23" i="1"/>
  <c r="L23" i="1" s="1"/>
  <c r="G23" i="1"/>
  <c r="O23" i="1" s="1"/>
  <c r="R22" i="1"/>
  <c r="K22" i="1"/>
  <c r="L22" i="1" s="1"/>
  <c r="G22" i="1"/>
  <c r="N22" i="1" s="1"/>
  <c r="R21" i="1"/>
  <c r="K21" i="1"/>
  <c r="G21" i="1"/>
  <c r="R20" i="1"/>
  <c r="K20" i="1"/>
  <c r="G20" i="1"/>
  <c r="N20" i="1" s="1"/>
  <c r="R19" i="1"/>
  <c r="K19" i="1"/>
  <c r="G19" i="1"/>
  <c r="R18" i="1"/>
  <c r="K18" i="1"/>
  <c r="G18" i="1"/>
  <c r="N18" i="1" s="1"/>
  <c r="R17" i="1"/>
  <c r="K17" i="1"/>
  <c r="G17" i="1"/>
  <c r="R16" i="1"/>
  <c r="K16" i="1"/>
  <c r="G16" i="1"/>
  <c r="N16" i="1" s="1"/>
  <c r="R15" i="1"/>
  <c r="K15" i="1"/>
  <c r="G15" i="1"/>
  <c r="N15" i="1" s="1"/>
  <c r="R14" i="1"/>
  <c r="K14" i="1"/>
  <c r="G14" i="1"/>
  <c r="O14" i="1" s="1"/>
  <c r="R13" i="1"/>
  <c r="K13" i="1"/>
  <c r="G13" i="1"/>
  <c r="O13" i="1" s="1"/>
  <c r="R12" i="1"/>
  <c r="K12" i="1"/>
  <c r="G12" i="1"/>
  <c r="O12" i="1" s="1"/>
  <c r="R11" i="1"/>
  <c r="K11" i="1"/>
  <c r="G11" i="1"/>
  <c r="O11" i="1" s="1"/>
  <c r="R10" i="1"/>
  <c r="K10" i="1"/>
  <c r="G10" i="1"/>
  <c r="N10" i="1" s="1"/>
  <c r="V10" i="1" s="1"/>
  <c r="R9" i="1"/>
  <c r="K9" i="1"/>
  <c r="G9" i="1"/>
  <c r="O9" i="1" s="1"/>
  <c r="R8" i="1"/>
  <c r="K8" i="1"/>
  <c r="G8" i="1"/>
  <c r="R7" i="1"/>
  <c r="K7" i="1"/>
  <c r="G7" i="1"/>
  <c r="O7" i="1" s="1"/>
  <c r="R6" i="1"/>
  <c r="K6" i="1"/>
  <c r="G6" i="1"/>
  <c r="O6" i="1" s="1"/>
  <c r="R5" i="1"/>
  <c r="K5" i="1"/>
  <c r="G5" i="1"/>
  <c r="K50" i="1" l="1"/>
  <c r="K84" i="1" s="1"/>
  <c r="K86" i="1" s="1"/>
  <c r="M50" i="1"/>
  <c r="M84" i="1" s="1"/>
  <c r="G50" i="1"/>
  <c r="G84" i="1" s="1"/>
  <c r="R50" i="1"/>
  <c r="R84" i="1" s="1"/>
  <c r="R86" i="1" s="1"/>
  <c r="N39" i="1"/>
  <c r="S41" i="1"/>
  <c r="S6" i="1"/>
  <c r="L6" i="1"/>
  <c r="L9" i="1"/>
  <c r="L10" i="1"/>
  <c r="W10" i="1" s="1"/>
  <c r="L7" i="1"/>
  <c r="L11" i="1"/>
  <c r="L12" i="1"/>
  <c r="L13" i="1"/>
  <c r="L14" i="1"/>
  <c r="L15" i="1"/>
  <c r="V15" i="1" s="1"/>
  <c r="L16" i="1"/>
  <c r="V16" i="1" s="1"/>
  <c r="L17" i="1"/>
  <c r="L18" i="1"/>
  <c r="V18" i="1" s="1"/>
  <c r="L19" i="1"/>
  <c r="L20" i="1"/>
  <c r="V20" i="1" s="1"/>
  <c r="L21" i="1"/>
  <c r="L5" i="1"/>
  <c r="L8" i="1"/>
  <c r="L47" i="1"/>
  <c r="V47" i="1" s="1"/>
  <c r="S42" i="1"/>
  <c r="L32" i="1"/>
  <c r="V32" i="1" s="1"/>
  <c r="L33" i="1"/>
  <c r="V33" i="1" s="1"/>
  <c r="O15" i="1"/>
  <c r="S15" i="1" s="1"/>
  <c r="L29" i="1"/>
  <c r="O39" i="1"/>
  <c r="S39" i="1" s="1"/>
  <c r="O33" i="1"/>
  <c r="S33" i="1" s="1"/>
  <c r="O35" i="1"/>
  <c r="S35" i="1" s="1"/>
  <c r="L40" i="1"/>
  <c r="L43" i="1"/>
  <c r="V43" i="1" s="1"/>
  <c r="O47" i="1"/>
  <c r="S47" i="1" s="1"/>
  <c r="S9" i="1"/>
  <c r="N41" i="1"/>
  <c r="N9" i="1"/>
  <c r="V9" i="1" s="1"/>
  <c r="L31" i="1"/>
  <c r="O32" i="1"/>
  <c r="S32" i="1" s="1"/>
  <c r="O10" i="1"/>
  <c r="S10" i="1" s="1"/>
  <c r="O30" i="1"/>
  <c r="S30" i="1" s="1"/>
  <c r="N37" i="1"/>
  <c r="N40" i="1"/>
  <c r="L48" i="1"/>
  <c r="V48" i="1" s="1"/>
  <c r="O20" i="1"/>
  <c r="S20" i="1" s="1"/>
  <c r="O22" i="1"/>
  <c r="S22" i="1" s="1"/>
  <c r="V25" i="1"/>
  <c r="L28" i="1"/>
  <c r="V28" i="1" s="1"/>
  <c r="N42" i="1"/>
  <c r="O43" i="1"/>
  <c r="S43" i="1" s="1"/>
  <c r="L45" i="1"/>
  <c r="V45" i="1" s="1"/>
  <c r="L46" i="1"/>
  <c r="V46" i="1" s="1"/>
  <c r="O48" i="1"/>
  <c r="S48" i="1" s="1"/>
  <c r="O28" i="1"/>
  <c r="S28" i="1" s="1"/>
  <c r="L30" i="1"/>
  <c r="V30" i="1" s="1"/>
  <c r="L34" i="1"/>
  <c r="L37" i="1"/>
  <c r="L44" i="1"/>
  <c r="O46" i="1"/>
  <c r="S46" i="1" s="1"/>
  <c r="L49" i="1"/>
  <c r="O25" i="1"/>
  <c r="S25" i="1" s="1"/>
  <c r="O38" i="1"/>
  <c r="S38" i="1" s="1"/>
  <c r="S36" i="1"/>
  <c r="N36" i="1"/>
  <c r="N44" i="1"/>
  <c r="N6" i="1"/>
  <c r="O16" i="1"/>
  <c r="S16" i="1" s="1"/>
  <c r="N17" i="1"/>
  <c r="V22" i="1"/>
  <c r="O24" i="1"/>
  <c r="S24" i="1" s="1"/>
  <c r="N24" i="1"/>
  <c r="N5" i="1"/>
  <c r="N8" i="1"/>
  <c r="V8" i="1" s="1"/>
  <c r="O5" i="1"/>
  <c r="S5" i="1" s="1"/>
  <c r="N7" i="1"/>
  <c r="V7" i="1" s="1"/>
  <c r="S7" i="1"/>
  <c r="O8" i="1"/>
  <c r="S8" i="1" s="1"/>
  <c r="N11" i="1"/>
  <c r="V11" i="1" s="1"/>
  <c r="S11" i="1"/>
  <c r="N12" i="1"/>
  <c r="S12" i="1"/>
  <c r="S13" i="1"/>
  <c r="S14" i="1"/>
  <c r="O17" i="1"/>
  <c r="S17" i="1" s="1"/>
  <c r="O19" i="1"/>
  <c r="S19" i="1" s="1"/>
  <c r="O21" i="1"/>
  <c r="S21" i="1" s="1"/>
  <c r="N13" i="1"/>
  <c r="N14" i="1"/>
  <c r="O18" i="1"/>
  <c r="S18" i="1" s="1"/>
  <c r="N19" i="1"/>
  <c r="N21" i="1"/>
  <c r="N27" i="1"/>
  <c r="N29" i="1"/>
  <c r="N31" i="1"/>
  <c r="S34" i="1"/>
  <c r="S44" i="1"/>
  <c r="N23" i="1"/>
  <c r="S23" i="1"/>
  <c r="N26" i="1"/>
  <c r="S26" i="1"/>
  <c r="O27" i="1"/>
  <c r="S27" i="1" s="1"/>
  <c r="O29" i="1"/>
  <c r="S29" i="1" s="1"/>
  <c r="O31" i="1"/>
  <c r="S31" i="1" s="1"/>
  <c r="N34" i="1"/>
  <c r="S37" i="1"/>
  <c r="S40" i="1"/>
  <c r="L35" i="1"/>
  <c r="L38" i="1"/>
  <c r="L41" i="1"/>
  <c r="N49" i="1"/>
  <c r="L36" i="1"/>
  <c r="L39" i="1"/>
  <c r="L42" i="1"/>
  <c r="O45" i="1"/>
  <c r="S45" i="1" s="1"/>
  <c r="O49" i="1"/>
  <c r="S49" i="1" s="1"/>
  <c r="M86" i="1" l="1"/>
  <c r="L50" i="1"/>
  <c r="L84" i="1" s="1"/>
  <c r="L86" i="1" s="1"/>
  <c r="B92" i="1" s="1"/>
  <c r="N50" i="1"/>
  <c r="N84" i="1" s="1"/>
  <c r="N86" i="1" s="1"/>
  <c r="U50" i="1"/>
  <c r="U84" i="1" s="1"/>
  <c r="U86" i="1" s="1"/>
  <c r="P24" i="1"/>
  <c r="W24" i="1" s="1"/>
  <c r="P68" i="1"/>
  <c r="P64" i="1"/>
  <c r="P82" i="1"/>
  <c r="P70" i="1"/>
  <c r="P62" i="1"/>
  <c r="P57" i="1"/>
  <c r="P51" i="1"/>
  <c r="P66" i="1"/>
  <c r="P63" i="1"/>
  <c r="P78" i="1"/>
  <c r="P80" i="1"/>
  <c r="P56" i="1"/>
  <c r="P61" i="1"/>
  <c r="P74" i="1"/>
  <c r="P77" i="1"/>
  <c r="P59" i="1"/>
  <c r="P67" i="1"/>
  <c r="P79" i="1"/>
  <c r="P73" i="1"/>
  <c r="P52" i="1"/>
  <c r="P65" i="1"/>
  <c r="P81" i="1"/>
  <c r="P60" i="1"/>
  <c r="P76" i="1"/>
  <c r="P71" i="1"/>
  <c r="P75" i="1"/>
  <c r="P55" i="1"/>
  <c r="P69" i="1"/>
  <c r="P58" i="1"/>
  <c r="P72" i="1"/>
  <c r="P54" i="1"/>
  <c r="P53" i="1"/>
  <c r="W9" i="1"/>
  <c r="V19" i="1"/>
  <c r="V23" i="1"/>
  <c r="V12" i="1"/>
  <c r="V17" i="1"/>
  <c r="V37" i="1"/>
  <c r="V27" i="1"/>
  <c r="V21" i="1"/>
  <c r="V40" i="1"/>
  <c r="V13" i="1"/>
  <c r="V49" i="1"/>
  <c r="V29" i="1"/>
  <c r="V6" i="1"/>
  <c r="V44" i="1"/>
  <c r="V5" i="1"/>
  <c r="V24" i="1"/>
  <c r="V41" i="1"/>
  <c r="V26" i="1"/>
  <c r="V31" i="1"/>
  <c r="V14" i="1"/>
  <c r="V34" i="1"/>
  <c r="P33" i="1"/>
  <c r="T33" i="1" s="1"/>
  <c r="P34" i="1"/>
  <c r="T34" i="1" s="1"/>
  <c r="P45" i="1"/>
  <c r="W45" i="1" s="1"/>
  <c r="P49" i="1"/>
  <c r="T49" i="1" s="1"/>
  <c r="P44" i="1"/>
  <c r="T44" i="1" s="1"/>
  <c r="P40" i="1"/>
  <c r="X40" i="1" s="1"/>
  <c r="P48" i="1"/>
  <c r="P47" i="1"/>
  <c r="P43" i="1"/>
  <c r="X43" i="1" s="1"/>
  <c r="P37" i="1"/>
  <c r="T37" i="1" s="1"/>
  <c r="P31" i="1"/>
  <c r="W31" i="1" s="1"/>
  <c r="P21" i="1"/>
  <c r="U21" i="1" s="1"/>
  <c r="P19" i="1"/>
  <c r="X19" i="1" s="1"/>
  <c r="P16" i="1"/>
  <c r="W16" i="1" s="1"/>
  <c r="P14" i="1"/>
  <c r="U14" i="1" s="1"/>
  <c r="V38" i="1"/>
  <c r="W7" i="1"/>
  <c r="P8" i="1"/>
  <c r="V39" i="1"/>
  <c r="V42" i="1"/>
  <c r="V36" i="1"/>
  <c r="V35" i="1"/>
  <c r="P42" i="1"/>
  <c r="P46" i="1"/>
  <c r="P36" i="1"/>
  <c r="W36" i="1" s="1"/>
  <c r="P35" i="1"/>
  <c r="W35" i="1" s="1"/>
  <c r="P26" i="1"/>
  <c r="P39" i="1"/>
  <c r="P38" i="1"/>
  <c r="W38" i="1" s="1"/>
  <c r="P41" i="1"/>
  <c r="W41" i="1" s="1"/>
  <c r="P32" i="1"/>
  <c r="P30" i="1"/>
  <c r="P28" i="1"/>
  <c r="P25" i="1"/>
  <c r="P22" i="1"/>
  <c r="W22" i="1" s="1"/>
  <c r="P23" i="1"/>
  <c r="W23" i="1" s="1"/>
  <c r="P9" i="1"/>
  <c r="P6" i="1"/>
  <c r="P15" i="1"/>
  <c r="W15" i="1" s="1"/>
  <c r="P10" i="1"/>
  <c r="P7" i="1"/>
  <c r="P20" i="1"/>
  <c r="P18" i="1"/>
  <c r="P13" i="1"/>
  <c r="P12" i="1"/>
  <c r="P11" i="1"/>
  <c r="P27" i="1"/>
  <c r="W27" i="1" s="1"/>
  <c r="P17" i="1"/>
  <c r="P5" i="1"/>
  <c r="W5" i="1" s="1"/>
  <c r="P29" i="1"/>
  <c r="W8" i="1"/>
  <c r="W11" i="1"/>
  <c r="U75" i="1" l="1"/>
  <c r="X75" i="1"/>
  <c r="U54" i="1"/>
  <c r="X54" i="1"/>
  <c r="U55" i="1"/>
  <c r="X55" i="1"/>
  <c r="U60" i="1"/>
  <c r="X60" i="1"/>
  <c r="U73" i="1"/>
  <c r="X73" i="1"/>
  <c r="U77" i="1"/>
  <c r="X77" i="1"/>
  <c r="U80" i="1"/>
  <c r="X80" i="1"/>
  <c r="U51" i="1"/>
  <c r="X51" i="1"/>
  <c r="U82" i="1"/>
  <c r="X82" i="1"/>
  <c r="U72" i="1"/>
  <c r="X72" i="1"/>
  <c r="U81" i="1"/>
  <c r="X81" i="1"/>
  <c r="U79" i="1"/>
  <c r="X79" i="1"/>
  <c r="U74" i="1"/>
  <c r="X74" i="1"/>
  <c r="U78" i="1"/>
  <c r="X78" i="1"/>
  <c r="U57" i="1"/>
  <c r="X57" i="1"/>
  <c r="U64" i="1"/>
  <c r="X64" i="1"/>
  <c r="U58" i="1"/>
  <c r="X58" i="1"/>
  <c r="U71" i="1"/>
  <c r="X71" i="1"/>
  <c r="U65" i="1"/>
  <c r="X65" i="1"/>
  <c r="U67" i="1"/>
  <c r="X67" i="1"/>
  <c r="U61" i="1"/>
  <c r="X61" i="1"/>
  <c r="U63" i="1"/>
  <c r="X63" i="1"/>
  <c r="U62" i="1"/>
  <c r="X62" i="1"/>
  <c r="U68" i="1"/>
  <c r="X68" i="1"/>
  <c r="U53" i="1"/>
  <c r="X53" i="1"/>
  <c r="U69" i="1"/>
  <c r="X69" i="1"/>
  <c r="U76" i="1"/>
  <c r="X76" i="1"/>
  <c r="U52" i="1"/>
  <c r="X52" i="1"/>
  <c r="U59" i="1"/>
  <c r="X59" i="1"/>
  <c r="U56" i="1"/>
  <c r="X56" i="1"/>
  <c r="U66" i="1"/>
  <c r="X66" i="1"/>
  <c r="U70" i="1"/>
  <c r="X70" i="1"/>
  <c r="O86" i="1"/>
  <c r="X50" i="1"/>
  <c r="X84" i="1" s="1"/>
  <c r="X86" i="1" s="1"/>
  <c r="O50" i="1"/>
  <c r="O84" i="1" s="1"/>
  <c r="V50" i="1"/>
  <c r="V84" i="1" s="1"/>
  <c r="W50" i="1"/>
  <c r="W84" i="1" s="1"/>
  <c r="U24" i="1"/>
  <c r="X24" i="1"/>
  <c r="T24" i="1"/>
  <c r="T67" i="1"/>
  <c r="W67" i="1"/>
  <c r="T57" i="1"/>
  <c r="W57" i="1"/>
  <c r="T60" i="1"/>
  <c r="W60" i="1"/>
  <c r="T73" i="1"/>
  <c r="W73" i="1"/>
  <c r="T61" i="1"/>
  <c r="W61" i="1"/>
  <c r="T78" i="1"/>
  <c r="W78" i="1"/>
  <c r="T53" i="1"/>
  <c r="W53" i="1"/>
  <c r="T72" i="1"/>
  <c r="W72" i="1"/>
  <c r="T55" i="1"/>
  <c r="W55" i="1"/>
  <c r="T65" i="1"/>
  <c r="W65" i="1"/>
  <c r="T59" i="1"/>
  <c r="W59" i="1"/>
  <c r="T77" i="1"/>
  <c r="W77" i="1"/>
  <c r="T51" i="1"/>
  <c r="W51" i="1"/>
  <c r="T62" i="1"/>
  <c r="W62" i="1"/>
  <c r="T70" i="1"/>
  <c r="W70" i="1"/>
  <c r="T54" i="1"/>
  <c r="W54" i="1"/>
  <c r="T58" i="1"/>
  <c r="W58" i="1"/>
  <c r="T75" i="1"/>
  <c r="W75" i="1"/>
  <c r="T76" i="1"/>
  <c r="W76" i="1"/>
  <c r="T81" i="1"/>
  <c r="W81" i="1"/>
  <c r="T79" i="1"/>
  <c r="W79" i="1"/>
  <c r="T74" i="1"/>
  <c r="W74" i="1"/>
  <c r="T56" i="1"/>
  <c r="W56" i="1"/>
  <c r="T63" i="1"/>
  <c r="W63" i="1"/>
  <c r="T82" i="1"/>
  <c r="W82" i="1"/>
  <c r="T64" i="1"/>
  <c r="W64" i="1"/>
  <c r="T68" i="1"/>
  <c r="W68" i="1"/>
  <c r="T69" i="1"/>
  <c r="W69" i="1"/>
  <c r="T71" i="1"/>
  <c r="W71" i="1"/>
  <c r="T52" i="1"/>
  <c r="W52" i="1"/>
  <c r="T80" i="1"/>
  <c r="W80" i="1"/>
  <c r="T66" i="1"/>
  <c r="W66" i="1"/>
  <c r="W34" i="1"/>
  <c r="X34" i="1"/>
  <c r="X33" i="1"/>
  <c r="W33" i="1"/>
  <c r="U33" i="1"/>
  <c r="X44" i="1"/>
  <c r="T45" i="1"/>
  <c r="U34" i="1"/>
  <c r="U43" i="1"/>
  <c r="X21" i="1"/>
  <c r="W21" i="1"/>
  <c r="X45" i="1"/>
  <c r="U45" i="1"/>
  <c r="T31" i="1"/>
  <c r="W40" i="1"/>
  <c r="W49" i="1"/>
  <c r="T40" i="1"/>
  <c r="U40" i="1"/>
  <c r="U37" i="1"/>
  <c r="W44" i="1"/>
  <c r="U16" i="1"/>
  <c r="X22" i="1"/>
  <c r="U44" i="1"/>
  <c r="U49" i="1"/>
  <c r="X49" i="1"/>
  <c r="X37" i="1"/>
  <c r="T47" i="1"/>
  <c r="X47" i="1"/>
  <c r="W37" i="1"/>
  <c r="T48" i="1"/>
  <c r="X48" i="1"/>
  <c r="U48" i="1"/>
  <c r="T19" i="1"/>
  <c r="W19" i="1"/>
  <c r="T14" i="1"/>
  <c r="X14" i="1"/>
  <c r="U31" i="1"/>
  <c r="X31" i="1"/>
  <c r="W14" i="1"/>
  <c r="U19" i="1"/>
  <c r="T21" i="1"/>
  <c r="W47" i="1"/>
  <c r="U47" i="1"/>
  <c r="W48" i="1"/>
  <c r="T16" i="1"/>
  <c r="X16" i="1"/>
  <c r="T43" i="1"/>
  <c r="W43" i="1"/>
  <c r="T12" i="1"/>
  <c r="U12" i="1"/>
  <c r="X12" i="1"/>
  <c r="U10" i="1"/>
  <c r="T10" i="1"/>
  <c r="X10" i="1"/>
  <c r="U6" i="1"/>
  <c r="T6" i="1"/>
  <c r="X6" i="1"/>
  <c r="W6" i="1"/>
  <c r="T23" i="1"/>
  <c r="U23" i="1"/>
  <c r="X23" i="1"/>
  <c r="T28" i="1"/>
  <c r="U28" i="1"/>
  <c r="X28" i="1"/>
  <c r="W28" i="1"/>
  <c r="U39" i="1"/>
  <c r="T39" i="1"/>
  <c r="U42" i="1"/>
  <c r="T42" i="1"/>
  <c r="W83" i="1"/>
  <c r="X42" i="1"/>
  <c r="T17" i="1"/>
  <c r="X17" i="1"/>
  <c r="U17" i="1"/>
  <c r="U20" i="1"/>
  <c r="T20" i="1"/>
  <c r="T9" i="1"/>
  <c r="U9" i="1"/>
  <c r="X9" i="1"/>
  <c r="T30" i="1"/>
  <c r="U30" i="1"/>
  <c r="X30" i="1"/>
  <c r="W30" i="1"/>
  <c r="U26" i="1"/>
  <c r="T26" i="1"/>
  <c r="W26" i="1"/>
  <c r="X26" i="1"/>
  <c r="T35" i="1"/>
  <c r="U35" i="1"/>
  <c r="W17" i="1"/>
  <c r="T8" i="1"/>
  <c r="U8" i="1"/>
  <c r="X8" i="1"/>
  <c r="X38" i="1"/>
  <c r="W42" i="1"/>
  <c r="T29" i="1"/>
  <c r="X29" i="1"/>
  <c r="U29" i="1"/>
  <c r="W29" i="1"/>
  <c r="T13" i="1"/>
  <c r="X13" i="1"/>
  <c r="U13" i="1"/>
  <c r="T7" i="1"/>
  <c r="U7" i="1"/>
  <c r="X7" i="1"/>
  <c r="U15" i="1"/>
  <c r="T15" i="1"/>
  <c r="U22" i="1"/>
  <c r="T22" i="1"/>
  <c r="T32" i="1"/>
  <c r="U32" i="1"/>
  <c r="X32" i="1"/>
  <c r="W32" i="1"/>
  <c r="T41" i="1"/>
  <c r="U41" i="1"/>
  <c r="T36" i="1"/>
  <c r="U36" i="1"/>
  <c r="T46" i="1"/>
  <c r="U46" i="1"/>
  <c r="W46" i="1"/>
  <c r="X46" i="1"/>
  <c r="X41" i="1"/>
  <c r="W12" i="1"/>
  <c r="X20" i="1"/>
  <c r="W13" i="1"/>
  <c r="X15" i="1"/>
  <c r="X39" i="1"/>
  <c r="V83" i="1"/>
  <c r="O83" i="1"/>
  <c r="T5" i="1"/>
  <c r="U5" i="1"/>
  <c r="X5" i="1"/>
  <c r="T27" i="1"/>
  <c r="X27" i="1"/>
  <c r="U27" i="1"/>
  <c r="T11" i="1"/>
  <c r="U11" i="1"/>
  <c r="X11" i="1"/>
  <c r="T18" i="1"/>
  <c r="U18" i="1"/>
  <c r="W18" i="1"/>
  <c r="X18" i="1"/>
  <c r="T25" i="1"/>
  <c r="U25" i="1"/>
  <c r="W25" i="1"/>
  <c r="X25" i="1"/>
  <c r="T38" i="1"/>
  <c r="U38" i="1"/>
  <c r="X35" i="1"/>
  <c r="W20" i="1"/>
  <c r="X36" i="1"/>
  <c r="W39" i="1"/>
  <c r="V86" i="1" l="1"/>
  <c r="W86" i="1"/>
  <c r="S50" i="1"/>
  <c r="S84" i="1" s="1"/>
  <c r="S86" i="1" s="1"/>
  <c r="T50" i="1"/>
  <c r="T84" i="1" s="1"/>
  <c r="T83" i="1"/>
  <c r="S83" i="1"/>
  <c r="T8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4" authorId="0" shapeId="0" xr:uid="{E0E25CB7-B724-4237-90F6-E32E24B31426}">
      <text>
        <r>
          <rPr>
            <b/>
            <sz val="9"/>
            <color indexed="81"/>
            <rFont val="Tahoma"/>
            <charset val="1"/>
          </rPr>
          <t>Author:</t>
        </r>
        <r>
          <rPr>
            <sz val="9"/>
            <color indexed="81"/>
            <rFont val="Tahoma"/>
            <charset val="1"/>
          </rPr>
          <t xml:space="preserve">
Societal Benefits
1) Economic Development - 50% of Retail Value 1st year therm savings
2) Carbon Offset- Pvalue of $20/ton annual carbon offset due to gas savings</t>
        </r>
      </text>
    </comment>
    <comment ref="J4" authorId="0" shapeId="0" xr:uid="{D0177FE3-664C-4F68-BB45-C661397CD97C}">
      <text>
        <r>
          <rPr>
            <b/>
            <sz val="9"/>
            <color indexed="81"/>
            <rFont val="Tahoma"/>
            <charset val="1"/>
          </rPr>
          <t>Author:</t>
        </r>
        <r>
          <rPr>
            <sz val="9"/>
            <color indexed="81"/>
            <rFont val="Tahoma"/>
            <charset val="1"/>
          </rPr>
          <t xml:space="preserve">
Participant Benefits
1) Prop Value Adder - 10% of Inc Cost
2) Reduced Maintnenance- PV of Annual Maintenance benefit valued at 5% of first cost
3) Any water/sewer savings (if applicable) based on PV of Annual Water/Sewer savings benefit valued at $2/1000 gal</t>
        </r>
      </text>
    </comment>
  </commentList>
</comments>
</file>

<file path=xl/sharedStrings.xml><?xml version="1.0" encoding="utf-8"?>
<sst xmlns="http://schemas.openxmlformats.org/spreadsheetml/2006/main" count="388" uniqueCount="126">
  <si>
    <t xml:space="preserve">PROGRAM YEAR </t>
  </si>
  <si>
    <t xml:space="preserve"> CASCADE NATURAL GAS CORPORATION</t>
  </si>
  <si>
    <t xml:space="preserve"> RESIDENTIAL Program Participant Cost Effectiveness</t>
  </si>
  <si>
    <t/>
  </si>
  <si>
    <t>MEASURE</t>
  </si>
  <si>
    <t>ZONE</t>
  </si>
  <si>
    <t>EFFICIENCY  RATING</t>
  </si>
  <si>
    <t>PARTICIPANTS</t>
  </si>
  <si>
    <t>MEASURES  INSTALLED</t>
  </si>
  <si>
    <t>ANNUAL  THERM  SAVINGS</t>
  </si>
  <si>
    <t>TOTAL  ANNUAL  THERM  SAVINGS</t>
  </si>
  <si>
    <t>MEASURE  INCREMENTAL  COST</t>
  </si>
  <si>
    <t>SOCIETAL  NEBS</t>
  </si>
  <si>
    <t>PARTICIPANT  NEBS</t>
  </si>
  <si>
    <t>TOTAL  INCREMENTAL  COST</t>
  </si>
  <si>
    <t>TOTAL  NET  INCREMENTAL  COST  WITH  NEBS</t>
  </si>
  <si>
    <t>MEASURE  LIFE</t>
  </si>
  <si>
    <t>TRC  DISCOUNTED  THERM  SAVINGS</t>
  </si>
  <si>
    <t>UCT  DISCOUNTED  THERM  SAVINGS</t>
  </si>
  <si>
    <t>PROGRAM  DELIVERY  &amp;  ADMIN</t>
  </si>
  <si>
    <t>PROGRAM  REBATE</t>
  </si>
  <si>
    <t>TOTAL  REBATES  COST</t>
  </si>
  <si>
    <t>UTILITY  COST</t>
  </si>
  <si>
    <t>UC  W/DELIVERY  &amp;  ADMIN</t>
  </si>
  <si>
    <t>LOADED  UTILITY  BENEFIT  TO  COST  RATIO</t>
  </si>
  <si>
    <t>TOTAL  RESOURCE  COST</t>
  </si>
  <si>
    <t>TRC  W/DELIVERY  &amp;  ADMIN</t>
  </si>
  <si>
    <t>LOADED  SOCIETAL  BENEFIT  TO  COST  RATIO</t>
  </si>
  <si>
    <t>Built Green Certified Home</t>
  </si>
  <si>
    <t>Certified from one to five stars</t>
  </si>
  <si>
    <t>Zone 1</t>
  </si>
  <si>
    <t>Zone 3</t>
  </si>
  <si>
    <t>Bundle A</t>
  </si>
  <si>
    <t>Zone 2</t>
  </si>
  <si>
    <t>Bundle B</t>
  </si>
  <si>
    <t>Ceiling or Attic Insulation</t>
  </si>
  <si>
    <t>Post R-38+</t>
  </si>
  <si>
    <t>Ceiling Tier I</t>
  </si>
  <si>
    <t>Tier 1: Post R-38+</t>
  </si>
  <si>
    <t>Ceiling Tier II</t>
  </si>
  <si>
    <t>Tier 2: Post R-49+</t>
  </si>
  <si>
    <t>Condensing High-Efficiency Natural Gas Tankless Water Heater</t>
  </si>
  <si>
    <t>0.91+ Energy Factor (EF) or Greater</t>
  </si>
  <si>
    <t>Convential High-Efficiency Natural Gas Water Heater</t>
  </si>
  <si>
    <t>0.67+ Energy Factor (EF) or Greater</t>
  </si>
  <si>
    <t>Energy Savings Kit 1</t>
  </si>
  <si>
    <t>One Low Flow Showerhead plus Aerators</t>
  </si>
  <si>
    <t>Energy Savings Kit 2</t>
  </si>
  <si>
    <t>Two Low Flow Showerhead plus Aerators</t>
  </si>
  <si>
    <t>ENERGY STAR Certified Homes + U.30 Window Glazing</t>
  </si>
  <si>
    <t>Certified HERS 75</t>
  </si>
  <si>
    <t>Floor Insulation</t>
  </si>
  <si>
    <t>Post R 30+, or to fill cavity</t>
  </si>
  <si>
    <t>High-Efficiency Combination Domestic Hot Water and Hydronic Space Heating System using pre-</t>
  </si>
  <si>
    <t>90+% Annual Fuel Utilization Efficiency (AFUE) Hydronic Space Heating &amp; DHW</t>
  </si>
  <si>
    <t>High-Efficiency Exterior Entry (not sliding) Door</t>
  </si>
  <si>
    <t>U-Factor &lt;0.21, Energy Star Door</t>
  </si>
  <si>
    <t>High-Efficiency Natural Gas Furnace</t>
  </si>
  <si>
    <t>95+% Annual Fuel Utilization Efficiency (AFUE)</t>
  </si>
  <si>
    <t>High-Efficiency Natural Gas Hearth (Fireplace)</t>
  </si>
  <si>
    <t>Tier 1: 70+% Fireplace Efficiency (FE)</t>
  </si>
  <si>
    <t>Tier 2: 80+% Annual Fuel Utilization Efficiency (AFUE)</t>
  </si>
  <si>
    <t>Programmable Thermostat</t>
  </si>
  <si>
    <t>Programmable</t>
  </si>
  <si>
    <t>Wall Insulation</t>
  </si>
  <si>
    <t>Post R-11+, or to fill cavity</t>
  </si>
  <si>
    <t>Whole House Residential Air Sealing</t>
  </si>
  <si>
    <t>Comprehensive shell air sealing / infiltration control: to achieve CFM of 1250</t>
  </si>
  <si>
    <t>Comprehensive shell air sealing / infiltration control: to achieve CFM of 1252</t>
  </si>
  <si>
    <t xml:space="preserve"> </t>
  </si>
  <si>
    <t>IRP Discount Rate</t>
  </si>
  <si>
    <t>Inflation Rate</t>
  </si>
  <si>
    <t>Long Term Discount Rate</t>
  </si>
  <si>
    <t>Total Res Program Admin</t>
  </si>
  <si>
    <t>CASCADE NATURAL GAS CORPORATION</t>
  </si>
  <si>
    <t>BASECASE - MEDIUM FORECAST - AVERAGE WEATHER</t>
  </si>
  <si>
    <t>45 YEAR RESOURCE SUMMARY COSTS - MELDED COST PER THERM</t>
  </si>
  <si>
    <t>YEAR</t>
  </si>
  <si>
    <t>IRP ANNUAL 
 PORTFOLIO 
 COST PER 
 THERM (PV)*</t>
  </si>
  <si>
    <t>NOMINAL 
 COST 
 PER 
 THERM</t>
  </si>
  <si>
    <t>PV OF 
 RESOURCE 
 PORTFOLIO 
 COST/THERM</t>
  </si>
  <si>
    <t>NON 
 ENERGY 
 BENEFIT</t>
  </si>
  <si>
    <t>PORTFOLIO 
 COSTS  WITH 
 CONSERVATION 
 CREDIT</t>
  </si>
  <si>
    <t>COST- 
 EFFECTIVENESS 
 LIMIT</t>
  </si>
  <si>
    <t>5%</t>
  </si>
  <si>
    <t>7.5%</t>
  </si>
  <si>
    <t>10%</t>
  </si>
  <si>
    <t>12.5%</t>
  </si>
  <si>
    <t>15%</t>
  </si>
  <si>
    <t>17.5%</t>
  </si>
  <si>
    <t>20%</t>
  </si>
  <si>
    <t>Cascade's Long Term Real Discount Rate:</t>
  </si>
  <si>
    <t>IRP Discount Rate :</t>
  </si>
  <si>
    <t>Revised Discount Rate:</t>
  </si>
  <si>
    <t>Years 21-45 Escalation:</t>
  </si>
  <si>
    <t>(EIA Inflation Rate)</t>
  </si>
  <si>
    <t>Direct Benefit to Customers</t>
  </si>
  <si>
    <t>Total Residential Non Energy Benefits</t>
  </si>
  <si>
    <t>2014 INTEGRATED RESOURCE PLAN</t>
  </si>
  <si>
    <t>IRP ANNUAL</t>
  </si>
  <si>
    <t xml:space="preserve">PV OF </t>
  </si>
  <si>
    <t xml:space="preserve">NON </t>
  </si>
  <si>
    <t>PORTFOLIO COSTS</t>
  </si>
  <si>
    <t>PORTFOLIO</t>
  </si>
  <si>
    <t>NOMINAL</t>
  </si>
  <si>
    <t>RESOURCE</t>
  </si>
  <si>
    <t xml:space="preserve">ENERGY </t>
  </si>
  <si>
    <t>WITH</t>
  </si>
  <si>
    <t>COST-</t>
  </si>
  <si>
    <t>COST PER</t>
  </si>
  <si>
    <t>BENEFIT</t>
  </si>
  <si>
    <t>CONSERVATION</t>
  </si>
  <si>
    <t>EFFECTIVENESS</t>
  </si>
  <si>
    <t>THERM (PV)*</t>
  </si>
  <si>
    <t>THERM</t>
  </si>
  <si>
    <t>COST/THERM</t>
  </si>
  <si>
    <t>CREDIT</t>
  </si>
  <si>
    <t>LIMIT</t>
  </si>
  <si>
    <t>IRP Discount Rate =</t>
  </si>
  <si>
    <t>Revised Discount Rate=</t>
  </si>
  <si>
    <t>Years 21-45 Escalation =</t>
  </si>
  <si>
    <t>TOTAL OLD PROGRAM</t>
  </si>
  <si>
    <t>TOTAL NEW PROGRAM</t>
  </si>
  <si>
    <t>TOTAL 2017 PROGRAM</t>
  </si>
  <si>
    <t>Note, the avoided costs are split based on the tariff change June 30, 2017, such that anything installed prior to the tariff utilizes the 2014 IRP avoided costs and measures installed post tariff change use the 2016 IRP avoided costs</t>
  </si>
  <si>
    <t>2016 INTEGRATED RESOURCE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</si>
</sst>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quot;$&quot;#,##0.00_);[Red]\(&quot;$&quot;#,##0.00\)"/>
    <numFmt numFmtId="44" formatCode="_(&quot;$&quot;* #,##0.00_);_(&quot;$&quot;* \(#,##0.00\);_(&quot;$&quot;* &quot;-&quot;??_);_(@_)"/>
    <numFmt numFmtId="164" formatCode="\$#,##0.00;\$\-#,##0.00"/>
    <numFmt numFmtId="165" formatCode="\$#,##0.00"/>
    <numFmt numFmtId="166" formatCode="\$#,##0.00;\$\(#,##0.00\)\ "/>
    <numFmt numFmtId="167" formatCode="\$#,##0.000"/>
    <numFmt numFmtId="168" formatCode="#,##0.000;\(#,##0.000\)\ "/>
    <numFmt numFmtId="169" formatCode="\$#,##0.000;\$\(#,##0.000\)\ "/>
    <numFmt numFmtId="170" formatCode="\$#,##0.000;\$\(#,##0.000\)"/>
    <numFmt numFmtId="171" formatCode="#,##0.000"/>
    <numFmt numFmtId="172" formatCode="\$#,##0.00;\$\(#,##0.00\)"/>
    <numFmt numFmtId="173" formatCode="#,##0.00%"/>
    <numFmt numFmtId="174" formatCode="\$#,##0.0000;\$\-#,##0.0000"/>
    <numFmt numFmtId="175" formatCode="\$#,##0.##;\$\-#,##0.##"/>
    <numFmt numFmtId="176" formatCode="&quot;$&quot;#,##0.00"/>
    <numFmt numFmtId="177" formatCode="_(&quot;$&quot;* #,##0.0000_);_(&quot;$&quot;* \(#,##0.0000\);_(&quot;$&quot;* &quot;-&quot;??_);_(@_)"/>
    <numFmt numFmtId="178" formatCode="&quot;$&quot;#,##0.0000_);[Red]\(&quot;$&quot;#,##0.0000\)"/>
    <numFmt numFmtId="179" formatCode="0.0%"/>
    <numFmt numFmtId="180" formatCode="0.000%"/>
    <numFmt numFmtId="181" formatCode="0.000"/>
  </numFmts>
  <fonts count="23" x14ac:knownFonts="1">
    <font>
      <sz val="11"/>
      <color theme="1"/>
      <name val="Calibri"/>
      <family val="2"/>
      <scheme val="minor"/>
    </font>
    <font>
      <b/>
      <sz val="15"/>
      <color rgb="FF3634E0"/>
      <name val="Arial"/>
      <family val="2"/>
    </font>
    <font>
      <b/>
      <sz val="21"/>
      <color rgb="FF058FFF"/>
      <name val="Arial"/>
      <family val="2"/>
    </font>
    <font>
      <b/>
      <sz val="17"/>
      <color rgb="FF058FFF"/>
      <name val="Arial"/>
      <family val="2"/>
    </font>
    <font>
      <b/>
      <sz val="23"/>
      <color rgb="FF058FFF"/>
      <name val="Arial"/>
      <family val="2"/>
    </font>
    <font>
      <b/>
      <sz val="10"/>
      <color rgb="FFFFFFFF"/>
      <name val="Arial"/>
      <family val="2"/>
    </font>
    <font>
      <sz val="10"/>
      <color rgb="FF000000"/>
      <name val="Arial"/>
      <family val="2"/>
    </font>
    <font>
      <b/>
      <sz val="11"/>
      <color rgb="FFFFFFFF"/>
      <name val="Arial"/>
      <family val="2"/>
    </font>
    <font>
      <b/>
      <sz val="10"/>
      <color rgb="FF000000"/>
      <name val="Arial"/>
      <family val="2"/>
    </font>
    <font>
      <b/>
      <sz val="11"/>
      <color rgb="FFA61712"/>
      <name val="Arial"/>
      <family val="2"/>
    </font>
    <font>
      <b/>
      <sz val="8"/>
      <color rgb="FF000000"/>
      <name val="Arial"/>
      <family val="2"/>
    </font>
    <font>
      <sz val="7.5"/>
      <color rgb="FF000000"/>
      <name val="Arial"/>
      <family val="2"/>
    </font>
    <font>
      <sz val="8"/>
      <color rgb="FF000000"/>
      <name val="Arial"/>
      <family val="2"/>
    </font>
    <font>
      <sz val="11"/>
      <color theme="1"/>
      <name val="Calibri"/>
      <family val="2"/>
      <scheme val="minor"/>
    </font>
    <font>
      <b/>
      <sz val="11"/>
      <color theme="1"/>
      <name val="Calibri"/>
      <family val="2"/>
      <scheme val="minor"/>
    </font>
    <font>
      <b/>
      <sz val="11"/>
      <name val="Arial"/>
      <family val="2"/>
    </font>
    <font>
      <sz val="10"/>
      <name val="Arial"/>
      <family val="2"/>
    </font>
    <font>
      <b/>
      <sz val="10"/>
      <name val="Arial"/>
      <family val="2"/>
    </font>
    <font>
      <sz val="10"/>
      <name val="Times New Roman"/>
      <family val="1"/>
    </font>
    <font>
      <i/>
      <sz val="11"/>
      <name val="Arial"/>
      <family val="2"/>
    </font>
    <font>
      <b/>
      <i/>
      <sz val="11"/>
      <color rgb="FFC00000"/>
      <name val="Arial"/>
      <family val="2"/>
    </font>
    <font>
      <sz val="9"/>
      <color indexed="81"/>
      <name val="Tahoma"/>
      <charset val="1"/>
    </font>
    <font>
      <b/>
      <sz val="9"/>
      <color indexed="81"/>
      <name val="Tahoma"/>
      <charset val="1"/>
    </font>
  </fonts>
  <fills count="52">
    <fill>
      <patternFill patternType="none"/>
    </fill>
    <fill>
      <patternFill patternType="gray125"/>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solid">
        <fgColor rgb="FFF89842"/>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s>
  <borders count="13">
    <border>
      <left/>
      <right/>
      <top/>
      <bottom/>
      <diagonal/>
    </border>
    <border>
      <left style="medium">
        <color rgb="FFD6D2D2"/>
      </left>
      <right style="medium">
        <color rgb="FFD6D2D2"/>
      </right>
      <top style="medium">
        <color rgb="FFD6D2D2"/>
      </top>
      <bottom style="medium">
        <color rgb="FFD6D2D2"/>
      </bottom>
      <diagonal/>
    </border>
    <border>
      <left style="thick">
        <color rgb="FFD6D2D2"/>
      </left>
      <right style="medium">
        <color rgb="FFD6D2D2"/>
      </right>
      <top/>
      <bottom/>
      <diagonal/>
    </border>
    <border>
      <left style="medium">
        <color rgb="FFD6D2D2"/>
      </left>
      <right style="medium">
        <color rgb="FFD6D2D2"/>
      </right>
      <top/>
      <bottom/>
      <diagonal/>
    </border>
    <border>
      <left/>
      <right/>
      <top/>
      <bottom/>
      <diagonal/>
    </border>
    <border>
      <left style="thin">
        <color rgb="FFC2BABA"/>
      </left>
      <right style="thin">
        <color rgb="FFC2BABA"/>
      </right>
      <top style="thin">
        <color rgb="FFC2BABA"/>
      </top>
      <bottom style="thin">
        <color rgb="FFC2BABA"/>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rgb="FFD6D2D2"/>
      </left>
      <right/>
      <top/>
      <bottom/>
      <diagonal/>
    </border>
    <border>
      <left/>
      <right style="medium">
        <color rgb="FFD6D2D2"/>
      </right>
      <top/>
      <bottom/>
      <diagonal/>
    </border>
    <border>
      <left style="medium">
        <color rgb="FFD6D2D2"/>
      </left>
      <right style="medium">
        <color rgb="FFD6D2D2"/>
      </right>
      <top style="medium">
        <color rgb="FFD6D2D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44" fontId="13" fillId="0" borderId="0" applyFont="0" applyFill="0" applyBorder="0" applyAlignment="0" applyProtection="0"/>
    <xf numFmtId="0" fontId="13" fillId="46" borderId="4"/>
    <xf numFmtId="44" fontId="13" fillId="46" borderId="4" applyFont="0" applyFill="0" applyBorder="0" applyAlignment="0" applyProtection="0"/>
    <xf numFmtId="0" fontId="16" fillId="46" borderId="4"/>
    <xf numFmtId="0" fontId="13" fillId="46" borderId="4"/>
    <xf numFmtId="0" fontId="16" fillId="46" borderId="4"/>
    <xf numFmtId="44" fontId="18" fillId="46" borderId="4" applyFont="0" applyFill="0" applyBorder="0" applyAlignment="0" applyProtection="0"/>
    <xf numFmtId="9" fontId="18" fillId="46" borderId="4" applyFont="0" applyFill="0" applyBorder="0" applyAlignment="0" applyProtection="0"/>
    <xf numFmtId="44" fontId="18" fillId="46" borderId="4" applyFont="0" applyFill="0" applyBorder="0" applyAlignment="0" applyProtection="0"/>
    <xf numFmtId="9" fontId="13" fillId="0" borderId="0" applyFont="0" applyFill="0" applyBorder="0" applyAlignment="0" applyProtection="0"/>
  </cellStyleXfs>
  <cellXfs count="151">
    <xf numFmtId="0" fontId="0" fillId="0" borderId="0" xfId="0"/>
    <xf numFmtId="0" fontId="1" fillId="2" borderId="1" xfId="0" applyNumberFormat="1" applyFont="1" applyFill="1" applyBorder="1" applyAlignment="1" applyProtection="1">
      <alignment horizontal="left" vertical="center" wrapText="1"/>
    </xf>
    <xf numFmtId="0" fontId="7" fillId="10" borderId="3" xfId="0" applyNumberFormat="1" applyFont="1" applyFill="1" applyBorder="1" applyAlignment="1" applyProtection="1">
      <alignment horizontal="center" vertical="center" wrapText="1"/>
    </xf>
    <xf numFmtId="3" fontId="7" fillId="11" borderId="1" xfId="0" applyNumberFormat="1" applyFont="1" applyFill="1" applyBorder="1" applyAlignment="1" applyProtection="1">
      <alignment horizontal="center" vertical="center" wrapText="1"/>
    </xf>
    <xf numFmtId="4" fontId="7" fillId="12" borderId="3" xfId="0" applyNumberFormat="1" applyFont="1" applyFill="1" applyBorder="1" applyAlignment="1" applyProtection="1">
      <alignment horizontal="center" vertical="center" wrapText="1"/>
    </xf>
    <xf numFmtId="172" fontId="7" fillId="14" borderId="3" xfId="0" applyNumberFormat="1" applyFont="1" applyFill="1" applyBorder="1" applyAlignment="1" applyProtection="1">
      <alignment horizontal="center" vertical="center" wrapText="1"/>
    </xf>
    <xf numFmtId="0" fontId="8" fillId="19" borderId="4" xfId="0" applyNumberFormat="1" applyFont="1" applyFill="1" applyBorder="1" applyAlignment="1" applyProtection="1">
      <alignment horizontal="center" vertical="center" wrapText="1"/>
    </xf>
    <xf numFmtId="0" fontId="0" fillId="20" borderId="0" xfId="0" applyNumberFormat="1" applyFont="1" applyFill="1" applyBorder="1" applyAlignment="1" applyProtection="1">
      <alignment wrapText="1"/>
      <protection locked="0"/>
    </xf>
    <xf numFmtId="173" fontId="9" fillId="22" borderId="1" xfId="0" applyNumberFormat="1" applyFont="1" applyFill="1" applyBorder="1" applyAlignment="1" applyProtection="1">
      <alignment horizontal="left" vertical="center" wrapText="1"/>
    </xf>
    <xf numFmtId="164" fontId="9" fillId="23" borderId="1" xfId="0" applyNumberFormat="1" applyFont="1" applyFill="1" applyBorder="1" applyAlignment="1" applyProtection="1">
      <alignment horizontal="left" vertical="center" wrapText="1"/>
    </xf>
    <xf numFmtId="0" fontId="6" fillId="29" borderId="4" xfId="0" applyNumberFormat="1" applyFont="1" applyFill="1" applyBorder="1" applyAlignment="1" applyProtection="1">
      <alignment horizontal="center" vertical="center" wrapText="1"/>
    </xf>
    <xf numFmtId="0" fontId="11" fillId="30" borderId="6" xfId="0" applyNumberFormat="1" applyFont="1" applyFill="1" applyBorder="1" applyAlignment="1" applyProtection="1">
      <alignment horizontal="center" vertical="center" wrapText="1"/>
    </xf>
    <xf numFmtId="0" fontId="12" fillId="31" borderId="6" xfId="0" applyNumberFormat="1" applyFont="1" applyFill="1" applyBorder="1" applyAlignment="1" applyProtection="1">
      <alignment horizontal="center" vertical="center" wrapText="1"/>
    </xf>
    <xf numFmtId="0" fontId="12" fillId="32" borderId="6" xfId="0" applyNumberFormat="1" applyFont="1" applyFill="1" applyBorder="1" applyAlignment="1" applyProtection="1">
      <alignment horizontal="center" vertical="center" wrapText="1"/>
    </xf>
    <xf numFmtId="164" fontId="12" fillId="33" borderId="6" xfId="0" applyNumberFormat="1" applyFont="1" applyFill="1" applyBorder="1" applyAlignment="1" applyProtection="1">
      <alignment horizontal="center" vertical="center" wrapText="1"/>
    </xf>
    <xf numFmtId="174" fontId="12" fillId="34" borderId="6" xfId="0" applyNumberFormat="1" applyFont="1" applyFill="1" applyBorder="1" applyAlignment="1" applyProtection="1">
      <alignment horizontal="center" vertical="center" wrapText="1"/>
    </xf>
    <xf numFmtId="175" fontId="12" fillId="35" borderId="6" xfId="0" applyNumberFormat="1" applyFont="1" applyFill="1" applyBorder="1" applyAlignment="1" applyProtection="1">
      <alignment horizontal="center" vertical="center" wrapText="1"/>
    </xf>
    <xf numFmtId="0" fontId="10" fillId="36" borderId="6" xfId="0" applyNumberFormat="1" applyFont="1" applyFill="1" applyBorder="1" applyAlignment="1" applyProtection="1">
      <alignment horizontal="center" vertical="center" wrapText="1"/>
    </xf>
    <xf numFmtId="0" fontId="12" fillId="39" borderId="5" xfId="0" applyNumberFormat="1" applyFont="1" applyFill="1" applyBorder="1" applyAlignment="1" applyProtection="1">
      <alignment horizontal="center" vertical="center" wrapText="1"/>
    </xf>
    <xf numFmtId="173" fontId="12" fillId="42" borderId="5" xfId="0" applyNumberFormat="1" applyFont="1" applyFill="1" applyBorder="1" applyAlignment="1" applyProtection="1">
      <alignment horizontal="center" vertical="center" wrapText="1"/>
    </xf>
    <xf numFmtId="0" fontId="0" fillId="0" borderId="0" xfId="0" applyFill="1"/>
    <xf numFmtId="0" fontId="5" fillId="47" borderId="2" xfId="0" applyNumberFormat="1" applyFont="1" applyFill="1" applyBorder="1" applyAlignment="1" applyProtection="1">
      <alignment horizontal="center" vertical="center" wrapText="1"/>
    </xf>
    <xf numFmtId="0" fontId="7" fillId="10" borderId="8" xfId="0" applyNumberFormat="1" applyFont="1" applyFill="1" applyBorder="1" applyAlignment="1" applyProtection="1">
      <alignment horizontal="center" vertical="center" wrapText="1"/>
    </xf>
    <xf numFmtId="172" fontId="7" fillId="14" borderId="9" xfId="0" applyNumberFormat="1" applyFont="1" applyFill="1" applyBorder="1" applyAlignment="1" applyProtection="1">
      <alignment horizontal="center" vertical="center" wrapText="1"/>
    </xf>
    <xf numFmtId="0" fontId="15" fillId="21" borderId="1" xfId="0" applyNumberFormat="1" applyFont="1" applyFill="1" applyBorder="1" applyAlignment="1" applyProtection="1">
      <alignment horizontal="center" vertical="center" wrapText="1"/>
    </xf>
    <xf numFmtId="0" fontId="15" fillId="24" borderId="4" xfId="0" applyNumberFormat="1" applyFont="1" applyFill="1" applyBorder="1" applyAlignment="1" applyProtection="1">
      <alignment horizontal="center" vertical="center" wrapText="1"/>
    </xf>
    <xf numFmtId="44" fontId="15" fillId="20" borderId="0" xfId="1" applyNumberFormat="1" applyFont="1" applyFill="1" applyBorder="1" applyAlignment="1" applyProtection="1">
      <alignment horizontal="left" vertical="center" wrapText="1"/>
      <protection locked="0"/>
    </xf>
    <xf numFmtId="168" fontId="7" fillId="17" borderId="3" xfId="0" applyNumberFormat="1" applyFont="1" applyFill="1" applyBorder="1" applyAlignment="1" applyProtection="1">
      <alignment horizontal="center" vertical="center" wrapText="1"/>
    </xf>
    <xf numFmtId="0" fontId="17" fillId="46" borderId="4" xfId="4" applyFont="1" applyAlignment="1">
      <alignment horizontal="center"/>
    </xf>
    <xf numFmtId="0" fontId="16" fillId="46" borderId="4" xfId="4" applyAlignment="1">
      <alignment horizontal="center"/>
    </xf>
    <xf numFmtId="0" fontId="16" fillId="46" borderId="11" xfId="4" applyBorder="1" applyAlignment="1">
      <alignment horizontal="center"/>
    </xf>
    <xf numFmtId="0" fontId="13" fillId="46" borderId="12" xfId="5" applyFill="1" applyBorder="1"/>
    <xf numFmtId="0" fontId="16" fillId="46" borderId="4" xfId="6" applyFont="1" applyFill="1"/>
    <xf numFmtId="44" fontId="16" fillId="46" borderId="4" xfId="7" applyFont="1" applyAlignment="1">
      <alignment horizontal="center"/>
    </xf>
    <xf numFmtId="44" fontId="16" fillId="46" borderId="4" xfId="4" applyNumberFormat="1" applyAlignment="1">
      <alignment horizontal="center"/>
    </xf>
    <xf numFmtId="8" fontId="16" fillId="46" borderId="4" xfId="4" applyNumberFormat="1" applyAlignment="1">
      <alignment horizontal="center"/>
    </xf>
    <xf numFmtId="9" fontId="16" fillId="46" borderId="4" xfId="8" applyFont="1" applyAlignment="1">
      <alignment horizontal="center"/>
    </xf>
    <xf numFmtId="177" fontId="18" fillId="46" borderId="4" xfId="9" applyNumberFormat="1" applyFont="1" applyFill="1"/>
    <xf numFmtId="178" fontId="16" fillId="46" borderId="4" xfId="6" applyNumberFormat="1" applyFont="1" applyFill="1" applyAlignment="1">
      <alignment horizontal="center"/>
    </xf>
    <xf numFmtId="44" fontId="16" fillId="46" borderId="4" xfId="6" applyNumberFormat="1" applyFont="1" applyFill="1"/>
    <xf numFmtId="0" fontId="16" fillId="46" borderId="4" xfId="4"/>
    <xf numFmtId="44" fontId="16" fillId="46" borderId="4" xfId="8" applyNumberFormat="1" applyFont="1" applyFill="1"/>
    <xf numFmtId="0" fontId="17" fillId="46" borderId="12" xfId="5" applyFont="1" applyFill="1" applyBorder="1"/>
    <xf numFmtId="179" fontId="16" fillId="46" borderId="4" xfId="8" applyNumberFormat="1" applyFont="1" applyAlignment="1">
      <alignment horizontal="center"/>
    </xf>
    <xf numFmtId="178" fontId="16" fillId="46" borderId="4" xfId="4" applyNumberFormat="1" applyAlignment="1">
      <alignment horizontal="center"/>
    </xf>
    <xf numFmtId="0" fontId="17" fillId="46" borderId="4" xfId="4" applyFont="1"/>
    <xf numFmtId="180" fontId="16" fillId="46" borderId="4" xfId="8" applyNumberFormat="1" applyFont="1"/>
    <xf numFmtId="180" fontId="16" fillId="46" borderId="4" xfId="6" applyNumberFormat="1"/>
    <xf numFmtId="10" fontId="16" fillId="46" borderId="4" xfId="6" applyNumberFormat="1"/>
    <xf numFmtId="10" fontId="16" fillId="46" borderId="4" xfId="8" applyNumberFormat="1" applyFont="1"/>
    <xf numFmtId="0" fontId="0" fillId="48" borderId="0" xfId="0" applyFill="1"/>
    <xf numFmtId="172" fontId="7" fillId="14" borderId="4" xfId="0" applyNumberFormat="1" applyFont="1" applyFill="1" applyBorder="1" applyAlignment="1" applyProtection="1">
      <alignment horizontal="center" vertical="center" wrapText="1"/>
    </xf>
    <xf numFmtId="3" fontId="7" fillId="12" borderId="3" xfId="0" applyNumberFormat="1" applyFont="1" applyFill="1" applyBorder="1" applyAlignment="1" applyProtection="1">
      <alignment horizontal="center" vertical="center" wrapText="1"/>
    </xf>
    <xf numFmtId="0" fontId="7" fillId="49" borderId="3" xfId="0" applyNumberFormat="1" applyFont="1" applyFill="1" applyBorder="1" applyAlignment="1" applyProtection="1">
      <alignment horizontal="center" vertical="center" wrapText="1"/>
    </xf>
    <xf numFmtId="3" fontId="7" fillId="49" borderId="1" xfId="0" applyNumberFormat="1" applyFont="1" applyFill="1" applyBorder="1" applyAlignment="1" applyProtection="1">
      <alignment horizontal="center" vertical="center" wrapText="1"/>
    </xf>
    <xf numFmtId="3" fontId="7" fillId="49" borderId="3" xfId="0" applyNumberFormat="1" applyFont="1" applyFill="1" applyBorder="1" applyAlignment="1" applyProtection="1">
      <alignment horizontal="center" vertical="center" wrapText="1"/>
    </xf>
    <xf numFmtId="172" fontId="7" fillId="49" borderId="3" xfId="0" applyNumberFormat="1" applyFont="1" applyFill="1" applyBorder="1" applyAlignment="1" applyProtection="1">
      <alignment horizontal="center" vertical="center" wrapText="1"/>
    </xf>
    <xf numFmtId="4" fontId="7" fillId="49" borderId="3" xfId="0" applyNumberFormat="1" applyFont="1" applyFill="1" applyBorder="1" applyAlignment="1" applyProtection="1">
      <alignment horizontal="center" vertical="center" wrapText="1"/>
    </xf>
    <xf numFmtId="0" fontId="7" fillId="49" borderId="8" xfId="0" applyNumberFormat="1" applyFont="1" applyFill="1" applyBorder="1" applyAlignment="1" applyProtection="1">
      <alignment horizontal="center" vertical="center" wrapText="1"/>
    </xf>
    <xf numFmtId="172" fontId="7" fillId="49" borderId="4" xfId="0" applyNumberFormat="1" applyFont="1" applyFill="1" applyBorder="1" applyAlignment="1" applyProtection="1">
      <alignment horizontal="center" vertical="center" wrapText="1"/>
    </xf>
    <xf numFmtId="172" fontId="7" fillId="49" borderId="9" xfId="0" applyNumberFormat="1" applyFont="1" applyFill="1" applyBorder="1" applyAlignment="1" applyProtection="1">
      <alignment horizontal="center" vertical="center" wrapText="1"/>
    </xf>
    <xf numFmtId="168" fontId="7" fillId="49" borderId="3" xfId="0" applyNumberFormat="1" applyFont="1" applyFill="1" applyBorder="1" applyAlignment="1" applyProtection="1">
      <alignment horizontal="center" vertical="center" wrapText="1"/>
    </xf>
    <xf numFmtId="0" fontId="7" fillId="49" borderId="1" xfId="0" applyNumberFormat="1" applyFont="1" applyFill="1" applyBorder="1" applyAlignment="1" applyProtection="1">
      <alignment horizontal="center" vertical="center" wrapText="1"/>
    </xf>
    <xf numFmtId="172" fontId="7" fillId="49" borderId="1" xfId="0" applyNumberFormat="1" applyFont="1" applyFill="1" applyBorder="1" applyAlignment="1" applyProtection="1">
      <alignment horizontal="center" vertical="center" wrapText="1"/>
    </xf>
    <xf numFmtId="0" fontId="7" fillId="9" borderId="1" xfId="0" applyNumberFormat="1" applyFont="1" applyFill="1" applyBorder="1" applyAlignment="1" applyProtection="1">
      <alignment horizontal="center" vertical="center" wrapText="1"/>
    </xf>
    <xf numFmtId="3" fontId="7" fillId="13" borderId="1" xfId="0" applyNumberFormat="1" applyFont="1" applyFill="1" applyBorder="1" applyAlignment="1" applyProtection="1">
      <alignment horizontal="center" vertical="center" wrapText="1"/>
    </xf>
    <xf numFmtId="3" fontId="7" fillId="15" borderId="1" xfId="0" applyNumberFormat="1" applyFont="1" applyFill="1" applyBorder="1" applyAlignment="1" applyProtection="1">
      <alignment horizontal="center" vertical="center" wrapText="1"/>
    </xf>
    <xf numFmtId="172" fontId="7" fillId="16" borderId="1" xfId="0" applyNumberFormat="1" applyFont="1" applyFill="1" applyBorder="1" applyAlignment="1" applyProtection="1">
      <alignment horizontal="center" vertical="center" wrapText="1"/>
    </xf>
    <xf numFmtId="0" fontId="0" fillId="0" borderId="0" xfId="0" applyFont="1"/>
    <xf numFmtId="0" fontId="7" fillId="0" borderId="1"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3" fontId="7" fillId="0" borderId="1" xfId="0" applyNumberFormat="1" applyFont="1" applyFill="1" applyBorder="1" applyAlignment="1" applyProtection="1">
      <alignment horizontal="center" vertical="center" wrapText="1"/>
    </xf>
    <xf numFmtId="3" fontId="7" fillId="0" borderId="3" xfId="0" applyNumberFormat="1" applyFont="1" applyFill="1" applyBorder="1" applyAlignment="1" applyProtection="1">
      <alignment horizontal="center" vertical="center" wrapText="1"/>
    </xf>
    <xf numFmtId="172" fontId="7" fillId="0" borderId="3" xfId="0" applyNumberFormat="1" applyFont="1" applyFill="1" applyBorder="1" applyAlignment="1" applyProtection="1">
      <alignment horizontal="center" vertical="center" wrapText="1"/>
    </xf>
    <xf numFmtId="4" fontId="7" fillId="0" borderId="3" xfId="0" applyNumberFormat="1" applyFont="1" applyFill="1" applyBorder="1" applyAlignment="1" applyProtection="1">
      <alignment horizontal="center" vertical="center" wrapText="1"/>
    </xf>
    <xf numFmtId="172" fontId="7" fillId="0" borderId="1" xfId="0" applyNumberFormat="1" applyFont="1" applyFill="1" applyBorder="1" applyAlignment="1" applyProtection="1">
      <alignment horizontal="center" vertical="center" wrapText="1"/>
    </xf>
    <xf numFmtId="0" fontId="7" fillId="0" borderId="8" xfId="0" applyNumberFormat="1" applyFont="1" applyFill="1" applyBorder="1" applyAlignment="1" applyProtection="1">
      <alignment horizontal="center" vertical="center" wrapText="1"/>
    </xf>
    <xf numFmtId="172" fontId="7" fillId="0" borderId="4" xfId="0" applyNumberFormat="1" applyFont="1" applyFill="1" applyBorder="1" applyAlignment="1" applyProtection="1">
      <alignment horizontal="center" vertical="center" wrapText="1"/>
    </xf>
    <xf numFmtId="172" fontId="7" fillId="0" borderId="9" xfId="0" applyNumberFormat="1" applyFont="1" applyFill="1" applyBorder="1" applyAlignment="1" applyProtection="1">
      <alignment horizontal="center" vertical="center" wrapText="1"/>
    </xf>
    <xf numFmtId="0" fontId="0" fillId="0" borderId="0" xfId="0" applyFont="1" applyFill="1"/>
    <xf numFmtId="0" fontId="7" fillId="47" borderId="1" xfId="0" applyNumberFormat="1" applyFont="1" applyFill="1" applyBorder="1" applyAlignment="1" applyProtection="1">
      <alignment horizontal="center" vertical="center" wrapText="1"/>
    </xf>
    <xf numFmtId="0" fontId="7" fillId="47" borderId="3" xfId="0" applyNumberFormat="1" applyFont="1" applyFill="1" applyBorder="1" applyAlignment="1" applyProtection="1">
      <alignment horizontal="center" vertical="center" wrapText="1"/>
    </xf>
    <xf numFmtId="3" fontId="7" fillId="47" borderId="1" xfId="0" applyNumberFormat="1" applyFont="1" applyFill="1" applyBorder="1" applyAlignment="1" applyProtection="1">
      <alignment horizontal="center" vertical="center" wrapText="1"/>
    </xf>
    <xf numFmtId="172" fontId="7" fillId="47" borderId="3" xfId="0" applyNumberFormat="1" applyFont="1" applyFill="1" applyBorder="1" applyAlignment="1" applyProtection="1">
      <alignment horizontal="center" vertical="center" wrapText="1"/>
    </xf>
    <xf numFmtId="4" fontId="7" fillId="47" borderId="3" xfId="0" applyNumberFormat="1" applyFont="1" applyFill="1" applyBorder="1" applyAlignment="1" applyProtection="1">
      <alignment horizontal="center" vertical="center" wrapText="1"/>
    </xf>
    <xf numFmtId="172" fontId="7" fillId="47" borderId="1" xfId="0" applyNumberFormat="1" applyFont="1" applyFill="1" applyBorder="1" applyAlignment="1" applyProtection="1">
      <alignment horizontal="center" vertical="center" wrapText="1"/>
    </xf>
    <xf numFmtId="0" fontId="7" fillId="47" borderId="8" xfId="0" applyNumberFormat="1" applyFont="1" applyFill="1" applyBorder="1" applyAlignment="1" applyProtection="1">
      <alignment horizontal="center" vertical="center" wrapText="1"/>
    </xf>
    <xf numFmtId="172" fontId="7" fillId="47" borderId="4" xfId="0" applyNumberFormat="1" applyFont="1" applyFill="1" applyBorder="1" applyAlignment="1" applyProtection="1">
      <alignment horizontal="center" vertical="center" wrapText="1"/>
    </xf>
    <xf numFmtId="168" fontId="7" fillId="47" borderId="3" xfId="0" applyNumberFormat="1" applyFont="1" applyFill="1" applyBorder="1" applyAlignment="1" applyProtection="1">
      <alignment horizontal="center" vertical="center" wrapText="1"/>
    </xf>
    <xf numFmtId="181" fontId="7" fillId="49" borderId="3" xfId="0" applyNumberFormat="1" applyFont="1" applyFill="1" applyBorder="1" applyAlignment="1" applyProtection="1">
      <alignment horizontal="center" vertical="center" wrapText="1"/>
    </xf>
    <xf numFmtId="176" fontId="7" fillId="47" borderId="3" xfId="0" applyNumberFormat="1" applyFont="1" applyFill="1" applyBorder="1" applyAlignment="1" applyProtection="1">
      <alignment horizontal="center" vertical="center" wrapText="1"/>
    </xf>
    <xf numFmtId="0" fontId="6" fillId="51" borderId="1" xfId="0" applyNumberFormat="1" applyFont="1" applyFill="1" applyBorder="1" applyAlignment="1" applyProtection="1">
      <alignment horizontal="center" vertical="center" wrapText="1"/>
    </xf>
    <xf numFmtId="3" fontId="6" fillId="51" borderId="1" xfId="0" applyNumberFormat="1" applyFont="1" applyFill="1" applyBorder="1" applyAlignment="1" applyProtection="1">
      <alignment horizontal="center" vertical="center" wrapText="1"/>
    </xf>
    <xf numFmtId="164" fontId="6" fillId="51" borderId="1" xfId="0" applyNumberFormat="1" applyFont="1" applyFill="1" applyBorder="1" applyAlignment="1" applyProtection="1">
      <alignment horizontal="center" vertical="center" wrapText="1"/>
    </xf>
    <xf numFmtId="165" fontId="6" fillId="51" borderId="1" xfId="0" applyNumberFormat="1" applyFont="1" applyFill="1" applyBorder="1" applyAlignment="1" applyProtection="1">
      <alignment horizontal="center" vertical="center" wrapText="1"/>
    </xf>
    <xf numFmtId="166" fontId="6" fillId="51" borderId="1" xfId="0" applyNumberFormat="1" applyFont="1" applyFill="1" applyBorder="1" applyAlignment="1" applyProtection="1">
      <alignment horizontal="center" vertical="center" wrapText="1"/>
    </xf>
    <xf numFmtId="4" fontId="6" fillId="51" borderId="1" xfId="0" applyNumberFormat="1" applyFont="1" applyFill="1" applyBorder="1" applyAlignment="1" applyProtection="1">
      <alignment horizontal="center" vertical="center" wrapText="1"/>
    </xf>
    <xf numFmtId="167" fontId="6" fillId="51" borderId="1" xfId="0" applyNumberFormat="1" applyFont="1" applyFill="1" applyBorder="1" applyAlignment="1" applyProtection="1">
      <alignment horizontal="center" vertical="center" wrapText="1"/>
    </xf>
    <xf numFmtId="168" fontId="6" fillId="51" borderId="1" xfId="0" applyNumberFormat="1" applyFont="1" applyFill="1" applyBorder="1" applyAlignment="1" applyProtection="1">
      <alignment horizontal="center" vertical="center" wrapText="1"/>
    </xf>
    <xf numFmtId="169" fontId="6" fillId="51" borderId="1" xfId="0" applyNumberFormat="1" applyFont="1" applyFill="1" applyBorder="1" applyAlignment="1" applyProtection="1">
      <alignment horizontal="center" vertical="center" wrapText="1"/>
    </xf>
    <xf numFmtId="170" fontId="6" fillId="51" borderId="1" xfId="0" applyNumberFormat="1" applyFont="1" applyFill="1" applyBorder="1" applyAlignment="1" applyProtection="1">
      <alignment horizontal="center" vertical="center" wrapText="1"/>
    </xf>
    <xf numFmtId="171" fontId="6" fillId="51" borderId="1" xfId="0" applyNumberFormat="1" applyFont="1" applyFill="1" applyBorder="1" applyAlignment="1" applyProtection="1">
      <alignment horizontal="center" vertical="center" wrapText="1"/>
    </xf>
    <xf numFmtId="165" fontId="6" fillId="51" borderId="10" xfId="0" applyNumberFormat="1" applyFont="1" applyFill="1" applyBorder="1" applyAlignment="1" applyProtection="1">
      <alignment horizontal="center" vertical="center" wrapText="1"/>
    </xf>
    <xf numFmtId="0" fontId="6" fillId="50" borderId="1" xfId="0" applyNumberFormat="1" applyFont="1" applyFill="1" applyBorder="1" applyAlignment="1" applyProtection="1">
      <alignment horizontal="center" vertical="center" wrapText="1"/>
    </xf>
    <xf numFmtId="3" fontId="6" fillId="50" borderId="1" xfId="0" applyNumberFormat="1" applyFont="1" applyFill="1" applyBorder="1" applyAlignment="1" applyProtection="1">
      <alignment horizontal="center" vertical="center" wrapText="1"/>
    </xf>
    <xf numFmtId="164" fontId="6" fillId="50" borderId="1" xfId="0" applyNumberFormat="1" applyFont="1" applyFill="1" applyBorder="1" applyAlignment="1" applyProtection="1">
      <alignment horizontal="center" vertical="center" wrapText="1"/>
    </xf>
    <xf numFmtId="165" fontId="6" fillId="50" borderId="1" xfId="0" applyNumberFormat="1" applyFont="1" applyFill="1" applyBorder="1" applyAlignment="1" applyProtection="1">
      <alignment horizontal="center" vertical="center" wrapText="1"/>
    </xf>
    <xf numFmtId="166" fontId="6" fillId="50" borderId="1" xfId="0" applyNumberFormat="1" applyFont="1" applyFill="1" applyBorder="1" applyAlignment="1" applyProtection="1">
      <alignment horizontal="center" vertical="center" wrapText="1"/>
    </xf>
    <xf numFmtId="4" fontId="6" fillId="50" borderId="1" xfId="0" applyNumberFormat="1" applyFont="1" applyFill="1" applyBorder="1" applyAlignment="1" applyProtection="1">
      <alignment horizontal="center" vertical="center" wrapText="1"/>
    </xf>
    <xf numFmtId="167" fontId="6" fillId="50" borderId="1" xfId="0" applyNumberFormat="1" applyFont="1" applyFill="1" applyBorder="1" applyAlignment="1" applyProtection="1">
      <alignment horizontal="center" vertical="center" wrapText="1"/>
    </xf>
    <xf numFmtId="168" fontId="6" fillId="50" borderId="1" xfId="0" applyNumberFormat="1" applyFont="1" applyFill="1" applyBorder="1" applyAlignment="1" applyProtection="1">
      <alignment horizontal="center" vertical="center" wrapText="1"/>
    </xf>
    <xf numFmtId="169" fontId="6" fillId="50" borderId="1" xfId="0" applyNumberFormat="1" applyFont="1" applyFill="1" applyBorder="1" applyAlignment="1" applyProtection="1">
      <alignment horizontal="center" vertical="center" wrapText="1"/>
    </xf>
    <xf numFmtId="170" fontId="6" fillId="50" borderId="1" xfId="0" applyNumberFormat="1" applyFont="1" applyFill="1" applyBorder="1" applyAlignment="1" applyProtection="1">
      <alignment horizontal="center" vertical="center" wrapText="1"/>
    </xf>
    <xf numFmtId="171" fontId="6" fillId="50" borderId="1" xfId="0" applyNumberFormat="1" applyFont="1" applyFill="1" applyBorder="1" applyAlignment="1" applyProtection="1">
      <alignment horizontal="center" vertical="center" wrapText="1"/>
    </xf>
    <xf numFmtId="165" fontId="6" fillId="50" borderId="10" xfId="0" applyNumberFormat="1" applyFont="1" applyFill="1" applyBorder="1" applyAlignment="1" applyProtection="1">
      <alignment horizontal="center" vertical="center" wrapText="1"/>
    </xf>
    <xf numFmtId="181" fontId="7" fillId="0" borderId="3" xfId="0" applyNumberFormat="1" applyFont="1" applyFill="1" applyBorder="1" applyAlignment="1" applyProtection="1">
      <alignment horizontal="center" vertical="center" wrapText="1"/>
    </xf>
    <xf numFmtId="0" fontId="19" fillId="48" borderId="7" xfId="0" applyNumberFormat="1" applyFont="1" applyFill="1" applyBorder="1" applyAlignment="1" applyProtection="1">
      <alignment horizontal="center" vertical="center" wrapText="1"/>
    </xf>
    <xf numFmtId="0" fontId="14" fillId="20" borderId="0" xfId="0" applyNumberFormat="1" applyFont="1" applyFill="1" applyBorder="1" applyAlignment="1" applyProtection="1">
      <alignment horizontal="left" wrapText="1"/>
      <protection locked="0"/>
    </xf>
    <xf numFmtId="0" fontId="0" fillId="20" borderId="0" xfId="0" applyNumberFormat="1" applyFont="1" applyFill="1" applyBorder="1" applyAlignment="1" applyProtection="1">
      <alignment horizontal="left" wrapText="1"/>
      <protection locked="0"/>
    </xf>
    <xf numFmtId="10" fontId="20" fillId="20" borderId="0" xfId="10" applyNumberFormat="1" applyFont="1" applyFill="1" applyBorder="1" applyAlignment="1" applyProtection="1">
      <alignment horizontal="left" wrapText="1"/>
      <protection locked="0"/>
    </xf>
    <xf numFmtId="168" fontId="6" fillId="51" borderId="1" xfId="0" applyNumberFormat="1" applyFont="1" applyFill="1" applyBorder="1" applyAlignment="1" applyProtection="1">
      <alignment horizontal="center" vertical="center" wrapText="1"/>
    </xf>
    <xf numFmtId="0" fontId="6" fillId="51" borderId="1" xfId="0" applyNumberFormat="1" applyFont="1" applyFill="1" applyBorder="1" applyAlignment="1" applyProtection="1">
      <alignment horizontal="center" vertical="center" wrapText="1"/>
      <protection locked="0"/>
    </xf>
    <xf numFmtId="168" fontId="7" fillId="47" borderId="3" xfId="0" applyNumberFormat="1" applyFont="1" applyFill="1" applyBorder="1" applyAlignment="1" applyProtection="1">
      <alignment horizontal="center" vertical="center" wrapText="1"/>
    </xf>
    <xf numFmtId="0" fontId="7" fillId="47" borderId="3" xfId="0" applyNumberFormat="1" applyFont="1" applyFill="1" applyBorder="1" applyAlignment="1" applyProtection="1">
      <alignment horizontal="center" vertical="center" wrapText="1"/>
      <protection locked="0"/>
    </xf>
    <xf numFmtId="168" fontId="7" fillId="17" borderId="3" xfId="0" applyNumberFormat="1" applyFont="1" applyFill="1" applyBorder="1" applyAlignment="1" applyProtection="1">
      <alignment horizontal="center" vertical="center" wrapText="1"/>
    </xf>
    <xf numFmtId="0" fontId="7" fillId="18" borderId="3" xfId="0" applyNumberFormat="1" applyFont="1" applyFill="1" applyBorder="1" applyAlignment="1" applyProtection="1">
      <alignment horizontal="center" vertical="center" wrapText="1"/>
      <protection locked="0"/>
    </xf>
    <xf numFmtId="168" fontId="6" fillId="50" borderId="1" xfId="0" applyNumberFormat="1" applyFont="1" applyFill="1" applyBorder="1" applyAlignment="1" applyProtection="1">
      <alignment horizontal="center" vertical="center" wrapText="1"/>
    </xf>
    <xf numFmtId="0" fontId="6" fillId="50" borderId="1" xfId="0" applyNumberFormat="1" applyFont="1" applyFill="1" applyBorder="1" applyAlignment="1" applyProtection="1">
      <alignment horizontal="center" vertical="center" wrapText="1"/>
      <protection locked="0"/>
    </xf>
    <xf numFmtId="168" fontId="7" fillId="49" borderId="3" xfId="0" applyNumberFormat="1" applyFont="1" applyFill="1" applyBorder="1" applyAlignment="1" applyProtection="1">
      <alignment horizontal="center" vertical="center" wrapText="1"/>
    </xf>
    <xf numFmtId="0" fontId="7" fillId="49" borderId="3" xfId="0" applyNumberFormat="1" applyFont="1" applyFill="1" applyBorder="1" applyAlignment="1" applyProtection="1">
      <alignment horizontal="center" vertical="center" wrapText="1"/>
      <protection locked="0"/>
    </xf>
    <xf numFmtId="0" fontId="2" fillId="3" borderId="1" xfId="0" applyNumberFormat="1" applyFont="1" applyFill="1" applyBorder="1" applyAlignment="1" applyProtection="1">
      <alignment horizontal="left" vertical="center" wrapText="1"/>
    </xf>
    <xf numFmtId="0" fontId="2" fillId="4" borderId="1" xfId="0" applyNumberFormat="1" applyFont="1" applyFill="1" applyBorder="1" applyAlignment="1" applyProtection="1">
      <alignment horizontal="left" vertical="center" wrapText="1"/>
      <protection locked="0"/>
    </xf>
    <xf numFmtId="0" fontId="3" fillId="5" borderId="1" xfId="0" applyNumberFormat="1" applyFont="1" applyFill="1" applyBorder="1" applyAlignment="1" applyProtection="1">
      <alignment horizontal="left" vertical="center" wrapText="1"/>
    </xf>
    <xf numFmtId="0" fontId="3" fillId="6" borderId="1" xfId="0" applyNumberFormat="1" applyFont="1" applyFill="1" applyBorder="1" applyAlignment="1" applyProtection="1">
      <alignment horizontal="left" vertical="center" wrapText="1"/>
      <protection locked="0"/>
    </xf>
    <xf numFmtId="0" fontId="4" fillId="7" borderId="1" xfId="0" applyNumberFormat="1" applyFont="1" applyFill="1" applyBorder="1" applyAlignment="1" applyProtection="1">
      <alignment horizontal="left" vertical="center" wrapText="1"/>
    </xf>
    <xf numFmtId="0" fontId="4" fillId="8" borderId="1" xfId="0" applyNumberFormat="1" applyFont="1" applyFill="1" applyBorder="1" applyAlignment="1" applyProtection="1">
      <alignment horizontal="left" vertical="center" wrapText="1"/>
      <protection locked="0"/>
    </xf>
    <xf numFmtId="0" fontId="5" fillId="47" borderId="2" xfId="0" applyNumberFormat="1" applyFont="1" applyFill="1" applyBorder="1" applyAlignment="1" applyProtection="1">
      <alignment horizontal="center" vertical="center" wrapText="1"/>
    </xf>
    <xf numFmtId="0" fontId="5" fillId="47" borderId="2" xfId="0" applyNumberFormat="1" applyFont="1" applyFill="1" applyBorder="1" applyAlignment="1" applyProtection="1">
      <alignment horizontal="center" vertical="center" wrapText="1"/>
      <protection locked="0"/>
    </xf>
    <xf numFmtId="0" fontId="10" fillId="40" borderId="5" xfId="0" applyNumberFormat="1" applyFont="1" applyFill="1" applyBorder="1" applyAlignment="1" applyProtection="1">
      <alignment horizontal="left" vertical="center" wrapText="1"/>
    </xf>
    <xf numFmtId="0" fontId="10" fillId="41" borderId="5" xfId="0" applyNumberFormat="1" applyFont="1" applyFill="1" applyBorder="1" applyAlignment="1" applyProtection="1">
      <alignment horizontal="left" vertical="center" wrapText="1"/>
      <protection locked="0"/>
    </xf>
    <xf numFmtId="0" fontId="12" fillId="39" borderId="5" xfId="0" applyNumberFormat="1" applyFont="1" applyFill="1" applyBorder="1" applyAlignment="1" applyProtection="1">
      <alignment horizontal="center" vertical="center" wrapText="1"/>
    </xf>
    <xf numFmtId="0" fontId="12" fillId="43" borderId="5" xfId="0" applyNumberFormat="1" applyFont="1" applyFill="1" applyBorder="1" applyAlignment="1" applyProtection="1">
      <alignment horizontal="center" vertical="center" wrapText="1"/>
      <protection locked="0"/>
    </xf>
    <xf numFmtId="0" fontId="12" fillId="44" borderId="5" xfId="0" applyNumberFormat="1" applyFont="1" applyFill="1" applyBorder="1" applyAlignment="1" applyProtection="1">
      <alignment horizontal="left" vertical="center" wrapText="1"/>
    </xf>
    <xf numFmtId="0" fontId="12" fillId="45" borderId="5" xfId="0" applyNumberFormat="1" applyFont="1" applyFill="1" applyBorder="1" applyAlignment="1" applyProtection="1">
      <alignment horizontal="left" vertical="center" wrapText="1"/>
      <protection locked="0"/>
    </xf>
    <xf numFmtId="0" fontId="12" fillId="37" borderId="4" xfId="0" applyNumberFormat="1" applyFont="1" applyFill="1" applyBorder="1" applyAlignment="1" applyProtection="1">
      <alignment horizontal="center" vertical="center" wrapText="1"/>
    </xf>
    <xf numFmtId="0" fontId="12" fillId="38" borderId="4" xfId="0" applyNumberFormat="1" applyFont="1" applyFill="1" applyBorder="1" applyAlignment="1" applyProtection="1">
      <alignment horizontal="center" vertical="center" wrapText="1"/>
      <protection locked="0"/>
    </xf>
    <xf numFmtId="0" fontId="10" fillId="25" borderId="5" xfId="0" applyNumberFormat="1" applyFont="1" applyFill="1" applyBorder="1" applyAlignment="1" applyProtection="1">
      <alignment horizontal="center" vertical="center" wrapText="1"/>
    </xf>
    <xf numFmtId="0" fontId="10" fillId="26" borderId="5" xfId="0" applyNumberFormat="1" applyFont="1" applyFill="1" applyBorder="1" applyAlignment="1" applyProtection="1">
      <alignment horizontal="center" vertical="center" wrapText="1"/>
      <protection locked="0"/>
    </xf>
    <xf numFmtId="0" fontId="6" fillId="27" borderId="5" xfId="0" applyNumberFormat="1" applyFont="1" applyFill="1" applyBorder="1" applyAlignment="1" applyProtection="1">
      <alignment horizontal="center" vertical="center" wrapText="1"/>
    </xf>
    <xf numFmtId="0" fontId="6" fillId="28" borderId="5" xfId="0" applyNumberFormat="1" applyFont="1" applyFill="1" applyBorder="1" applyAlignment="1" applyProtection="1">
      <alignment horizontal="center" vertical="center" wrapText="1"/>
      <protection locked="0"/>
    </xf>
    <xf numFmtId="0" fontId="17" fillId="46" borderId="4" xfId="4" applyFont="1" applyAlignment="1">
      <alignment horizontal="center"/>
    </xf>
  </cellXfs>
  <cellStyles count="11">
    <cellStyle name="Currency" xfId="1" builtinId="4"/>
    <cellStyle name="Currency 2" xfId="3" xr:uid="{A31387FA-82A6-4F6C-ADE9-DDE2F89B50A1}"/>
    <cellStyle name="Currency 3" xfId="7" xr:uid="{BF90169C-CC9E-498F-9085-48544A89A4EE}"/>
    <cellStyle name="Currency 4" xfId="9" xr:uid="{637CB577-8040-44EB-AB5D-7911E2B0EC27}"/>
    <cellStyle name="Normal" xfId="0" builtinId="0"/>
    <cellStyle name="Normal 2" xfId="2" xr:uid="{C97C8B57-7276-4F24-97C1-D64AA609601C}"/>
    <cellStyle name="Normal 3" xfId="5" xr:uid="{876A0EF4-CD86-416F-81B4-C785A50CA725}"/>
    <cellStyle name="Normal_Copy of Avoided Cost adjusted Final" xfId="4" xr:uid="{6814B1CD-1A75-4C7A-B03F-1B7AFDD34626}"/>
    <cellStyle name="Normal_Copy of Avoided Cost adjusted Final 2" xfId="6" xr:uid="{4CCF5529-3E04-4EC6-AFFD-506A92D79ABE}"/>
    <cellStyle name="Percent" xfId="10" builtinId="5"/>
    <cellStyle name="Percent 2" xfId="8" xr:uid="{5197DEBF-61F1-406F-944C-6BA495EEFCC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ENERGY%20EFFICIENCY/ANNUAL%20REPORTING/Annual%20Report%202016/Final%20Files%20for%20Report/Excel%20worksheets/CY%202016%20Residential%20Annu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IRST YEAR"/>
      <sheetName val="Rates&amp;NEB"/>
      <sheetName val="APP 2885"/>
    </sheetNames>
    <sheetDataSet>
      <sheetData sheetId="0" refreshError="1"/>
      <sheetData sheetId="1">
        <row r="11">
          <cell r="B11">
            <v>0.1</v>
          </cell>
        </row>
      </sheetData>
      <sheetData sheetId="2"/>
    </sheetDataSet>
  </externalBook>
</externalLink>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outlinePr summaryBelow="0"/>
  </sheetPr>
  <dimension ref="A1:AF93"/>
  <sheetViews>
    <sheetView tabSelected="1" topLeftCell="F1" zoomScale="70" zoomScaleNormal="70" workbookViewId="0">
      <pane ySplit="4" topLeftCell="A5" activePane="bottomLeft" state="frozen"/>
      <selection pane="bottomLeft" activeCell="J7" sqref="J7"/>
    </sheetView>
  </sheetViews>
  <sheetFormatPr defaultRowHeight="30.65" customHeight="1" x14ac:dyDescent="0.35"/>
  <cols>
    <col min="1" max="1" width="53.453125" customWidth="1"/>
    <col min="2" max="2" width="20" customWidth="1"/>
    <col min="3" max="3" width="23.81640625" customWidth="1"/>
    <col min="4" max="4" width="17.1796875" customWidth="1"/>
    <col min="5" max="5" width="27.1796875" bestFit="1" customWidth="1"/>
    <col min="6" max="6" width="30" bestFit="1" customWidth="1"/>
    <col min="7" max="7" width="37.1796875" bestFit="1" customWidth="1"/>
    <col min="8" max="8" width="35.1796875" bestFit="1" customWidth="1"/>
    <col min="9" max="9" width="21.1796875" bestFit="1" customWidth="1"/>
    <col min="10" max="10" width="24.1796875" bestFit="1" customWidth="1"/>
    <col min="11" max="11" width="32.1796875" bestFit="1" customWidth="1"/>
    <col min="12" max="12" width="36.81640625" bestFit="1" customWidth="1"/>
    <col min="13" max="13" width="19.81640625" bestFit="1" customWidth="1"/>
    <col min="14" max="15" width="30.26953125" bestFit="1" customWidth="1"/>
    <col min="16" max="16" width="34.54296875" bestFit="1" customWidth="1"/>
    <col min="17" max="17" width="23.81640625" bestFit="1" customWidth="1"/>
    <col min="18" max="18" width="24" customWidth="1"/>
    <col min="19" max="20" width="17" customWidth="1"/>
    <col min="21" max="21" width="20.453125" customWidth="1"/>
    <col min="22" max="22" width="17" customWidth="1"/>
    <col min="23" max="23" width="17.1796875" customWidth="1"/>
    <col min="24" max="24" width="25.54296875" customWidth="1"/>
    <col min="25" max="25" width="2.7265625" hidden="1" customWidth="1"/>
    <col min="26" max="32" width="8.7265625" style="20"/>
  </cols>
  <sheetData>
    <row r="1" spans="1:25" ht="30.65" customHeight="1" thickBot="1" x14ac:dyDescent="0.4">
      <c r="A1" s="1" t="s">
        <v>0</v>
      </c>
      <c r="B1" s="130" t="s">
        <v>1</v>
      </c>
      <c r="C1" s="131"/>
      <c r="D1" s="131"/>
      <c r="E1" s="131"/>
      <c r="F1" s="131"/>
      <c r="G1" s="131"/>
      <c r="H1" s="131"/>
      <c r="I1" s="131"/>
      <c r="J1" s="131"/>
      <c r="K1" s="131"/>
      <c r="L1" s="131"/>
      <c r="M1" s="131"/>
      <c r="N1" s="131"/>
      <c r="O1" s="131"/>
      <c r="P1" s="131"/>
      <c r="Q1" s="131"/>
      <c r="R1" s="131"/>
      <c r="S1" s="131"/>
      <c r="T1" s="131"/>
      <c r="U1" s="131"/>
      <c r="V1" s="131"/>
      <c r="W1" s="131"/>
      <c r="X1" s="131"/>
      <c r="Y1" s="131"/>
    </row>
    <row r="2" spans="1:25" ht="30.65" customHeight="1" thickBot="1" x14ac:dyDescent="0.4">
      <c r="A2" s="1">
        <v>2017</v>
      </c>
      <c r="B2" s="132" t="s">
        <v>2</v>
      </c>
      <c r="C2" s="133"/>
      <c r="D2" s="133"/>
      <c r="E2" s="133"/>
      <c r="F2" s="133"/>
      <c r="G2" s="133"/>
      <c r="H2" s="133"/>
      <c r="I2" s="133"/>
      <c r="J2" s="133"/>
      <c r="K2" s="133"/>
      <c r="L2" s="133"/>
      <c r="M2" s="133"/>
      <c r="N2" s="133"/>
      <c r="O2" s="133"/>
      <c r="P2" s="133"/>
      <c r="Q2" s="133"/>
      <c r="R2" s="133"/>
      <c r="S2" s="133"/>
      <c r="T2" s="133"/>
      <c r="U2" s="133"/>
      <c r="V2" s="133"/>
      <c r="W2" s="133"/>
      <c r="X2" s="133"/>
      <c r="Y2" s="133"/>
    </row>
    <row r="3" spans="1:25" ht="30.65" customHeight="1" thickBot="1" x14ac:dyDescent="0.4">
      <c r="A3" s="134" t="s">
        <v>3</v>
      </c>
      <c r="B3" s="135"/>
      <c r="C3" s="135"/>
      <c r="D3" s="135"/>
      <c r="E3" s="135"/>
      <c r="F3" s="135"/>
      <c r="G3" s="135"/>
      <c r="H3" s="135"/>
      <c r="I3" s="135"/>
      <c r="J3" s="135"/>
      <c r="K3" s="135"/>
      <c r="L3" s="135"/>
      <c r="M3" s="135"/>
      <c r="N3" s="135"/>
      <c r="O3" s="135"/>
      <c r="P3" s="135"/>
      <c r="Q3" s="135"/>
      <c r="R3" s="135"/>
      <c r="S3" s="135"/>
      <c r="T3" s="135"/>
      <c r="U3" s="135"/>
      <c r="V3" s="135"/>
      <c r="W3" s="135"/>
      <c r="X3" s="135"/>
      <c r="Y3" s="135"/>
    </row>
    <row r="4" spans="1:25" ht="43" customHeight="1" thickBot="1" x14ac:dyDescent="0.4">
      <c r="A4" s="21" t="s">
        <v>4</v>
      </c>
      <c r="B4" s="21" t="s">
        <v>5</v>
      </c>
      <c r="C4" s="21" t="s">
        <v>6</v>
      </c>
      <c r="D4" s="21" t="s">
        <v>7</v>
      </c>
      <c r="E4" s="21" t="s">
        <v>8</v>
      </c>
      <c r="F4" s="21" t="s">
        <v>9</v>
      </c>
      <c r="G4" s="21" t="s">
        <v>10</v>
      </c>
      <c r="H4" s="21" t="s">
        <v>11</v>
      </c>
      <c r="I4" s="21" t="s">
        <v>12</v>
      </c>
      <c r="J4" s="21" t="s">
        <v>13</v>
      </c>
      <c r="K4" s="21" t="s">
        <v>14</v>
      </c>
      <c r="L4" s="21" t="s">
        <v>15</v>
      </c>
      <c r="M4" s="21" t="s">
        <v>16</v>
      </c>
      <c r="N4" s="21" t="s">
        <v>17</v>
      </c>
      <c r="O4" s="21" t="s">
        <v>18</v>
      </c>
      <c r="P4" s="21" t="s">
        <v>19</v>
      </c>
      <c r="Q4" s="21" t="s">
        <v>20</v>
      </c>
      <c r="R4" s="21" t="s">
        <v>21</v>
      </c>
      <c r="S4" s="21" t="s">
        <v>22</v>
      </c>
      <c r="T4" s="21" t="s">
        <v>23</v>
      </c>
      <c r="U4" s="21" t="s">
        <v>24</v>
      </c>
      <c r="V4" s="21" t="s">
        <v>25</v>
      </c>
      <c r="W4" s="21" t="s">
        <v>26</v>
      </c>
      <c r="X4" s="136" t="s">
        <v>27</v>
      </c>
      <c r="Y4" s="137"/>
    </row>
    <row r="5" spans="1:25" s="20" customFormat="1" ht="25.5" thickBot="1" x14ac:dyDescent="0.4">
      <c r="A5" s="103" t="s">
        <v>28</v>
      </c>
      <c r="B5" s="103" t="s">
        <v>30</v>
      </c>
      <c r="C5" s="103" t="s">
        <v>29</v>
      </c>
      <c r="D5" s="104">
        <v>1</v>
      </c>
      <c r="E5" s="104">
        <v>1</v>
      </c>
      <c r="F5" s="104">
        <v>209</v>
      </c>
      <c r="G5" s="104">
        <f t="shared" ref="G5:G22" si="0">IF(ISNUMBER(E5),E5*F5,"")</f>
        <v>209</v>
      </c>
      <c r="H5" s="105">
        <v>1142</v>
      </c>
      <c r="I5" s="106">
        <f t="shared" ref="I5:I49" si="1">0.5*0.95*$F5+PV($B$90,$M5,-(0.116*$F5))</f>
        <v>544.05652465703611</v>
      </c>
      <c r="J5" s="106">
        <f>0.1*$H5+PV($B$90,$M5,(-0.05*0.95*$F5))</f>
        <v>296.33036570007943</v>
      </c>
      <c r="K5" s="106">
        <f t="shared" ref="K5:K22" si="2">IF(ISNUMBER(H5),H5*E5,"")</f>
        <v>1142</v>
      </c>
      <c r="L5" s="107">
        <f t="shared" ref="L5:L27" si="3">K5-D5*(I5+J5)</f>
        <v>301.61310964288441</v>
      </c>
      <c r="M5" s="104">
        <v>30</v>
      </c>
      <c r="N5" s="104">
        <f t="shared" ref="N5:O24" si="4">PV($B$90,$M5,-$G5)</f>
        <v>3834.3234884227249</v>
      </c>
      <c r="O5" s="104">
        <f t="shared" si="4"/>
        <v>3834.3234884227249</v>
      </c>
      <c r="P5" s="108">
        <f t="shared" ref="P5:P49" si="5">(G5/$G$83)*$P$83</f>
        <v>455.6587381287377</v>
      </c>
      <c r="Q5" s="105">
        <v>2000</v>
      </c>
      <c r="R5" s="106">
        <f t="shared" ref="R5:R22" si="6">IF(ISNUMBER(Q5),Q5*E5,"")</f>
        <v>2000</v>
      </c>
      <c r="S5" s="109">
        <f t="shared" ref="S5:S22" si="7">IF(ISERROR(R5/O5),0,R5/O5)</f>
        <v>0.52160439932591962</v>
      </c>
      <c r="T5" s="109">
        <f t="shared" ref="T5:T22" si="8">IF(ISERROR((P5+R5)/O5),0,(P5+R5)/O5)</f>
        <v>0.64044120052554299</v>
      </c>
      <c r="U5" s="110">
        <f>IF($R5=0,"-",(VLOOKUP(M5,'2016 Avoided Costs'!$B$7:$G$51,6)*$G5)/($R5+$P5))</f>
        <v>1.8774718555326348</v>
      </c>
      <c r="V5" s="111">
        <f t="shared" ref="V5:V22" si="9">IF(ISERROR(RL5/N5),0,L5/N5)</f>
        <v>7.8661362442049729E-2</v>
      </c>
      <c r="W5" s="112">
        <f t="shared" ref="W5:W22" si="10">IF(ISERROR(L5/N5),0,(L5+P5)/N5)</f>
        <v>0.19749816364167308</v>
      </c>
      <c r="X5" s="126">
        <f>IF($R5=0,"-",(VLOOKUP(M5,'2016 Avoided Costs'!$B$7:$G$51,4)*$G5)/($L5+$P5))</f>
        <v>5.1814554667199033</v>
      </c>
      <c r="Y5" s="127"/>
    </row>
    <row r="6" spans="1:25" s="20" customFormat="1" ht="25.5" thickBot="1" x14ac:dyDescent="0.4">
      <c r="A6" s="103" t="s">
        <v>28</v>
      </c>
      <c r="B6" s="103" t="s">
        <v>31</v>
      </c>
      <c r="C6" s="103" t="s">
        <v>29</v>
      </c>
      <c r="D6" s="104">
        <v>16</v>
      </c>
      <c r="E6" s="104">
        <v>16</v>
      </c>
      <c r="F6" s="104">
        <v>210</v>
      </c>
      <c r="G6" s="104">
        <f t="shared" si="0"/>
        <v>3360</v>
      </c>
      <c r="H6" s="105">
        <v>1142</v>
      </c>
      <c r="I6" s="106">
        <f t="shared" si="1"/>
        <v>546.6596659233378</v>
      </c>
      <c r="J6" s="106">
        <f>0.1*$H6+PV($B$90,$M6,(-0.05*0.95*$F6))</f>
        <v>297.20180285653913</v>
      </c>
      <c r="K6" s="106">
        <f t="shared" si="2"/>
        <v>18272</v>
      </c>
      <c r="L6" s="107">
        <f t="shared" si="3"/>
        <v>4770.2164995219682</v>
      </c>
      <c r="M6" s="104">
        <v>30</v>
      </c>
      <c r="N6" s="104">
        <f t="shared" si="4"/>
        <v>61642.712541150024</v>
      </c>
      <c r="O6" s="104">
        <f t="shared" si="4"/>
        <v>61642.712541150024</v>
      </c>
      <c r="P6" s="108">
        <f t="shared" si="5"/>
        <v>7325.422775658174</v>
      </c>
      <c r="Q6" s="105">
        <v>2000</v>
      </c>
      <c r="R6" s="106">
        <f t="shared" si="6"/>
        <v>32000</v>
      </c>
      <c r="S6" s="109">
        <f t="shared" si="7"/>
        <v>0.519120568852939</v>
      </c>
      <c r="T6" s="109">
        <f t="shared" si="8"/>
        <v>0.63795737005256237</v>
      </c>
      <c r="U6" s="110">
        <f>IF($R6=0,"-",(VLOOKUP(M6,'2016 Avoided Costs'!$B$7:$G$51,6)*$G6)/($R6+$P6))</f>
        <v>1.8847816257866428</v>
      </c>
      <c r="V6" s="111">
        <f t="shared" si="9"/>
        <v>7.7384921961984987E-2</v>
      </c>
      <c r="W6" s="112">
        <f t="shared" si="10"/>
        <v>0.19622172316160835</v>
      </c>
      <c r="X6" s="126">
        <f>IF($R6=0,"-",(VLOOKUP(M6,'2016 Avoided Costs'!$B$7:$G$51,4)*$G6)/($L6+$P6))</f>
        <v>5.2151613143539439</v>
      </c>
      <c r="Y6" s="127"/>
    </row>
    <row r="7" spans="1:25" s="20" customFormat="1" ht="15" thickBot="1" x14ac:dyDescent="0.4">
      <c r="A7" s="103" t="s">
        <v>32</v>
      </c>
      <c r="B7" s="103" t="s">
        <v>30</v>
      </c>
      <c r="C7" s="103" t="s">
        <v>96</v>
      </c>
      <c r="D7" s="104">
        <v>15</v>
      </c>
      <c r="E7" s="104">
        <v>15</v>
      </c>
      <c r="F7" s="104">
        <v>0</v>
      </c>
      <c r="G7" s="104">
        <f t="shared" si="0"/>
        <v>0</v>
      </c>
      <c r="H7" s="105">
        <v>0</v>
      </c>
      <c r="I7" s="106">
        <f t="shared" si="1"/>
        <v>0</v>
      </c>
      <c r="J7" s="106">
        <v>0</v>
      </c>
      <c r="K7" s="106">
        <f t="shared" si="2"/>
        <v>0</v>
      </c>
      <c r="L7" s="107">
        <f t="shared" si="3"/>
        <v>0</v>
      </c>
      <c r="M7" s="104">
        <v>0</v>
      </c>
      <c r="N7" s="104">
        <f t="shared" si="4"/>
        <v>0</v>
      </c>
      <c r="O7" s="104">
        <f t="shared" si="4"/>
        <v>0</v>
      </c>
      <c r="P7" s="108">
        <f t="shared" si="5"/>
        <v>0</v>
      </c>
      <c r="Q7" s="105">
        <v>250</v>
      </c>
      <c r="R7" s="106">
        <f t="shared" si="6"/>
        <v>3750</v>
      </c>
      <c r="S7" s="109">
        <f t="shared" si="7"/>
        <v>0</v>
      </c>
      <c r="T7" s="109">
        <f t="shared" si="8"/>
        <v>0</v>
      </c>
      <c r="U7" s="110" t="e">
        <f>IF($R7=0,"-",(VLOOKUP(M7,'2016 Avoided Costs'!$B$7:$G$51,6)*$G7)/($R7+$P7))</f>
        <v>#N/A</v>
      </c>
      <c r="V7" s="111">
        <f t="shared" si="9"/>
        <v>0</v>
      </c>
      <c r="W7" s="112">
        <f t="shared" si="10"/>
        <v>0</v>
      </c>
      <c r="X7" s="126" t="e">
        <f>IF($R7=0,"-",(VLOOKUP(M7,'2016 Avoided Costs'!$B$7:$G$51,4)*$G7)/($L7+$P7))</f>
        <v>#N/A</v>
      </c>
      <c r="Y7" s="127"/>
    </row>
    <row r="8" spans="1:25" s="20" customFormat="1" ht="15" thickBot="1" x14ac:dyDescent="0.4">
      <c r="A8" s="103" t="s">
        <v>32</v>
      </c>
      <c r="B8" s="103" t="s">
        <v>33</v>
      </c>
      <c r="C8" s="103" t="s">
        <v>96</v>
      </c>
      <c r="D8" s="104">
        <v>1</v>
      </c>
      <c r="E8" s="104">
        <v>1</v>
      </c>
      <c r="F8" s="104">
        <v>0</v>
      </c>
      <c r="G8" s="104">
        <f t="shared" si="0"/>
        <v>0</v>
      </c>
      <c r="H8" s="105">
        <v>0</v>
      </c>
      <c r="I8" s="106">
        <f t="shared" si="1"/>
        <v>0</v>
      </c>
      <c r="J8" s="106">
        <v>0</v>
      </c>
      <c r="K8" s="106">
        <f t="shared" si="2"/>
        <v>0</v>
      </c>
      <c r="L8" s="107">
        <f t="shared" si="3"/>
        <v>0</v>
      </c>
      <c r="M8" s="104">
        <v>0</v>
      </c>
      <c r="N8" s="104">
        <f t="shared" si="4"/>
        <v>0</v>
      </c>
      <c r="O8" s="104">
        <f t="shared" si="4"/>
        <v>0</v>
      </c>
      <c r="P8" s="108">
        <f t="shared" si="5"/>
        <v>0</v>
      </c>
      <c r="Q8" s="105">
        <v>250</v>
      </c>
      <c r="R8" s="106">
        <f t="shared" si="6"/>
        <v>250</v>
      </c>
      <c r="S8" s="109">
        <f t="shared" si="7"/>
        <v>0</v>
      </c>
      <c r="T8" s="109">
        <f t="shared" si="8"/>
        <v>0</v>
      </c>
      <c r="U8" s="110" t="e">
        <f>IF($R8=0,"-",(VLOOKUP(M8,'2016 Avoided Costs'!$B$7:$G$51,6)*$G8)/($R8+$P8))</f>
        <v>#N/A</v>
      </c>
      <c r="V8" s="111">
        <f t="shared" si="9"/>
        <v>0</v>
      </c>
      <c r="W8" s="112">
        <f t="shared" si="10"/>
        <v>0</v>
      </c>
      <c r="X8" s="126" t="e">
        <f>IF($R8=0,"-",(VLOOKUP(M8,'2016 Avoided Costs'!$B$7:$G$51,4)*$G8)/($L8+$P8))</f>
        <v>#N/A</v>
      </c>
      <c r="Y8" s="127"/>
    </row>
    <row r="9" spans="1:25" s="20" customFormat="1" ht="15" thickBot="1" x14ac:dyDescent="0.4">
      <c r="A9" s="103" t="s">
        <v>32</v>
      </c>
      <c r="B9" s="103" t="s">
        <v>31</v>
      </c>
      <c r="C9" s="103" t="s">
        <v>96</v>
      </c>
      <c r="D9" s="104">
        <v>111</v>
      </c>
      <c r="E9" s="104">
        <v>111</v>
      </c>
      <c r="F9" s="104">
        <v>0</v>
      </c>
      <c r="G9" s="104">
        <f t="shared" si="0"/>
        <v>0</v>
      </c>
      <c r="H9" s="105">
        <v>0</v>
      </c>
      <c r="I9" s="106">
        <f t="shared" si="1"/>
        <v>0</v>
      </c>
      <c r="J9" s="106">
        <v>0</v>
      </c>
      <c r="K9" s="106">
        <f t="shared" si="2"/>
        <v>0</v>
      </c>
      <c r="L9" s="107">
        <f t="shared" si="3"/>
        <v>0</v>
      </c>
      <c r="M9" s="104">
        <v>0</v>
      </c>
      <c r="N9" s="104">
        <f t="shared" si="4"/>
        <v>0</v>
      </c>
      <c r="O9" s="104">
        <f t="shared" si="4"/>
        <v>0</v>
      </c>
      <c r="P9" s="108">
        <f t="shared" si="5"/>
        <v>0</v>
      </c>
      <c r="Q9" s="105">
        <v>250</v>
      </c>
      <c r="R9" s="106">
        <f t="shared" si="6"/>
        <v>27750</v>
      </c>
      <c r="S9" s="109">
        <f t="shared" si="7"/>
        <v>0</v>
      </c>
      <c r="T9" s="109">
        <f t="shared" si="8"/>
        <v>0</v>
      </c>
      <c r="U9" s="110" t="e">
        <f>IF($R9=0,"-",(VLOOKUP(M9,'2016 Avoided Costs'!$B$7:$G$51,6)*$G9)/($R9+$P9))</f>
        <v>#N/A</v>
      </c>
      <c r="V9" s="111">
        <f t="shared" si="9"/>
        <v>0</v>
      </c>
      <c r="W9" s="112">
        <f t="shared" si="10"/>
        <v>0</v>
      </c>
      <c r="X9" s="126" t="e">
        <f>IF($R9=0,"-",(VLOOKUP(M9,'2016 Avoided Costs'!$B$7:$G$51,4)*$G9)/($L9+$P9))</f>
        <v>#N/A</v>
      </c>
      <c r="Y9" s="127"/>
    </row>
    <row r="10" spans="1:25" s="20" customFormat="1" ht="15" thickBot="1" x14ac:dyDescent="0.4">
      <c r="A10" s="103" t="s">
        <v>34</v>
      </c>
      <c r="B10" s="103" t="s">
        <v>30</v>
      </c>
      <c r="C10" s="103" t="s">
        <v>96</v>
      </c>
      <c r="D10" s="104">
        <v>1</v>
      </c>
      <c r="E10" s="104">
        <v>1</v>
      </c>
      <c r="F10" s="104">
        <v>0</v>
      </c>
      <c r="G10" s="104">
        <f t="shared" si="0"/>
        <v>0</v>
      </c>
      <c r="H10" s="105">
        <v>0</v>
      </c>
      <c r="I10" s="106">
        <f t="shared" si="1"/>
        <v>0</v>
      </c>
      <c r="J10" s="106">
        <v>0</v>
      </c>
      <c r="K10" s="106">
        <f t="shared" si="2"/>
        <v>0</v>
      </c>
      <c r="L10" s="107">
        <f t="shared" si="3"/>
        <v>0</v>
      </c>
      <c r="M10" s="104">
        <v>0</v>
      </c>
      <c r="N10" s="104">
        <f t="shared" si="4"/>
        <v>0</v>
      </c>
      <c r="O10" s="104">
        <f t="shared" si="4"/>
        <v>0</v>
      </c>
      <c r="P10" s="108">
        <f t="shared" si="5"/>
        <v>0</v>
      </c>
      <c r="Q10" s="105">
        <v>500</v>
      </c>
      <c r="R10" s="106">
        <f t="shared" si="6"/>
        <v>500</v>
      </c>
      <c r="S10" s="109">
        <f t="shared" si="7"/>
        <v>0</v>
      </c>
      <c r="T10" s="109">
        <f t="shared" si="8"/>
        <v>0</v>
      </c>
      <c r="U10" s="110" t="e">
        <f>IF($R10=0,"-",(VLOOKUP(M10,'2016 Avoided Costs'!$B$7:$G$51,6)*$G10)/($R10+$P10))</f>
        <v>#N/A</v>
      </c>
      <c r="V10" s="111">
        <f t="shared" si="9"/>
        <v>0</v>
      </c>
      <c r="W10" s="112">
        <f t="shared" si="10"/>
        <v>0</v>
      </c>
      <c r="X10" s="126" t="e">
        <f>IF($R10=0,"-",(VLOOKUP(M10,'2016 Avoided Costs'!$B$7:$G$51,4)*$G10)/($L10+$P10))</f>
        <v>#N/A</v>
      </c>
      <c r="Y10" s="127"/>
    </row>
    <row r="11" spans="1:25" s="20" customFormat="1" ht="15" thickBot="1" x14ac:dyDescent="0.4">
      <c r="A11" s="103" t="s">
        <v>34</v>
      </c>
      <c r="B11" s="103" t="s">
        <v>31</v>
      </c>
      <c r="C11" s="103" t="s">
        <v>96</v>
      </c>
      <c r="D11" s="104">
        <v>4</v>
      </c>
      <c r="E11" s="104">
        <v>4</v>
      </c>
      <c r="F11" s="104">
        <v>0</v>
      </c>
      <c r="G11" s="104">
        <f t="shared" si="0"/>
        <v>0</v>
      </c>
      <c r="H11" s="105">
        <v>0</v>
      </c>
      <c r="I11" s="106">
        <f t="shared" si="1"/>
        <v>0</v>
      </c>
      <c r="J11" s="106">
        <v>0</v>
      </c>
      <c r="K11" s="106">
        <f t="shared" si="2"/>
        <v>0</v>
      </c>
      <c r="L11" s="107">
        <f t="shared" si="3"/>
        <v>0</v>
      </c>
      <c r="M11" s="104">
        <v>0</v>
      </c>
      <c r="N11" s="104">
        <f t="shared" si="4"/>
        <v>0</v>
      </c>
      <c r="O11" s="104">
        <f t="shared" si="4"/>
        <v>0</v>
      </c>
      <c r="P11" s="108">
        <f t="shared" si="5"/>
        <v>0</v>
      </c>
      <c r="Q11" s="105">
        <v>500</v>
      </c>
      <c r="R11" s="106">
        <f t="shared" si="6"/>
        <v>2000</v>
      </c>
      <c r="S11" s="109">
        <f t="shared" si="7"/>
        <v>0</v>
      </c>
      <c r="T11" s="109">
        <f t="shared" si="8"/>
        <v>0</v>
      </c>
      <c r="U11" s="110" t="e">
        <f>IF($R11=0,"-",(VLOOKUP(M11,'2016 Avoided Costs'!$B$7:$G$51,6)*$G11)/($R11+$P11))</f>
        <v>#N/A</v>
      </c>
      <c r="V11" s="111">
        <f t="shared" si="9"/>
        <v>0</v>
      </c>
      <c r="W11" s="112">
        <f t="shared" si="10"/>
        <v>0</v>
      </c>
      <c r="X11" s="126" t="e">
        <f>IF($R11=0,"-",(VLOOKUP(M11,'2016 Avoided Costs'!$B$7:$G$51,4)*$G11)/($L11+$P11))</f>
        <v>#N/A</v>
      </c>
      <c r="Y11" s="127"/>
    </row>
    <row r="12" spans="1:25" s="20" customFormat="1" ht="15" thickBot="1" x14ac:dyDescent="0.4">
      <c r="A12" s="103" t="s">
        <v>37</v>
      </c>
      <c r="B12" s="103" t="s">
        <v>30</v>
      </c>
      <c r="C12" s="103" t="s">
        <v>38</v>
      </c>
      <c r="D12" s="104">
        <v>8</v>
      </c>
      <c r="E12" s="104">
        <v>7732</v>
      </c>
      <c r="F12" s="113">
        <v>6.2E-2</v>
      </c>
      <c r="G12" s="108">
        <f t="shared" si="0"/>
        <v>479.38400000000001</v>
      </c>
      <c r="H12" s="105">
        <v>0.67</v>
      </c>
      <c r="I12" s="106">
        <f t="shared" si="1"/>
        <v>0.19069418559480006</v>
      </c>
      <c r="J12" s="106">
        <f t="shared" ref="J12:J21" si="11">0.1*$H12+PV($B$90,$M12,(-0.05*0.95*$F12))</f>
        <v>0.13302671392890519</v>
      </c>
      <c r="K12" s="106">
        <f t="shared" si="2"/>
        <v>5180.4400000000005</v>
      </c>
      <c r="L12" s="107">
        <f t="shared" si="3"/>
        <v>5177.8502328038112</v>
      </c>
      <c r="M12" s="104">
        <v>45</v>
      </c>
      <c r="N12" s="104">
        <f t="shared" si="4"/>
        <v>10747.758991543051</v>
      </c>
      <c r="O12" s="104">
        <f t="shared" si="4"/>
        <v>10747.758991543051</v>
      </c>
      <c r="P12" s="108">
        <f t="shared" si="5"/>
        <v>1045.1459737756306</v>
      </c>
      <c r="Q12" s="105">
        <v>0.75</v>
      </c>
      <c r="R12" s="106">
        <f t="shared" si="6"/>
        <v>5799</v>
      </c>
      <c r="S12" s="109">
        <f t="shared" si="7"/>
        <v>0.53955433914762918</v>
      </c>
      <c r="T12" s="109">
        <f t="shared" si="8"/>
        <v>0.63679749231081517</v>
      </c>
      <c r="U12" s="110">
        <f>IF($R12=0,"-",(VLOOKUP(M12,'2016 Avoided Costs'!$B$7:$G$51,6)*$G12)/($R12+$P12))</f>
        <v>2.6038165118486742</v>
      </c>
      <c r="V12" s="111">
        <f t="shared" si="9"/>
        <v>0.48176091749713024</v>
      </c>
      <c r="W12" s="112">
        <f t="shared" si="10"/>
        <v>0.57900407066031623</v>
      </c>
      <c r="X12" s="126">
        <f>IF($R12=0,"-",(VLOOKUP(M12,'2016 Avoided Costs'!$B$7:$G$51,4)*$G12)/($L12+$P12))</f>
        <v>2.3864308692622398</v>
      </c>
      <c r="Y12" s="127"/>
    </row>
    <row r="13" spans="1:25" s="20" customFormat="1" ht="15" thickBot="1" x14ac:dyDescent="0.4">
      <c r="A13" s="103" t="s">
        <v>39</v>
      </c>
      <c r="B13" s="103" t="s">
        <v>30</v>
      </c>
      <c r="C13" s="103" t="s">
        <v>40</v>
      </c>
      <c r="D13" s="104">
        <v>29</v>
      </c>
      <c r="E13" s="104">
        <f>32177-1100</f>
        <v>31077</v>
      </c>
      <c r="F13" s="113">
        <v>7.3999999999999996E-2</v>
      </c>
      <c r="G13" s="108">
        <f t="shared" si="0"/>
        <v>2299.6979999999999</v>
      </c>
      <c r="H13" s="105">
        <v>0.67</v>
      </c>
      <c r="I13" s="106">
        <f t="shared" si="1"/>
        <v>0.22760273764540648</v>
      </c>
      <c r="J13" s="106">
        <f t="shared" si="11"/>
        <v>0.14580607791514488</v>
      </c>
      <c r="K13" s="106">
        <f t="shared" si="2"/>
        <v>20821.59</v>
      </c>
      <c r="L13" s="107">
        <f t="shared" si="3"/>
        <v>20810.761144348744</v>
      </c>
      <c r="M13" s="104">
        <v>45</v>
      </c>
      <c r="N13" s="104">
        <f t="shared" si="4"/>
        <v>51559.083860399114</v>
      </c>
      <c r="O13" s="104">
        <f t="shared" si="4"/>
        <v>51559.083860399114</v>
      </c>
      <c r="P13" s="108">
        <f t="shared" si="5"/>
        <v>5013.767888790343</v>
      </c>
      <c r="Q13" s="105">
        <v>1</v>
      </c>
      <c r="R13" s="106">
        <f t="shared" si="6"/>
        <v>31077</v>
      </c>
      <c r="S13" s="109">
        <f t="shared" si="7"/>
        <v>0.60274538787663079</v>
      </c>
      <c r="T13" s="109">
        <f t="shared" si="8"/>
        <v>0.69998854103981689</v>
      </c>
      <c r="U13" s="110">
        <f>IF($R13=0,"-",(VLOOKUP(M13,'2016 Avoided Costs'!$B$7:$G$51,6)*$G13)/($R13+$P13))</f>
        <v>2.3687585267033864</v>
      </c>
      <c r="V13" s="111">
        <f t="shared" si="9"/>
        <v>0.40362938179227087</v>
      </c>
      <c r="W13" s="112">
        <f t="shared" si="10"/>
        <v>0.50087253495545681</v>
      </c>
      <c r="X13" s="126">
        <f>IF($R13=0,"-",(VLOOKUP(M13,'2016 Avoided Costs'!$B$7:$G$51,4)*$G13)/($L13+$P13))</f>
        <v>2.7586922644404019</v>
      </c>
      <c r="Y13" s="127"/>
    </row>
    <row r="14" spans="1:25" s="20" customFormat="1" ht="15" thickBot="1" x14ac:dyDescent="0.4">
      <c r="A14" s="103" t="s">
        <v>39</v>
      </c>
      <c r="B14" s="103" t="s">
        <v>33</v>
      </c>
      <c r="C14" s="103" t="s">
        <v>40</v>
      </c>
      <c r="D14" s="104">
        <v>5</v>
      </c>
      <c r="E14" s="104">
        <v>5593</v>
      </c>
      <c r="F14" s="113">
        <v>6.8000000000000005E-2</v>
      </c>
      <c r="G14" s="108">
        <f t="shared" si="0"/>
        <v>380.32400000000001</v>
      </c>
      <c r="H14" s="105">
        <v>0.67</v>
      </c>
      <c r="I14" s="106">
        <f t="shared" si="1"/>
        <v>0.20914846162010328</v>
      </c>
      <c r="J14" s="106">
        <f t="shared" si="11"/>
        <v>0.13941639592202504</v>
      </c>
      <c r="K14" s="106">
        <f t="shared" si="2"/>
        <v>3747.3100000000004</v>
      </c>
      <c r="L14" s="107">
        <f t="shared" si="3"/>
        <v>3745.5671757122896</v>
      </c>
      <c r="M14" s="104">
        <v>45</v>
      </c>
      <c r="N14" s="104">
        <f t="shared" si="4"/>
        <v>8526.8400503554967</v>
      </c>
      <c r="O14" s="104">
        <f t="shared" si="4"/>
        <v>8526.8400503554967</v>
      </c>
      <c r="P14" s="108">
        <f t="shared" si="5"/>
        <v>829.17681301470827</v>
      </c>
      <c r="Q14" s="105">
        <v>1</v>
      </c>
      <c r="R14" s="106">
        <f t="shared" si="6"/>
        <v>5593</v>
      </c>
      <c r="S14" s="109">
        <f t="shared" si="7"/>
        <v>0.6559288044539805</v>
      </c>
      <c r="T14" s="109">
        <f t="shared" si="8"/>
        <v>0.75317195761716649</v>
      </c>
      <c r="U14" s="110">
        <f>IF($R14=0,"-",(VLOOKUP(M14,'2016 Avoided Costs'!$B$7:$G$51,6)*$G14)/($R14+$P14))</f>
        <v>2.2014943711241242</v>
      </c>
      <c r="V14" s="111">
        <f t="shared" si="9"/>
        <v>0.43926790623404871</v>
      </c>
      <c r="W14" s="112">
        <f t="shared" si="10"/>
        <v>0.53651105939723465</v>
      </c>
      <c r="X14" s="126">
        <f>IF($R14=0,"-",(VLOOKUP(M14,'2016 Avoided Costs'!$B$7:$G$51,4)*$G14)/($L14+$P14))</f>
        <v>2.5754421338577083</v>
      </c>
      <c r="Y14" s="127"/>
    </row>
    <row r="15" spans="1:25" s="20" customFormat="1" ht="15" thickBot="1" x14ac:dyDescent="0.4">
      <c r="A15" s="103" t="s">
        <v>39</v>
      </c>
      <c r="B15" s="103" t="s">
        <v>31</v>
      </c>
      <c r="C15" s="103" t="s">
        <v>40</v>
      </c>
      <c r="D15" s="104">
        <v>142</v>
      </c>
      <c r="E15" s="104">
        <v>199635</v>
      </c>
      <c r="F15" s="113">
        <v>0.08</v>
      </c>
      <c r="G15" s="108">
        <f t="shared" si="0"/>
        <v>15970.800000000001</v>
      </c>
      <c r="H15" s="105">
        <v>0.67</v>
      </c>
      <c r="I15" s="106">
        <f t="shared" si="1"/>
        <v>0.24605701367070973</v>
      </c>
      <c r="J15" s="106">
        <f t="shared" si="11"/>
        <v>0.15219575990826475</v>
      </c>
      <c r="K15" s="106">
        <f t="shared" si="2"/>
        <v>133755.45000000001</v>
      </c>
      <c r="L15" s="107">
        <f t="shared" si="3"/>
        <v>133698.89810615178</v>
      </c>
      <c r="M15" s="104">
        <v>45</v>
      </c>
      <c r="N15" s="104">
        <f t="shared" si="4"/>
        <v>358064.32693234604</v>
      </c>
      <c r="O15" s="104">
        <f t="shared" si="4"/>
        <v>358064.32693234604</v>
      </c>
      <c r="P15" s="108">
        <f t="shared" si="5"/>
        <v>34819.304186155234</v>
      </c>
      <c r="Q15" s="105">
        <v>1</v>
      </c>
      <c r="R15" s="106">
        <f t="shared" si="6"/>
        <v>199635</v>
      </c>
      <c r="S15" s="109">
        <f t="shared" si="7"/>
        <v>0.55753948378588336</v>
      </c>
      <c r="T15" s="109">
        <f t="shared" si="8"/>
        <v>0.65478263694906946</v>
      </c>
      <c r="U15" s="110">
        <f>IF($R15=0,"-",(VLOOKUP(M15,'2016 Avoided Costs'!$B$7:$G$51,6)*$G15)/($R15+$P15))</f>
        <v>2.5322965692990738</v>
      </c>
      <c r="V15" s="111">
        <f t="shared" si="9"/>
        <v>0.37339351633153151</v>
      </c>
      <c r="W15" s="112">
        <f t="shared" si="10"/>
        <v>0.4706366694947175</v>
      </c>
      <c r="X15" s="126">
        <f>IF($R15=0,"-",(VLOOKUP(M15,'2016 Avoided Costs'!$B$7:$G$51,4)*$G15)/($L15+$P15))</f>
        <v>2.9359233506724931</v>
      </c>
      <c r="Y15" s="127"/>
    </row>
    <row r="16" spans="1:25" s="20" customFormat="1" ht="25.5" thickBot="1" x14ac:dyDescent="0.4">
      <c r="A16" s="103" t="s">
        <v>41</v>
      </c>
      <c r="B16" s="103" t="s">
        <v>30</v>
      </c>
      <c r="C16" s="103" t="s">
        <v>42</v>
      </c>
      <c r="D16" s="104">
        <v>40</v>
      </c>
      <c r="E16" s="104">
        <v>40</v>
      </c>
      <c r="F16" s="104">
        <v>54</v>
      </c>
      <c r="G16" s="104">
        <f t="shared" si="0"/>
        <v>2160</v>
      </c>
      <c r="H16" s="105">
        <v>1171</v>
      </c>
      <c r="I16" s="106">
        <f t="shared" si="1"/>
        <v>108.13335328498485</v>
      </c>
      <c r="J16" s="106">
        <f t="shared" si="11"/>
        <v>150.87551104342052</v>
      </c>
      <c r="K16" s="106">
        <f t="shared" si="2"/>
        <v>46840</v>
      </c>
      <c r="L16" s="107">
        <f t="shared" si="3"/>
        <v>36479.64542686379</v>
      </c>
      <c r="M16" s="104">
        <v>18</v>
      </c>
      <c r="N16" s="104">
        <f t="shared" si="4"/>
        <v>28442.535615512013</v>
      </c>
      <c r="O16" s="104">
        <f t="shared" si="4"/>
        <v>28442.535615512013</v>
      </c>
      <c r="P16" s="108">
        <f t="shared" si="5"/>
        <v>4709.2003557802554</v>
      </c>
      <c r="Q16" s="105">
        <v>250</v>
      </c>
      <c r="R16" s="106">
        <f t="shared" si="6"/>
        <v>10000</v>
      </c>
      <c r="S16" s="109">
        <f t="shared" si="7"/>
        <v>0.35158609398193708</v>
      </c>
      <c r="T16" s="109">
        <f t="shared" si="8"/>
        <v>0.51715502986865003</v>
      </c>
      <c r="U16" s="110">
        <f>IF($R16=0,"-",(VLOOKUP(M16,'2016 Avoided Costs'!$B$7:$G$51,6)*$G16)/($R16+$P16))</f>
        <v>1.6921054440746126</v>
      </c>
      <c r="V16" s="111">
        <f t="shared" si="9"/>
        <v>1.2825736045477074</v>
      </c>
      <c r="W16" s="112">
        <f t="shared" si="10"/>
        <v>1.4481425404344201</v>
      </c>
      <c r="X16" s="126">
        <f>IF($R16=0,"-",(VLOOKUP(M16,'2016 Avoided Costs'!$B$7:$G$51,4)*$G16)/($L16+$P16))</f>
        <v>0.53713610031098546</v>
      </c>
      <c r="Y16" s="127"/>
    </row>
    <row r="17" spans="1:25" s="20" customFormat="1" ht="25.5" thickBot="1" x14ac:dyDescent="0.4">
      <c r="A17" s="103" t="s">
        <v>41</v>
      </c>
      <c r="B17" s="103" t="s">
        <v>33</v>
      </c>
      <c r="C17" s="103" t="s">
        <v>42</v>
      </c>
      <c r="D17" s="104">
        <v>12</v>
      </c>
      <c r="E17" s="104">
        <v>12</v>
      </c>
      <c r="F17" s="104">
        <v>54</v>
      </c>
      <c r="G17" s="104">
        <f t="shared" si="0"/>
        <v>648</v>
      </c>
      <c r="H17" s="105">
        <v>1171</v>
      </c>
      <c r="I17" s="106">
        <f t="shared" si="1"/>
        <v>108.13335328498485</v>
      </c>
      <c r="J17" s="106">
        <f t="shared" si="11"/>
        <v>150.87551104342052</v>
      </c>
      <c r="K17" s="106">
        <f t="shared" si="2"/>
        <v>14052</v>
      </c>
      <c r="L17" s="107">
        <f t="shared" si="3"/>
        <v>10943.893628059135</v>
      </c>
      <c r="M17" s="104">
        <v>18</v>
      </c>
      <c r="N17" s="104">
        <f t="shared" si="4"/>
        <v>8532.7606846536037</v>
      </c>
      <c r="O17" s="104">
        <f t="shared" si="4"/>
        <v>8532.7606846536037</v>
      </c>
      <c r="P17" s="108">
        <f t="shared" si="5"/>
        <v>1412.7601067340765</v>
      </c>
      <c r="Q17" s="105">
        <v>250</v>
      </c>
      <c r="R17" s="106">
        <f t="shared" si="6"/>
        <v>3000</v>
      </c>
      <c r="S17" s="109">
        <f t="shared" si="7"/>
        <v>0.35158609398193713</v>
      </c>
      <c r="T17" s="109">
        <f t="shared" si="8"/>
        <v>0.51715502986864992</v>
      </c>
      <c r="U17" s="110">
        <f>IF($R17=0,"-",(VLOOKUP(M17,'2016 Avoided Costs'!$B$7:$G$51,6)*$G17)/($R17+$P17))</f>
        <v>1.6921054440746128</v>
      </c>
      <c r="V17" s="111">
        <f t="shared" si="9"/>
        <v>1.2825736045477072</v>
      </c>
      <c r="W17" s="112">
        <f t="shared" si="10"/>
        <v>1.4481425404344201</v>
      </c>
      <c r="X17" s="126">
        <f>IF($R17=0,"-",(VLOOKUP(M17,'2016 Avoided Costs'!$B$7:$G$51,4)*$G17)/($L17+$P17))</f>
        <v>0.53713610031098546</v>
      </c>
      <c r="Y17" s="127"/>
    </row>
    <row r="18" spans="1:25" s="20" customFormat="1" ht="25.5" thickBot="1" x14ac:dyDescent="0.4">
      <c r="A18" s="103" t="s">
        <v>41</v>
      </c>
      <c r="B18" s="103" t="s">
        <v>31</v>
      </c>
      <c r="C18" s="103" t="s">
        <v>42</v>
      </c>
      <c r="D18" s="104">
        <v>37</v>
      </c>
      <c r="E18" s="104">
        <v>37</v>
      </c>
      <c r="F18" s="104">
        <v>54</v>
      </c>
      <c r="G18" s="104">
        <f t="shared" si="0"/>
        <v>1998</v>
      </c>
      <c r="H18" s="105">
        <v>1171</v>
      </c>
      <c r="I18" s="106">
        <f t="shared" si="1"/>
        <v>108.13335328498485</v>
      </c>
      <c r="J18" s="106">
        <f t="shared" si="11"/>
        <v>150.87551104342052</v>
      </c>
      <c r="K18" s="106">
        <f t="shared" si="2"/>
        <v>43327</v>
      </c>
      <c r="L18" s="107">
        <f t="shared" si="3"/>
        <v>33743.672019849</v>
      </c>
      <c r="M18" s="104">
        <v>18</v>
      </c>
      <c r="N18" s="104">
        <f t="shared" si="4"/>
        <v>26309.345444348612</v>
      </c>
      <c r="O18" s="104">
        <f t="shared" si="4"/>
        <v>26309.345444348612</v>
      </c>
      <c r="P18" s="108">
        <f t="shared" si="5"/>
        <v>4356.0103290967363</v>
      </c>
      <c r="Q18" s="105">
        <v>250</v>
      </c>
      <c r="R18" s="106">
        <f t="shared" si="6"/>
        <v>9250</v>
      </c>
      <c r="S18" s="109">
        <f t="shared" si="7"/>
        <v>0.35158609398193713</v>
      </c>
      <c r="T18" s="109">
        <f t="shared" si="8"/>
        <v>0.51715502986864992</v>
      </c>
      <c r="U18" s="110">
        <f>IF($R18=0,"-",(VLOOKUP(M18,'2016 Avoided Costs'!$B$7:$G$51,6)*$G18)/($R18+$P18))</f>
        <v>1.6921054440746126</v>
      </c>
      <c r="V18" s="111">
        <f t="shared" si="9"/>
        <v>1.2825736045477072</v>
      </c>
      <c r="W18" s="112">
        <f t="shared" si="10"/>
        <v>1.4481425404344201</v>
      </c>
      <c r="X18" s="126">
        <f>IF($R18=0,"-",(VLOOKUP(M18,'2016 Avoided Costs'!$B$7:$G$51,4)*$G18)/($L18+$P18))</f>
        <v>0.53713610031098535</v>
      </c>
      <c r="Y18" s="127"/>
    </row>
    <row r="19" spans="1:25" s="20" customFormat="1" ht="25.5" thickBot="1" x14ac:dyDescent="0.4">
      <c r="A19" s="103" t="s">
        <v>43</v>
      </c>
      <c r="B19" s="103" t="s">
        <v>30</v>
      </c>
      <c r="C19" s="103" t="s">
        <v>44</v>
      </c>
      <c r="D19" s="104">
        <v>2</v>
      </c>
      <c r="E19" s="104">
        <v>2</v>
      </c>
      <c r="F19" s="104">
        <v>33</v>
      </c>
      <c r="G19" s="104">
        <f t="shared" si="0"/>
        <v>66</v>
      </c>
      <c r="H19" s="105">
        <v>139</v>
      </c>
      <c r="I19" s="106">
        <f t="shared" si="1"/>
        <v>61.901820890740119</v>
      </c>
      <c r="J19" s="106">
        <f t="shared" si="11"/>
        <v>32.829086140604794</v>
      </c>
      <c r="K19" s="106">
        <f t="shared" si="2"/>
        <v>278</v>
      </c>
      <c r="L19" s="107">
        <f t="shared" si="3"/>
        <v>88.538185937310175</v>
      </c>
      <c r="M19" s="104">
        <v>16</v>
      </c>
      <c r="N19" s="104">
        <f t="shared" si="4"/>
        <v>797.01415328862288</v>
      </c>
      <c r="O19" s="104">
        <f t="shared" si="4"/>
        <v>797.01415328862288</v>
      </c>
      <c r="P19" s="108">
        <f t="shared" si="5"/>
        <v>143.89223309328557</v>
      </c>
      <c r="Q19" s="105">
        <v>45</v>
      </c>
      <c r="R19" s="106">
        <f t="shared" si="6"/>
        <v>90</v>
      </c>
      <c r="S19" s="109">
        <f t="shared" si="7"/>
        <v>0.11292145770391142</v>
      </c>
      <c r="T19" s="109">
        <f t="shared" si="8"/>
        <v>0.29346057673907594</v>
      </c>
      <c r="U19" s="110">
        <f>IF($R19=0,"-",(VLOOKUP(M19,'2016 Avoided Costs'!$B$7:$G$51,6)*$G19)/($R19+$P19))</f>
        <v>2.8317839640952744</v>
      </c>
      <c r="V19" s="111">
        <f t="shared" si="9"/>
        <v>0.11108734465001129</v>
      </c>
      <c r="W19" s="112">
        <f t="shared" si="10"/>
        <v>0.29162646368517581</v>
      </c>
      <c r="X19" s="126">
        <f>IF($R19=0,"-",(VLOOKUP(M19,'2016 Avoided Costs'!$B$7:$G$51,4)*$G19)/($L19+$P19))</f>
        <v>2.5329722437169542</v>
      </c>
      <c r="Y19" s="127"/>
    </row>
    <row r="20" spans="1:25" s="20" customFormat="1" ht="25.5" thickBot="1" x14ac:dyDescent="0.4">
      <c r="A20" s="103" t="s">
        <v>43</v>
      </c>
      <c r="B20" s="103" t="s">
        <v>33</v>
      </c>
      <c r="C20" s="103" t="s">
        <v>44</v>
      </c>
      <c r="D20" s="104">
        <v>1</v>
      </c>
      <c r="E20" s="104">
        <v>1</v>
      </c>
      <c r="F20" s="104">
        <v>33</v>
      </c>
      <c r="G20" s="104">
        <f t="shared" si="0"/>
        <v>33</v>
      </c>
      <c r="H20" s="105">
        <v>139</v>
      </c>
      <c r="I20" s="106">
        <f t="shared" si="1"/>
        <v>61.901820890740119</v>
      </c>
      <c r="J20" s="106">
        <f t="shared" si="11"/>
        <v>32.829086140604794</v>
      </c>
      <c r="K20" s="106">
        <f t="shared" si="2"/>
        <v>139</v>
      </c>
      <c r="L20" s="107">
        <f t="shared" si="3"/>
        <v>44.269092968655087</v>
      </c>
      <c r="M20" s="104">
        <v>16</v>
      </c>
      <c r="N20" s="104">
        <f t="shared" si="4"/>
        <v>398.50707664431144</v>
      </c>
      <c r="O20" s="104">
        <f t="shared" si="4"/>
        <v>398.50707664431144</v>
      </c>
      <c r="P20" s="108">
        <f t="shared" si="5"/>
        <v>71.946116546642784</v>
      </c>
      <c r="Q20" s="105">
        <v>45</v>
      </c>
      <c r="R20" s="106">
        <f t="shared" si="6"/>
        <v>45</v>
      </c>
      <c r="S20" s="109">
        <f t="shared" si="7"/>
        <v>0.11292145770391142</v>
      </c>
      <c r="T20" s="109">
        <f t="shared" si="8"/>
        <v>0.29346057673907594</v>
      </c>
      <c r="U20" s="110">
        <f>IF($R20=0,"-",(VLOOKUP(M20,'2016 Avoided Costs'!$B$7:$G$51,6)*$G20)/($R20+$P20))</f>
        <v>2.8317839640952744</v>
      </c>
      <c r="V20" s="111">
        <f t="shared" si="9"/>
        <v>0.11108734465001129</v>
      </c>
      <c r="W20" s="112">
        <f t="shared" si="10"/>
        <v>0.29162646368517581</v>
      </c>
      <c r="X20" s="126">
        <f>IF($R20=0,"-",(VLOOKUP(M20,'2016 Avoided Costs'!$B$7:$G$51,4)*$G20)/($L20+$P20))</f>
        <v>2.5329722437169542</v>
      </c>
      <c r="Y20" s="127"/>
    </row>
    <row r="21" spans="1:25" s="20" customFormat="1" ht="25.5" thickBot="1" x14ac:dyDescent="0.4">
      <c r="A21" s="103" t="s">
        <v>43</v>
      </c>
      <c r="B21" s="103" t="s">
        <v>31</v>
      </c>
      <c r="C21" s="103" t="s">
        <v>44</v>
      </c>
      <c r="D21" s="104">
        <v>1</v>
      </c>
      <c r="E21" s="104">
        <v>1</v>
      </c>
      <c r="F21" s="104">
        <v>33</v>
      </c>
      <c r="G21" s="104">
        <f t="shared" si="0"/>
        <v>33</v>
      </c>
      <c r="H21" s="105">
        <v>139</v>
      </c>
      <c r="I21" s="106">
        <f t="shared" si="1"/>
        <v>61.901820890740119</v>
      </c>
      <c r="J21" s="106">
        <f t="shared" si="11"/>
        <v>32.829086140604794</v>
      </c>
      <c r="K21" s="106">
        <f t="shared" si="2"/>
        <v>139</v>
      </c>
      <c r="L21" s="107">
        <f t="shared" si="3"/>
        <v>44.269092968655087</v>
      </c>
      <c r="M21" s="104">
        <v>16</v>
      </c>
      <c r="N21" s="104">
        <f t="shared" si="4"/>
        <v>398.50707664431144</v>
      </c>
      <c r="O21" s="104">
        <f t="shared" si="4"/>
        <v>398.50707664431144</v>
      </c>
      <c r="P21" s="108">
        <f t="shared" si="5"/>
        <v>71.946116546642784</v>
      </c>
      <c r="Q21" s="105">
        <v>45</v>
      </c>
      <c r="R21" s="106">
        <f t="shared" si="6"/>
        <v>45</v>
      </c>
      <c r="S21" s="109">
        <f t="shared" si="7"/>
        <v>0.11292145770391142</v>
      </c>
      <c r="T21" s="109">
        <f t="shared" si="8"/>
        <v>0.29346057673907594</v>
      </c>
      <c r="U21" s="110">
        <f>IF($R21=0,"-",(VLOOKUP(M21,'2016 Avoided Costs'!$B$7:$G$51,6)*$G21)/($R21+$P21))</f>
        <v>2.8317839640952744</v>
      </c>
      <c r="V21" s="111">
        <f t="shared" si="9"/>
        <v>0.11108734465001129</v>
      </c>
      <c r="W21" s="112">
        <f t="shared" si="10"/>
        <v>0.29162646368517581</v>
      </c>
      <c r="X21" s="126">
        <f>IF($R21=0,"-",(VLOOKUP(M21,'2016 Avoided Costs'!$B$7:$G$51,4)*$G21)/($L21+$P21))</f>
        <v>2.5329722437169542</v>
      </c>
      <c r="Y21" s="127"/>
    </row>
    <row r="22" spans="1:25" s="20" customFormat="1" ht="25.5" thickBot="1" x14ac:dyDescent="0.4">
      <c r="A22" s="103" t="s">
        <v>45</v>
      </c>
      <c r="B22" s="103" t="s">
        <v>30</v>
      </c>
      <c r="C22" s="103" t="s">
        <v>46</v>
      </c>
      <c r="D22" s="104">
        <v>17</v>
      </c>
      <c r="E22" s="104">
        <v>17</v>
      </c>
      <c r="F22" s="104">
        <v>17</v>
      </c>
      <c r="G22" s="104">
        <f t="shared" si="0"/>
        <v>289</v>
      </c>
      <c r="H22" s="105">
        <v>10</v>
      </c>
      <c r="I22" s="106">
        <f t="shared" si="1"/>
        <v>24.458825465807251</v>
      </c>
      <c r="J22" s="106">
        <f t="shared" ref="J22:J27" si="12">0.1*$H22+PV($B$90,$M22,(-0.05*0.95*$F22))+PV($B$90,$M22,12)</f>
        <v>-91.98984103754951</v>
      </c>
      <c r="K22" s="106">
        <f t="shared" si="2"/>
        <v>170</v>
      </c>
      <c r="L22" s="107">
        <f t="shared" si="3"/>
        <v>1318.0272647196184</v>
      </c>
      <c r="M22" s="104">
        <v>10</v>
      </c>
      <c r="N22" s="104">
        <f t="shared" si="4"/>
        <v>2401.0778699889938</v>
      </c>
      <c r="O22" s="104">
        <f t="shared" si="4"/>
        <v>2401.0778699889938</v>
      </c>
      <c r="P22" s="108">
        <f t="shared" si="5"/>
        <v>630.07356612059903</v>
      </c>
      <c r="Q22" s="105">
        <v>10</v>
      </c>
      <c r="R22" s="106">
        <f t="shared" si="6"/>
        <v>170</v>
      </c>
      <c r="S22" s="109">
        <f t="shared" si="7"/>
        <v>7.0801535479055183E-2</v>
      </c>
      <c r="T22" s="109">
        <f t="shared" si="8"/>
        <v>0.33321433516201054</v>
      </c>
      <c r="U22" s="110">
        <f>IF($R22=0,"-",(VLOOKUP(M22,'2016 Avoided Costs'!$B$7:$G$51,6)*$G22)/($R22+$P22))</f>
        <v>2.1058143792567705</v>
      </c>
      <c r="V22" s="111">
        <f t="shared" si="9"/>
        <v>0.54893149497298899</v>
      </c>
      <c r="W22" s="112">
        <f t="shared" si="10"/>
        <v>0.81134429465594438</v>
      </c>
      <c r="X22" s="126">
        <f>IF($R22=0,"-",(VLOOKUP(M22,'2016 Avoided Costs'!$B$7:$G$51,4)*$G22)/($L22+$P22))</f>
        <v>0.78622326717010926</v>
      </c>
      <c r="Y22" s="127"/>
    </row>
    <row r="23" spans="1:25" s="20" customFormat="1" ht="25.5" thickBot="1" x14ac:dyDescent="0.4">
      <c r="A23" s="103" t="s">
        <v>45</v>
      </c>
      <c r="B23" s="103" t="s">
        <v>33</v>
      </c>
      <c r="C23" s="103" t="s">
        <v>46</v>
      </c>
      <c r="D23" s="104">
        <v>11</v>
      </c>
      <c r="E23" s="104">
        <v>11</v>
      </c>
      <c r="F23" s="104">
        <v>18</v>
      </c>
      <c r="G23" s="104">
        <f t="shared" ref="G23:G38" si="13">IF(ISNUMBER(E23),E23*F23,"")</f>
        <v>198</v>
      </c>
      <c r="H23" s="105">
        <v>10</v>
      </c>
      <c r="I23" s="106">
        <f t="shared" si="1"/>
        <v>25.897579904972382</v>
      </c>
      <c r="J23" s="106">
        <f t="shared" si="12"/>
        <v>-91.595200211167239</v>
      </c>
      <c r="K23" s="106">
        <f t="shared" ref="K23:K38" si="14">IF(ISNUMBER(H23),H23*E23,"")</f>
        <v>110</v>
      </c>
      <c r="L23" s="107">
        <f t="shared" si="3"/>
        <v>832.67382336814353</v>
      </c>
      <c r="M23" s="104">
        <v>10</v>
      </c>
      <c r="N23" s="104">
        <f t="shared" si="4"/>
        <v>1645.0291289197951</v>
      </c>
      <c r="O23" s="104">
        <f t="shared" si="4"/>
        <v>1645.0291289197951</v>
      </c>
      <c r="P23" s="108">
        <f t="shared" si="5"/>
        <v>431.67669927985668</v>
      </c>
      <c r="Q23" s="105">
        <v>10</v>
      </c>
      <c r="R23" s="106">
        <f t="shared" ref="R23:R38" si="15">IF(ISNUMBER(Q23),Q23*E23,"")</f>
        <v>110</v>
      </c>
      <c r="S23" s="109">
        <f t="shared" ref="S23:S38" si="16">IF(ISERROR(R23/O23),0,R23/O23)</f>
        <v>6.68681168413299E-2</v>
      </c>
      <c r="T23" s="109">
        <f t="shared" ref="T23:T38" si="17">IF(ISERROR((P23+R23)/O23),0,(P23+R23)/O23)</f>
        <v>0.32928091652428521</v>
      </c>
      <c r="U23" s="110">
        <f>IF($R23=0,"-",(VLOOKUP(M23,'2016 Avoided Costs'!$B$7:$G$51,6)*$G23)/($R23+$P23))</f>
        <v>2.1309693430317447</v>
      </c>
      <c r="V23" s="111">
        <f t="shared" ref="V23:V38" si="18">IF(ISERROR(RL23/N23),0,L23/N23)</f>
        <v>0.50617573192452647</v>
      </c>
      <c r="W23" s="112">
        <f t="shared" ref="W23:W38" si="19">IF(ISERROR(L23/N23),0,(L23+P23)/N23)</f>
        <v>0.76858853160748175</v>
      </c>
      <c r="X23" s="126">
        <f>IF($R23=0,"-",(VLOOKUP(M23,'2016 Avoided Costs'!$B$7:$G$51,4)*$G23)/($L23+$P23))</f>
        <v>0.82996003181322353</v>
      </c>
      <c r="Y23" s="127"/>
    </row>
    <row r="24" spans="1:25" s="20" customFormat="1" ht="25.5" thickBot="1" x14ac:dyDescent="0.4">
      <c r="A24" s="103" t="s">
        <v>45</v>
      </c>
      <c r="B24" s="103" t="s">
        <v>31</v>
      </c>
      <c r="C24" s="103" t="s">
        <v>46</v>
      </c>
      <c r="D24" s="104">
        <v>13</v>
      </c>
      <c r="E24" s="104">
        <v>13</v>
      </c>
      <c r="F24" s="104">
        <v>17</v>
      </c>
      <c r="G24" s="104">
        <f t="shared" si="13"/>
        <v>221</v>
      </c>
      <c r="H24" s="105">
        <v>10</v>
      </c>
      <c r="I24" s="106">
        <f t="shared" si="1"/>
        <v>24.458825465807251</v>
      </c>
      <c r="J24" s="106">
        <f t="shared" si="12"/>
        <v>-91.98984103754951</v>
      </c>
      <c r="K24" s="106">
        <f t="shared" si="14"/>
        <v>130</v>
      </c>
      <c r="L24" s="107">
        <f t="shared" si="3"/>
        <v>1007.9032024326493</v>
      </c>
      <c r="M24" s="104">
        <v>10</v>
      </c>
      <c r="N24" s="104">
        <f t="shared" si="4"/>
        <v>1836.118371168054</v>
      </c>
      <c r="O24" s="104">
        <f t="shared" si="4"/>
        <v>1836.118371168054</v>
      </c>
      <c r="P24" s="108">
        <f t="shared" si="5"/>
        <v>481.8209623275169</v>
      </c>
      <c r="Q24" s="105">
        <v>10</v>
      </c>
      <c r="R24" s="106">
        <f t="shared" si="15"/>
        <v>130</v>
      </c>
      <c r="S24" s="109">
        <f t="shared" si="16"/>
        <v>7.0801535479055197E-2</v>
      </c>
      <c r="T24" s="109">
        <f t="shared" si="17"/>
        <v>0.3332143351620106</v>
      </c>
      <c r="U24" s="110">
        <f>IF($R24=0,"-",(VLOOKUP(M24,'2016 Avoided Costs'!$B$7:$G$51,6)*$G24)/($R24+$P24))</f>
        <v>2.1058143792567705</v>
      </c>
      <c r="V24" s="111">
        <f t="shared" si="18"/>
        <v>0.54893149497298899</v>
      </c>
      <c r="W24" s="112">
        <f t="shared" si="19"/>
        <v>0.81134429465594449</v>
      </c>
      <c r="X24" s="126">
        <f>IF($R24=0,"-",(VLOOKUP(M24,'2016 Avoided Costs'!$B$7:$G$51,4)*$G24)/($L24+$P24))</f>
        <v>0.78622326717010926</v>
      </c>
      <c r="Y24" s="127"/>
    </row>
    <row r="25" spans="1:25" s="20" customFormat="1" ht="25.5" thickBot="1" x14ac:dyDescent="0.4">
      <c r="A25" s="103" t="s">
        <v>47</v>
      </c>
      <c r="B25" s="103" t="s">
        <v>30</v>
      </c>
      <c r="C25" s="103" t="s">
        <v>48</v>
      </c>
      <c r="D25" s="104">
        <v>61</v>
      </c>
      <c r="E25" s="104">
        <v>61</v>
      </c>
      <c r="F25" s="104">
        <v>31</v>
      </c>
      <c r="G25" s="104">
        <f t="shared" si="13"/>
        <v>1891</v>
      </c>
      <c r="H25" s="105">
        <v>16</v>
      </c>
      <c r="I25" s="106">
        <f t="shared" si="1"/>
        <v>44.601387614119105</v>
      </c>
      <c r="J25" s="106">
        <f t="shared" si="12"/>
        <v>-85.864869468197682</v>
      </c>
      <c r="K25" s="106">
        <f t="shared" si="14"/>
        <v>976</v>
      </c>
      <c r="L25" s="107">
        <f t="shared" si="3"/>
        <v>3493.0723930987933</v>
      </c>
      <c r="M25" s="104">
        <v>10</v>
      </c>
      <c r="N25" s="104">
        <f t="shared" ref="N25:O49" si="20">PV($B$90,$M25,-$G25)</f>
        <v>15710.859003976424</v>
      </c>
      <c r="O25" s="104">
        <f t="shared" si="20"/>
        <v>15710.859003976424</v>
      </c>
      <c r="P25" s="108">
        <f t="shared" si="5"/>
        <v>4122.7304966576212</v>
      </c>
      <c r="Q25" s="105">
        <v>16</v>
      </c>
      <c r="R25" s="106">
        <f t="shared" si="15"/>
        <v>976</v>
      </c>
      <c r="S25" s="109">
        <f t="shared" si="16"/>
        <v>6.2122637581622626E-2</v>
      </c>
      <c r="T25" s="109">
        <f t="shared" si="17"/>
        <v>0.32453543726457801</v>
      </c>
      <c r="U25" s="110">
        <f>IF($R25=0,"-",(VLOOKUP(M25,'2016 Avoided Costs'!$B$7:$G$51,6)*$G25)/($R25+$P25))</f>
        <v>2.1621291784742604</v>
      </c>
      <c r="V25" s="111">
        <f t="shared" si="18"/>
        <v>0.2223349081176717</v>
      </c>
      <c r="W25" s="112">
        <f t="shared" si="19"/>
        <v>0.48474770780062709</v>
      </c>
      <c r="X25" s="126">
        <f>IF($R25=0,"-",(VLOOKUP(M25,'2016 Avoided Costs'!$B$7:$G$51,4)*$G25)/($L25+$P25))</f>
        <v>1.3159376555661544</v>
      </c>
      <c r="Y25" s="127"/>
    </row>
    <row r="26" spans="1:25" s="20" customFormat="1" ht="25.5" thickBot="1" x14ac:dyDescent="0.4">
      <c r="A26" s="103" t="s">
        <v>47</v>
      </c>
      <c r="B26" s="103" t="s">
        <v>33</v>
      </c>
      <c r="C26" s="103" t="s">
        <v>48</v>
      </c>
      <c r="D26" s="104">
        <v>27</v>
      </c>
      <c r="E26" s="104">
        <v>27</v>
      </c>
      <c r="F26" s="104">
        <v>31</v>
      </c>
      <c r="G26" s="104">
        <f t="shared" si="13"/>
        <v>837</v>
      </c>
      <c r="H26" s="105">
        <v>16</v>
      </c>
      <c r="I26" s="106">
        <f t="shared" si="1"/>
        <v>44.601387614119105</v>
      </c>
      <c r="J26" s="106">
        <f t="shared" si="12"/>
        <v>-85.864869468197682</v>
      </c>
      <c r="K26" s="106">
        <f t="shared" si="14"/>
        <v>432</v>
      </c>
      <c r="L26" s="107">
        <f t="shared" si="3"/>
        <v>1546.1140100601215</v>
      </c>
      <c r="M26" s="104">
        <v>10</v>
      </c>
      <c r="N26" s="104">
        <f t="shared" si="20"/>
        <v>6953.9867722518611</v>
      </c>
      <c r="O26" s="104">
        <f t="shared" si="20"/>
        <v>6953.9867722518611</v>
      </c>
      <c r="P26" s="108">
        <f t="shared" si="5"/>
        <v>1824.815137864849</v>
      </c>
      <c r="Q26" s="105">
        <v>16</v>
      </c>
      <c r="R26" s="106">
        <f t="shared" si="15"/>
        <v>432</v>
      </c>
      <c r="S26" s="109">
        <f t="shared" si="16"/>
        <v>6.2122637581622613E-2</v>
      </c>
      <c r="T26" s="109">
        <f t="shared" si="17"/>
        <v>0.32453543726457801</v>
      </c>
      <c r="U26" s="110">
        <f>IF($R26=0,"-",(VLOOKUP(M26,'2016 Avoided Costs'!$B$7:$G$51,6)*$G26)/($R26+$P26))</f>
        <v>2.1621291784742604</v>
      </c>
      <c r="V26" s="111">
        <f t="shared" si="18"/>
        <v>0.22233490811767162</v>
      </c>
      <c r="W26" s="112">
        <f t="shared" si="19"/>
        <v>0.48474770780062698</v>
      </c>
      <c r="X26" s="126">
        <f>IF($R26=0,"-",(VLOOKUP(M26,'2016 Avoided Costs'!$B$7:$G$51,4)*$G26)/($L26+$P26))</f>
        <v>1.3159376555661544</v>
      </c>
      <c r="Y26" s="127"/>
    </row>
    <row r="27" spans="1:25" s="20" customFormat="1" ht="25.5" thickBot="1" x14ac:dyDescent="0.4">
      <c r="A27" s="103" t="s">
        <v>47</v>
      </c>
      <c r="B27" s="103" t="s">
        <v>31</v>
      </c>
      <c r="C27" s="103" t="s">
        <v>48</v>
      </c>
      <c r="D27" s="104">
        <v>46</v>
      </c>
      <c r="E27" s="104">
        <v>46</v>
      </c>
      <c r="F27" s="104">
        <v>31</v>
      </c>
      <c r="G27" s="104">
        <f t="shared" si="13"/>
        <v>1426</v>
      </c>
      <c r="H27" s="105">
        <v>16</v>
      </c>
      <c r="I27" s="106">
        <f t="shared" si="1"/>
        <v>44.601387614119105</v>
      </c>
      <c r="J27" s="106">
        <f t="shared" si="12"/>
        <v>-85.864869468197682</v>
      </c>
      <c r="K27" s="106">
        <f t="shared" si="14"/>
        <v>736</v>
      </c>
      <c r="L27" s="107">
        <f t="shared" si="3"/>
        <v>2634.1201652876143</v>
      </c>
      <c r="M27" s="104">
        <v>10</v>
      </c>
      <c r="N27" s="104">
        <f t="shared" si="20"/>
        <v>11847.53301939206</v>
      </c>
      <c r="O27" s="104">
        <f t="shared" si="20"/>
        <v>11847.53301939206</v>
      </c>
      <c r="P27" s="108">
        <f t="shared" si="5"/>
        <v>3108.9443089549277</v>
      </c>
      <c r="Q27" s="105">
        <v>16</v>
      </c>
      <c r="R27" s="106">
        <f t="shared" si="15"/>
        <v>736</v>
      </c>
      <c r="S27" s="109">
        <f t="shared" si="16"/>
        <v>6.2122637581622613E-2</v>
      </c>
      <c r="T27" s="109">
        <f t="shared" si="17"/>
        <v>0.32453543726457795</v>
      </c>
      <c r="U27" s="110">
        <f>IF($R27=0,"-",(VLOOKUP(M27,'2016 Avoided Costs'!$B$7:$G$51,6)*$G27)/($R27+$P27))</f>
        <v>2.16212917847426</v>
      </c>
      <c r="V27" s="111">
        <f t="shared" si="18"/>
        <v>0.22233490811767162</v>
      </c>
      <c r="W27" s="112">
        <f t="shared" si="19"/>
        <v>0.48474770780062698</v>
      </c>
      <c r="X27" s="126">
        <f>IF($R27=0,"-",(VLOOKUP(M27,'2016 Avoided Costs'!$B$7:$G$51,4)*$G27)/($L27+$P27))</f>
        <v>1.3159376555661546</v>
      </c>
      <c r="Y27" s="127"/>
    </row>
    <row r="28" spans="1:25" s="20" customFormat="1" ht="15" thickBot="1" x14ac:dyDescent="0.4">
      <c r="A28" s="103" t="s">
        <v>49</v>
      </c>
      <c r="B28" s="103" t="s">
        <v>31</v>
      </c>
      <c r="C28" s="103" t="s">
        <v>50</v>
      </c>
      <c r="D28" s="104">
        <v>1</v>
      </c>
      <c r="E28" s="104">
        <v>1</v>
      </c>
      <c r="F28" s="104">
        <v>207</v>
      </c>
      <c r="G28" s="104">
        <f t="shared" si="13"/>
        <v>207</v>
      </c>
      <c r="H28" s="105">
        <v>1142</v>
      </c>
      <c r="I28" s="106">
        <f t="shared" si="1"/>
        <v>538.85024212443284</v>
      </c>
      <c r="J28" s="106">
        <f t="shared" ref="J28:J49" si="21">0.1*$H28+PV($B$90,$M28,(-0.05*0.95*$F28))</f>
        <v>294.58749138716001</v>
      </c>
      <c r="K28" s="106">
        <f t="shared" si="14"/>
        <v>1142</v>
      </c>
      <c r="L28" s="107">
        <f t="shared" ref="L28:L38" si="22">K28-D28*(I28+J28)</f>
        <v>308.5622664884072</v>
      </c>
      <c r="M28" s="104">
        <v>30</v>
      </c>
      <c r="N28" s="104">
        <f t="shared" si="20"/>
        <v>3797.631397624421</v>
      </c>
      <c r="O28" s="104">
        <f t="shared" si="20"/>
        <v>3797.631397624421</v>
      </c>
      <c r="P28" s="108">
        <f t="shared" si="5"/>
        <v>451.29836742894111</v>
      </c>
      <c r="Q28" s="105">
        <v>2000</v>
      </c>
      <c r="R28" s="106">
        <f t="shared" si="15"/>
        <v>2000</v>
      </c>
      <c r="S28" s="109">
        <f t="shared" si="16"/>
        <v>0.52664405535805414</v>
      </c>
      <c r="T28" s="109">
        <f t="shared" si="17"/>
        <v>0.64548085655767751</v>
      </c>
      <c r="U28" s="110">
        <f>IF($R28=0,"-",(VLOOKUP(M28,'2016 Avoided Costs'!$B$7:$G$51,6)*$G28)/($R28+$P28))</f>
        <v>1.8628133071562241</v>
      </c>
      <c r="V28" s="111">
        <f t="shared" si="18"/>
        <v>8.1251241676963681E-2</v>
      </c>
      <c r="W28" s="112">
        <f t="shared" si="19"/>
        <v>0.20008804287658705</v>
      </c>
      <c r="X28" s="126">
        <f>IF($R28=0,"-",(VLOOKUP(M28,'2016 Avoided Costs'!$B$7:$G$51,4)*$G28)/($L28+$P28))</f>
        <v>5.114388271064608</v>
      </c>
      <c r="Y28" s="127"/>
    </row>
    <row r="29" spans="1:25" s="20" customFormat="1" ht="15" thickBot="1" x14ac:dyDescent="0.4">
      <c r="A29" s="103" t="s">
        <v>51</v>
      </c>
      <c r="B29" s="103" t="s">
        <v>30</v>
      </c>
      <c r="C29" s="103" t="s">
        <v>52</v>
      </c>
      <c r="D29" s="104">
        <v>57</v>
      </c>
      <c r="E29" s="104">
        <v>68272</v>
      </c>
      <c r="F29" s="113">
        <v>5.6000000000000001E-2</v>
      </c>
      <c r="G29" s="108">
        <f t="shared" si="13"/>
        <v>3823.232</v>
      </c>
      <c r="H29" s="105">
        <v>1.08</v>
      </c>
      <c r="I29" s="106">
        <f t="shared" si="1"/>
        <v>0.17223990956949681</v>
      </c>
      <c r="J29" s="106">
        <f t="shared" si="21"/>
        <v>0.16763703193578533</v>
      </c>
      <c r="K29" s="106">
        <f t="shared" si="14"/>
        <v>73733.760000000009</v>
      </c>
      <c r="L29" s="107">
        <f t="shared" si="22"/>
        <v>73714.387014334206</v>
      </c>
      <c r="M29" s="104">
        <v>45</v>
      </c>
      <c r="N29" s="104">
        <f t="shared" si="20"/>
        <v>85716.619880419719</v>
      </c>
      <c r="O29" s="104">
        <f t="shared" si="20"/>
        <v>85716.619880419719</v>
      </c>
      <c r="P29" s="108">
        <f t="shared" si="5"/>
        <v>8335.3543956622489</v>
      </c>
      <c r="Q29" s="105">
        <v>0.75</v>
      </c>
      <c r="R29" s="106">
        <f t="shared" si="15"/>
        <v>51204</v>
      </c>
      <c r="S29" s="109">
        <f t="shared" si="16"/>
        <v>0.59736373262773224</v>
      </c>
      <c r="T29" s="109">
        <f t="shared" si="17"/>
        <v>0.69460688579091812</v>
      </c>
      <c r="U29" s="110">
        <f>IF($R29=0,"-",(VLOOKUP(M29,'2016 Avoided Costs'!$B$7:$G$51,6)*$G29)/($R29+$P29))</f>
        <v>2.3871111258776532</v>
      </c>
      <c r="V29" s="111">
        <f t="shared" si="18"/>
        <v>0.85997776297257855</v>
      </c>
      <c r="W29" s="112">
        <f t="shared" si="19"/>
        <v>0.95722091613576454</v>
      </c>
      <c r="X29" s="126">
        <f>IF($R29=0,"-",(VLOOKUP(M29,'2016 Avoided Costs'!$B$7:$G$51,4)*$G29)/($L29+$P29))</f>
        <v>1.4435050095126596</v>
      </c>
      <c r="Y29" s="127"/>
    </row>
    <row r="30" spans="1:25" s="20" customFormat="1" ht="15" thickBot="1" x14ac:dyDescent="0.4">
      <c r="A30" s="103" t="s">
        <v>51</v>
      </c>
      <c r="B30" s="103" t="s">
        <v>33</v>
      </c>
      <c r="C30" s="103" t="s">
        <v>52</v>
      </c>
      <c r="D30" s="104">
        <v>10</v>
      </c>
      <c r="E30" s="104">
        <v>11176</v>
      </c>
      <c r="F30" s="113">
        <v>5.3999999999999999E-2</v>
      </c>
      <c r="G30" s="108">
        <f t="shared" si="13"/>
        <v>603.50400000000002</v>
      </c>
      <c r="H30" s="105">
        <v>1.08</v>
      </c>
      <c r="I30" s="106">
        <f t="shared" si="1"/>
        <v>0.16608848422772909</v>
      </c>
      <c r="J30" s="106">
        <f t="shared" si="21"/>
        <v>0.16550713793807872</v>
      </c>
      <c r="K30" s="106">
        <f t="shared" si="14"/>
        <v>12070.08</v>
      </c>
      <c r="L30" s="107">
        <f t="shared" si="22"/>
        <v>12066.764043778341</v>
      </c>
      <c r="M30" s="104">
        <v>45</v>
      </c>
      <c r="N30" s="104">
        <f t="shared" si="20"/>
        <v>13530.521549388795</v>
      </c>
      <c r="O30" s="104">
        <f t="shared" si="20"/>
        <v>13530.521549388795</v>
      </c>
      <c r="P30" s="108">
        <f t="shared" si="5"/>
        <v>1315.7505794050035</v>
      </c>
      <c r="Q30" s="105">
        <v>0.75</v>
      </c>
      <c r="R30" s="106">
        <f t="shared" si="15"/>
        <v>8382</v>
      </c>
      <c r="S30" s="109">
        <f t="shared" si="16"/>
        <v>0.61948831531764825</v>
      </c>
      <c r="T30" s="109">
        <f t="shared" si="17"/>
        <v>0.71673146848083413</v>
      </c>
      <c r="U30" s="110">
        <f>IF($R30=0,"-",(VLOOKUP(M30,'2016 Avoided Costs'!$B$7:$G$51,6)*$G30)/($R30+$P30))</f>
        <v>2.3134240620091706</v>
      </c>
      <c r="V30" s="111">
        <f t="shared" si="18"/>
        <v>0.89181810174371468</v>
      </c>
      <c r="W30" s="112">
        <f t="shared" si="19"/>
        <v>0.98906125490690067</v>
      </c>
      <c r="X30" s="126">
        <f>IF($R30=0,"-",(VLOOKUP(M30,'2016 Avoided Costs'!$B$7:$G$51,4)*$G30)/($L30+$P30))</f>
        <v>1.3970349973746938</v>
      </c>
      <c r="Y30" s="127"/>
    </row>
    <row r="31" spans="1:25" s="20" customFormat="1" ht="15" thickBot="1" x14ac:dyDescent="0.4">
      <c r="A31" s="103" t="s">
        <v>51</v>
      </c>
      <c r="B31" s="103" t="s">
        <v>31</v>
      </c>
      <c r="C31" s="103" t="s">
        <v>52</v>
      </c>
      <c r="D31" s="104">
        <v>9</v>
      </c>
      <c r="E31" s="104">
        <v>12694</v>
      </c>
      <c r="F31" s="113">
        <v>5.8999999999999997E-2</v>
      </c>
      <c r="G31" s="108">
        <f t="shared" si="13"/>
        <v>748.94599999999991</v>
      </c>
      <c r="H31" s="105">
        <v>1.08</v>
      </c>
      <c r="I31" s="106">
        <f t="shared" si="1"/>
        <v>0.18146704758214843</v>
      </c>
      <c r="J31" s="106">
        <f t="shared" si="21"/>
        <v>0.17083187293234525</v>
      </c>
      <c r="K31" s="106">
        <f t="shared" si="14"/>
        <v>13709.52</v>
      </c>
      <c r="L31" s="107">
        <f t="shared" si="22"/>
        <v>13706.34930971537</v>
      </c>
      <c r="M31" s="104">
        <v>45</v>
      </c>
      <c r="N31" s="104">
        <f t="shared" si="20"/>
        <v>16791.322000067172</v>
      </c>
      <c r="O31" s="104">
        <f t="shared" si="20"/>
        <v>16791.322000067172</v>
      </c>
      <c r="P31" s="108">
        <f t="shared" si="5"/>
        <v>1632.841097064907</v>
      </c>
      <c r="Q31" s="105">
        <v>0.75</v>
      </c>
      <c r="R31" s="106">
        <f t="shared" si="15"/>
        <v>9520.5</v>
      </c>
      <c r="S31" s="109">
        <f t="shared" si="16"/>
        <v>0.56698930554496629</v>
      </c>
      <c r="T31" s="109">
        <f t="shared" si="17"/>
        <v>0.66423245870815228</v>
      </c>
      <c r="U31" s="110">
        <f>IF($R31=0,"-",(VLOOKUP(M31,'2016 Avoided Costs'!$B$7:$G$51,6)*$G31)/($R31+$P31))</f>
        <v>2.4962703996843674</v>
      </c>
      <c r="V31" s="111">
        <f t="shared" si="18"/>
        <v>0.81627577088096692</v>
      </c>
      <c r="W31" s="112">
        <f t="shared" si="19"/>
        <v>0.91351892404415291</v>
      </c>
      <c r="X31" s="126">
        <f>IF($R31=0,"-",(VLOOKUP(M31,'2016 Avoided Costs'!$B$7:$G$51,4)*$G31)/($L31+$P31))</f>
        <v>1.5125610989373326</v>
      </c>
      <c r="Y31" s="127"/>
    </row>
    <row r="32" spans="1:25" s="20" customFormat="1" ht="38" thickBot="1" x14ac:dyDescent="0.4">
      <c r="A32" s="103" t="s">
        <v>53</v>
      </c>
      <c r="B32" s="103" t="s">
        <v>30</v>
      </c>
      <c r="C32" s="103" t="s">
        <v>54</v>
      </c>
      <c r="D32" s="104">
        <v>3</v>
      </c>
      <c r="E32" s="104">
        <v>3</v>
      </c>
      <c r="F32" s="104">
        <v>475</v>
      </c>
      <c r="G32" s="104">
        <f t="shared" si="13"/>
        <v>1425</v>
      </c>
      <c r="H32" s="105">
        <v>2500</v>
      </c>
      <c r="I32" s="106">
        <f t="shared" si="1"/>
        <v>1033.9597629488724</v>
      </c>
      <c r="J32" s="106">
        <f t="shared" si="21"/>
        <v>580.99914862130549</v>
      </c>
      <c r="K32" s="106">
        <f t="shared" si="14"/>
        <v>7500</v>
      </c>
      <c r="L32" s="107">
        <f t="shared" si="22"/>
        <v>2655.1232652894669</v>
      </c>
      <c r="M32" s="104">
        <v>21</v>
      </c>
      <c r="N32" s="104">
        <f t="shared" si="20"/>
        <v>20905.209386608771</v>
      </c>
      <c r="O32" s="104">
        <f t="shared" si="20"/>
        <v>20905.209386608771</v>
      </c>
      <c r="P32" s="108">
        <f t="shared" si="5"/>
        <v>3106.7641236050295</v>
      </c>
      <c r="Q32" s="105">
        <v>2500</v>
      </c>
      <c r="R32" s="106">
        <f t="shared" si="15"/>
        <v>7500</v>
      </c>
      <c r="S32" s="109">
        <f t="shared" si="16"/>
        <v>0.35876225209225926</v>
      </c>
      <c r="T32" s="109">
        <f t="shared" si="17"/>
        <v>0.50737421125278914</v>
      </c>
      <c r="U32" s="110">
        <f>IF($R32=0,"-",(VLOOKUP(M32,'2016 Avoided Costs'!$B$7:$G$51,6)*$G32)/($R32+$P32))</f>
        <v>1.8971415042800772</v>
      </c>
      <c r="V32" s="111">
        <f t="shared" si="18"/>
        <v>0.12700773363170698</v>
      </c>
      <c r="W32" s="112">
        <f t="shared" si="19"/>
        <v>0.27561969279223691</v>
      </c>
      <c r="X32" s="126">
        <f>IF($R32=0,"-",(VLOOKUP(M32,'2016 Avoided Costs'!$B$7:$G$51,4)*$G32)/($L32+$P32))</f>
        <v>3.0368268449198599</v>
      </c>
      <c r="Y32" s="127"/>
    </row>
    <row r="33" spans="1:25" s="20" customFormat="1" ht="38" thickBot="1" x14ac:dyDescent="0.4">
      <c r="A33" s="103" t="s">
        <v>53</v>
      </c>
      <c r="B33" s="103" t="s">
        <v>33</v>
      </c>
      <c r="C33" s="103" t="s">
        <v>54</v>
      </c>
      <c r="D33" s="104">
        <v>1</v>
      </c>
      <c r="E33" s="104">
        <v>1</v>
      </c>
      <c r="F33" s="104">
        <v>468</v>
      </c>
      <c r="G33" s="104">
        <f t="shared" si="13"/>
        <v>468</v>
      </c>
      <c r="H33" s="105">
        <v>2500</v>
      </c>
      <c r="I33" s="106">
        <f t="shared" si="1"/>
        <v>1018.7224611790996</v>
      </c>
      <c r="J33" s="106">
        <f t="shared" si="21"/>
        <v>576.12126643109684</v>
      </c>
      <c r="K33" s="106">
        <f t="shared" si="14"/>
        <v>2500</v>
      </c>
      <c r="L33" s="107">
        <f t="shared" si="22"/>
        <v>905.15627238980369</v>
      </c>
      <c r="M33" s="104">
        <v>21</v>
      </c>
      <c r="N33" s="104">
        <f t="shared" si="20"/>
        <v>6865.710872233617</v>
      </c>
      <c r="O33" s="104">
        <f t="shared" si="20"/>
        <v>6865.710872233617</v>
      </c>
      <c r="P33" s="108">
        <f t="shared" si="5"/>
        <v>1020.3267437523886</v>
      </c>
      <c r="Q33" s="105">
        <v>2500</v>
      </c>
      <c r="R33" s="106">
        <f t="shared" si="15"/>
        <v>2500</v>
      </c>
      <c r="S33" s="109">
        <f t="shared" si="16"/>
        <v>0.36412835415346828</v>
      </c>
      <c r="T33" s="109">
        <f t="shared" si="17"/>
        <v>0.51274031331399816</v>
      </c>
      <c r="U33" s="110">
        <f>IF($R33=0,"-",(VLOOKUP(M33,'2016 Avoided Costs'!$B$7:$G$51,6)*$G33)/($R33+$P33))</f>
        <v>1.8772869021117313</v>
      </c>
      <c r="V33" s="111">
        <f t="shared" si="18"/>
        <v>0.13183722548679505</v>
      </c>
      <c r="W33" s="112">
        <f t="shared" si="19"/>
        <v>0.28044918464732499</v>
      </c>
      <c r="X33" s="126">
        <f>IF($R33=0,"-",(VLOOKUP(M33,'2016 Avoided Costs'!$B$7:$G$51,4)*$G33)/($L33+$P33))</f>
        <v>2.9845309877174335</v>
      </c>
      <c r="Y33" s="127"/>
    </row>
    <row r="34" spans="1:25" s="20" customFormat="1" ht="25.5" thickBot="1" x14ac:dyDescent="0.4">
      <c r="A34" s="103" t="s">
        <v>55</v>
      </c>
      <c r="B34" s="103" t="s">
        <v>30</v>
      </c>
      <c r="C34" s="103" t="s">
        <v>56</v>
      </c>
      <c r="D34" s="104">
        <v>2</v>
      </c>
      <c r="E34" s="104">
        <v>2</v>
      </c>
      <c r="F34" s="104">
        <v>13</v>
      </c>
      <c r="G34" s="104">
        <f t="shared" si="13"/>
        <v>26</v>
      </c>
      <c r="H34" s="105">
        <v>200</v>
      </c>
      <c r="I34" s="106">
        <f t="shared" si="1"/>
        <v>30.975262666134885</v>
      </c>
      <c r="J34" s="106">
        <f t="shared" si="21"/>
        <v>30.15527997104661</v>
      </c>
      <c r="K34" s="106">
        <f t="shared" si="14"/>
        <v>400</v>
      </c>
      <c r="L34" s="107">
        <f t="shared" si="22"/>
        <v>277.73891472563702</v>
      </c>
      <c r="M34" s="104">
        <v>25</v>
      </c>
      <c r="N34" s="104">
        <f t="shared" si="20"/>
        <v>427.59073562301523</v>
      </c>
      <c r="O34" s="104">
        <f t="shared" si="20"/>
        <v>427.59073562301523</v>
      </c>
      <c r="P34" s="108">
        <f t="shared" si="5"/>
        <v>56.684819097354925</v>
      </c>
      <c r="Q34" s="105">
        <v>100</v>
      </c>
      <c r="R34" s="106">
        <f t="shared" si="15"/>
        <v>200</v>
      </c>
      <c r="S34" s="109">
        <f t="shared" si="16"/>
        <v>0.46773698150544057</v>
      </c>
      <c r="T34" s="109">
        <f t="shared" si="17"/>
        <v>0.60030491241433426</v>
      </c>
      <c r="U34" s="110">
        <f>IF($R34=0,"-",(VLOOKUP(M34,'2016 Avoided Costs'!$B$7:$G$51,6)*$G34)/($R34+$P34))</f>
        <v>1.7582413860270487</v>
      </c>
      <c r="V34" s="111">
        <f t="shared" si="18"/>
        <v>0.6495438081018321</v>
      </c>
      <c r="W34" s="112">
        <f t="shared" si="19"/>
        <v>0.78211173901072584</v>
      </c>
      <c r="X34" s="126">
        <f>IF($R34=0,"-",(VLOOKUP(M34,'2016 Avoided Costs'!$B$7:$G$51,4)*$G34)/($L34+$P34))</f>
        <v>1.1735017751869945</v>
      </c>
      <c r="Y34" s="127"/>
    </row>
    <row r="35" spans="1:25" s="20" customFormat="1" ht="25.5" thickBot="1" x14ac:dyDescent="0.4">
      <c r="A35" s="103" t="s">
        <v>55</v>
      </c>
      <c r="B35" s="103" t="s">
        <v>33</v>
      </c>
      <c r="C35" s="103" t="s">
        <v>56</v>
      </c>
      <c r="D35" s="104">
        <v>2</v>
      </c>
      <c r="E35" s="104">
        <v>2</v>
      </c>
      <c r="F35" s="104">
        <v>13</v>
      </c>
      <c r="G35" s="104">
        <f t="shared" si="13"/>
        <v>26</v>
      </c>
      <c r="H35" s="105">
        <v>200</v>
      </c>
      <c r="I35" s="106">
        <f t="shared" si="1"/>
        <v>30.975262666134885</v>
      </c>
      <c r="J35" s="106">
        <f t="shared" si="21"/>
        <v>30.15527997104661</v>
      </c>
      <c r="K35" s="106">
        <f t="shared" si="14"/>
        <v>400</v>
      </c>
      <c r="L35" s="107">
        <f t="shared" si="22"/>
        <v>277.73891472563702</v>
      </c>
      <c r="M35" s="104">
        <v>25</v>
      </c>
      <c r="N35" s="104">
        <f t="shared" si="20"/>
        <v>427.59073562301523</v>
      </c>
      <c r="O35" s="104">
        <f t="shared" si="20"/>
        <v>427.59073562301523</v>
      </c>
      <c r="P35" s="108">
        <f t="shared" si="5"/>
        <v>56.684819097354925</v>
      </c>
      <c r="Q35" s="105">
        <v>100</v>
      </c>
      <c r="R35" s="106">
        <f t="shared" si="15"/>
        <v>200</v>
      </c>
      <c r="S35" s="109">
        <f t="shared" si="16"/>
        <v>0.46773698150544057</v>
      </c>
      <c r="T35" s="109">
        <f t="shared" si="17"/>
        <v>0.60030491241433426</v>
      </c>
      <c r="U35" s="110">
        <f>IF($R35=0,"-",(VLOOKUP(M35,'2016 Avoided Costs'!$B$7:$G$51,6)*$G35)/($R35+$P35))</f>
        <v>1.7582413860270487</v>
      </c>
      <c r="V35" s="111">
        <f t="shared" si="18"/>
        <v>0.6495438081018321</v>
      </c>
      <c r="W35" s="112">
        <f t="shared" si="19"/>
        <v>0.78211173901072584</v>
      </c>
      <c r="X35" s="126">
        <f>IF($R35=0,"-",(VLOOKUP(M35,'2016 Avoided Costs'!$B$7:$G$51,4)*$G35)/($L35+$P35))</f>
        <v>1.1735017751869945</v>
      </c>
      <c r="Y35" s="127"/>
    </row>
    <row r="36" spans="1:25" s="20" customFormat="1" ht="25.5" thickBot="1" x14ac:dyDescent="0.4">
      <c r="A36" s="103" t="s">
        <v>57</v>
      </c>
      <c r="B36" s="103" t="s">
        <v>30</v>
      </c>
      <c r="C36" s="103" t="s">
        <v>58</v>
      </c>
      <c r="D36" s="104">
        <v>227</v>
      </c>
      <c r="E36" s="104">
        <v>228</v>
      </c>
      <c r="F36" s="104">
        <v>111</v>
      </c>
      <c r="G36" s="104">
        <f t="shared" si="13"/>
        <v>25308</v>
      </c>
      <c r="H36" s="105">
        <v>1024</v>
      </c>
      <c r="I36" s="106">
        <f t="shared" si="1"/>
        <v>222.27411508580218</v>
      </c>
      <c r="J36" s="106">
        <f t="shared" si="21"/>
        <v>171.82743936703105</v>
      </c>
      <c r="K36" s="106">
        <f t="shared" si="14"/>
        <v>233472</v>
      </c>
      <c r="L36" s="107">
        <f t="shared" si="22"/>
        <v>144010.94713920687</v>
      </c>
      <c r="M36" s="104">
        <v>18</v>
      </c>
      <c r="N36" s="104">
        <f t="shared" si="20"/>
        <v>333251.7089617491</v>
      </c>
      <c r="O36" s="104">
        <f t="shared" si="20"/>
        <v>333251.7089617491</v>
      </c>
      <c r="P36" s="108">
        <f t="shared" si="5"/>
        <v>55176.130835225325</v>
      </c>
      <c r="Q36" s="105">
        <v>400</v>
      </c>
      <c r="R36" s="106">
        <f t="shared" si="15"/>
        <v>91200</v>
      </c>
      <c r="S36" s="109">
        <f t="shared" si="16"/>
        <v>0.27366701369404833</v>
      </c>
      <c r="T36" s="109">
        <f t="shared" si="17"/>
        <v>0.43923594958076123</v>
      </c>
      <c r="U36" s="110">
        <f>IF($R36=0,"-",(VLOOKUP(M36,'2016 Avoided Costs'!$B$7:$G$51,6)*$G36)/($R36+$P36))</f>
        <v>1.9922796444748034</v>
      </c>
      <c r="V36" s="111">
        <f t="shared" si="18"/>
        <v>0.43213866055743638</v>
      </c>
      <c r="W36" s="112">
        <f t="shared" si="19"/>
        <v>0.59770759644414928</v>
      </c>
      <c r="X36" s="126">
        <f>IF($R36=0,"-",(VLOOKUP(M36,'2016 Avoided Costs'!$B$7:$G$51,4)*$G36)/($L36+$P36))</f>
        <v>1.301388239819822</v>
      </c>
      <c r="Y36" s="127"/>
    </row>
    <row r="37" spans="1:25" s="20" customFormat="1" ht="25.5" thickBot="1" x14ac:dyDescent="0.4">
      <c r="A37" s="103" t="s">
        <v>57</v>
      </c>
      <c r="B37" s="103" t="s">
        <v>33</v>
      </c>
      <c r="C37" s="103" t="s">
        <v>58</v>
      </c>
      <c r="D37" s="104">
        <v>59</v>
      </c>
      <c r="E37" s="104">
        <v>59</v>
      </c>
      <c r="F37" s="104">
        <v>110</v>
      </c>
      <c r="G37" s="104">
        <f t="shared" si="13"/>
        <v>6490</v>
      </c>
      <c r="H37" s="105">
        <v>1024</v>
      </c>
      <c r="I37" s="106">
        <f t="shared" si="1"/>
        <v>220.27164558052468</v>
      </c>
      <c r="J37" s="106">
        <f t="shared" si="21"/>
        <v>171.20196694030105</v>
      </c>
      <c r="K37" s="106">
        <f t="shared" si="14"/>
        <v>60416</v>
      </c>
      <c r="L37" s="107">
        <f t="shared" si="22"/>
        <v>37319.056861271281</v>
      </c>
      <c r="M37" s="104">
        <v>18</v>
      </c>
      <c r="N37" s="104">
        <f t="shared" si="20"/>
        <v>85459.285252163405</v>
      </c>
      <c r="O37" s="104">
        <f t="shared" si="20"/>
        <v>85459.285252163405</v>
      </c>
      <c r="P37" s="108">
        <f t="shared" si="5"/>
        <v>14149.402920839748</v>
      </c>
      <c r="Q37" s="105">
        <v>400</v>
      </c>
      <c r="R37" s="106">
        <f t="shared" si="15"/>
        <v>23600</v>
      </c>
      <c r="S37" s="109">
        <f t="shared" si="16"/>
        <v>0.27615489563672152</v>
      </c>
      <c r="T37" s="109">
        <f t="shared" si="17"/>
        <v>0.44172383152343436</v>
      </c>
      <c r="U37" s="110">
        <f>IF($R37=0,"-",(VLOOKUP(M37,'2016 Avoided Costs'!$B$7:$G$51,6)*$G37)/($R37+$P37))</f>
        <v>1.9810587046057686</v>
      </c>
      <c r="V37" s="111">
        <f t="shared" si="18"/>
        <v>0.43668814630445962</v>
      </c>
      <c r="W37" s="112">
        <f t="shared" si="19"/>
        <v>0.60225708219117247</v>
      </c>
      <c r="X37" s="126">
        <f>IF($R37=0,"-",(VLOOKUP(M37,'2016 Avoided Costs'!$B$7:$G$51,4)*$G37)/($L37+$P37))</f>
        <v>1.2915574758097703</v>
      </c>
      <c r="Y37" s="127"/>
    </row>
    <row r="38" spans="1:25" s="20" customFormat="1" ht="25.5" thickBot="1" x14ac:dyDescent="0.4">
      <c r="A38" s="103" t="s">
        <v>57</v>
      </c>
      <c r="B38" s="103" t="s">
        <v>31</v>
      </c>
      <c r="C38" s="103" t="s">
        <v>58</v>
      </c>
      <c r="D38" s="104">
        <v>182</v>
      </c>
      <c r="E38" s="104">
        <v>183</v>
      </c>
      <c r="F38" s="104">
        <v>111</v>
      </c>
      <c r="G38" s="104">
        <f t="shared" si="13"/>
        <v>20313</v>
      </c>
      <c r="H38" s="105">
        <v>1024</v>
      </c>
      <c r="I38" s="106">
        <f t="shared" si="1"/>
        <v>222.27411508580218</v>
      </c>
      <c r="J38" s="106">
        <f t="shared" si="21"/>
        <v>171.82743936703105</v>
      </c>
      <c r="K38" s="106">
        <f t="shared" si="14"/>
        <v>187392</v>
      </c>
      <c r="L38" s="107">
        <f t="shared" si="22"/>
        <v>115665.51708958435</v>
      </c>
      <c r="M38" s="104">
        <v>18</v>
      </c>
      <c r="N38" s="104">
        <f t="shared" si="20"/>
        <v>267478.34535087756</v>
      </c>
      <c r="O38" s="104">
        <f t="shared" si="20"/>
        <v>267478.34535087756</v>
      </c>
      <c r="P38" s="108">
        <f t="shared" si="5"/>
        <v>44286.105012483487</v>
      </c>
      <c r="Q38" s="105">
        <v>400</v>
      </c>
      <c r="R38" s="106">
        <f t="shared" si="15"/>
        <v>73200</v>
      </c>
      <c r="S38" s="109">
        <f t="shared" si="16"/>
        <v>0.27366701369404833</v>
      </c>
      <c r="T38" s="109">
        <f t="shared" si="17"/>
        <v>0.43923594958076123</v>
      </c>
      <c r="U38" s="110">
        <f>IF($R38=0,"-",(VLOOKUP(M38,'2016 Avoided Costs'!$B$7:$G$51,6)*$G38)/($R38+$P38))</f>
        <v>1.9922796444748034</v>
      </c>
      <c r="V38" s="111">
        <f t="shared" si="18"/>
        <v>0.43242946242191888</v>
      </c>
      <c r="W38" s="112">
        <f t="shared" si="19"/>
        <v>0.59799839830863177</v>
      </c>
      <c r="X38" s="126">
        <f>IF($R38=0,"-",(VLOOKUP(M38,'2016 Avoided Costs'!$B$7:$G$51,4)*$G38)/($L38+$P38))</f>
        <v>1.3007553850703353</v>
      </c>
      <c r="Y38" s="127"/>
    </row>
    <row r="39" spans="1:25" s="20" customFormat="1" ht="25.5" thickBot="1" x14ac:dyDescent="0.4">
      <c r="A39" s="103" t="s">
        <v>59</v>
      </c>
      <c r="B39" s="103" t="s">
        <v>30</v>
      </c>
      <c r="C39" s="103" t="s">
        <v>60</v>
      </c>
      <c r="D39" s="104">
        <v>8</v>
      </c>
      <c r="E39" s="104">
        <v>8</v>
      </c>
      <c r="F39" s="104">
        <v>56</v>
      </c>
      <c r="G39" s="104">
        <f t="shared" ref="G39:G66" si="23">IF(ISNUMBER(E39),E39*F39,"")</f>
        <v>448</v>
      </c>
      <c r="H39" s="105">
        <v>425</v>
      </c>
      <c r="I39" s="106">
        <f t="shared" si="1"/>
        <v>118.7569183365509</v>
      </c>
      <c r="J39" s="106">
        <f t="shared" si="21"/>
        <v>80.23666914643249</v>
      </c>
      <c r="K39" s="106">
        <f t="shared" ref="K39:K66" si="24">IF(ISNUMBER(H39),H39*E39,"")</f>
        <v>3400</v>
      </c>
      <c r="L39" s="107">
        <f t="shared" ref="L39:L66" si="25">K39-D39*(I39+J39)</f>
        <v>1808.0513001361328</v>
      </c>
      <c r="M39" s="104">
        <v>20</v>
      </c>
      <c r="N39" s="104">
        <f t="shared" si="20"/>
        <v>6355.6495404517864</v>
      </c>
      <c r="O39" s="104">
        <f t="shared" si="20"/>
        <v>6355.6495404517864</v>
      </c>
      <c r="P39" s="108">
        <f t="shared" si="5"/>
        <v>976.72303675442333</v>
      </c>
      <c r="Q39" s="105">
        <v>250</v>
      </c>
      <c r="R39" s="106">
        <f t="shared" ref="R39:R66" si="26">IF(ISNUMBER(Q39),Q39*E39,"")</f>
        <v>2000</v>
      </c>
      <c r="S39" s="109">
        <f t="shared" ref="S39:S83" si="27">IF(ISERROR(R39/O39),0,R39/O39)</f>
        <v>0.31468066124014626</v>
      </c>
      <c r="T39" s="109">
        <f t="shared" ref="T39:T83" si="28">IF(ISERROR((P39+R39)/O39),0,(P39+R39)/O39)</f>
        <v>0.46835858676732911</v>
      </c>
      <c r="U39" s="110">
        <f>IF($R39=0,"-",(VLOOKUP(M39,'2016 Avoided Costs'!$B$7:$G$51,6)*$G39)/($R39+$P39))</f>
        <v>1.9628198955219167</v>
      </c>
      <c r="V39" s="111">
        <f t="shared" ref="V39:V83" si="29">IF(ISERROR(RL39/N39),0,L39/N39)</f>
        <v>0.28447938934147221</v>
      </c>
      <c r="W39" s="112">
        <f t="shared" ref="W39:W83" si="30">IF(ISERROR(L39/N39),0,(L39+P39)/N39)</f>
        <v>0.43815731486865506</v>
      </c>
      <c r="X39" s="126">
        <f>IF($R39=0,"-",(VLOOKUP(M39,'2016 Avoided Costs'!$B$7:$G$51,4)*$G39)/($L39+$P39))</f>
        <v>1.8649893211092572</v>
      </c>
      <c r="Y39" s="127"/>
    </row>
    <row r="40" spans="1:25" s="20" customFormat="1" ht="25.5" thickBot="1" x14ac:dyDescent="0.4">
      <c r="A40" s="103" t="s">
        <v>59</v>
      </c>
      <c r="B40" s="103" t="s">
        <v>33</v>
      </c>
      <c r="C40" s="103" t="s">
        <v>60</v>
      </c>
      <c r="D40" s="104">
        <v>5</v>
      </c>
      <c r="E40" s="104">
        <v>5</v>
      </c>
      <c r="F40" s="104">
        <v>56</v>
      </c>
      <c r="G40" s="104">
        <f t="shared" si="23"/>
        <v>280</v>
      </c>
      <c r="H40" s="105">
        <v>425</v>
      </c>
      <c r="I40" s="106">
        <f t="shared" si="1"/>
        <v>118.7569183365509</v>
      </c>
      <c r="J40" s="106">
        <f t="shared" si="21"/>
        <v>80.23666914643249</v>
      </c>
      <c r="K40" s="106">
        <f t="shared" si="24"/>
        <v>2125</v>
      </c>
      <c r="L40" s="107">
        <f t="shared" si="25"/>
        <v>1130.0320625850829</v>
      </c>
      <c r="M40" s="104">
        <v>20</v>
      </c>
      <c r="N40" s="104">
        <f t="shared" si="20"/>
        <v>3972.2809627823667</v>
      </c>
      <c r="O40" s="104">
        <f t="shared" si="20"/>
        <v>3972.2809627823667</v>
      </c>
      <c r="P40" s="108">
        <f t="shared" si="5"/>
        <v>610.45189797151454</v>
      </c>
      <c r="Q40" s="105">
        <v>250</v>
      </c>
      <c r="R40" s="106">
        <f t="shared" si="26"/>
        <v>1250</v>
      </c>
      <c r="S40" s="109">
        <f t="shared" si="27"/>
        <v>0.31468066124014626</v>
      </c>
      <c r="T40" s="109">
        <f t="shared" si="28"/>
        <v>0.46835858676732905</v>
      </c>
      <c r="U40" s="110">
        <f>IF($R40=0,"-",(VLOOKUP(M40,'2016 Avoided Costs'!$B$7:$G$51,6)*$G40)/($R40+$P40))</f>
        <v>1.9628198955219169</v>
      </c>
      <c r="V40" s="111">
        <f t="shared" si="29"/>
        <v>0.28447938934147221</v>
      </c>
      <c r="W40" s="112">
        <f t="shared" si="30"/>
        <v>0.438157314868655</v>
      </c>
      <c r="X40" s="126">
        <f>IF($R40=0,"-",(VLOOKUP(M40,'2016 Avoided Costs'!$B$7:$G$51,4)*$G40)/($L40+$P40))</f>
        <v>1.864989321109257</v>
      </c>
      <c r="Y40" s="127"/>
    </row>
    <row r="41" spans="1:25" s="20" customFormat="1" ht="25.5" thickBot="1" x14ac:dyDescent="0.4">
      <c r="A41" s="103" t="s">
        <v>59</v>
      </c>
      <c r="B41" s="103" t="s">
        <v>31</v>
      </c>
      <c r="C41" s="103" t="s">
        <v>60</v>
      </c>
      <c r="D41" s="104">
        <v>5</v>
      </c>
      <c r="E41" s="104">
        <v>5</v>
      </c>
      <c r="F41" s="104">
        <v>56</v>
      </c>
      <c r="G41" s="104">
        <f t="shared" si="23"/>
        <v>280</v>
      </c>
      <c r="H41" s="105">
        <v>600</v>
      </c>
      <c r="I41" s="106">
        <f t="shared" si="1"/>
        <v>118.7569183365509</v>
      </c>
      <c r="J41" s="106">
        <f t="shared" si="21"/>
        <v>97.73666914643249</v>
      </c>
      <c r="K41" s="106">
        <f t="shared" si="24"/>
        <v>3000</v>
      </c>
      <c r="L41" s="107">
        <f t="shared" si="25"/>
        <v>1917.5320625850829</v>
      </c>
      <c r="M41" s="104">
        <v>20</v>
      </c>
      <c r="N41" s="104">
        <f t="shared" si="20"/>
        <v>3972.2809627823667</v>
      </c>
      <c r="O41" s="104">
        <f t="shared" si="20"/>
        <v>3972.2809627823667</v>
      </c>
      <c r="P41" s="108">
        <f t="shared" si="5"/>
        <v>610.45189797151454</v>
      </c>
      <c r="Q41" s="105">
        <v>250</v>
      </c>
      <c r="R41" s="106">
        <f t="shared" si="26"/>
        <v>1250</v>
      </c>
      <c r="S41" s="109">
        <f t="shared" si="27"/>
        <v>0.31468066124014626</v>
      </c>
      <c r="T41" s="109">
        <f t="shared" si="28"/>
        <v>0.46835858676732905</v>
      </c>
      <c r="U41" s="110">
        <f>IF($R41=0,"-",(VLOOKUP(M41,'2016 Avoided Costs'!$B$7:$G$51,6)*$G41)/($R41+$P41))</f>
        <v>1.9628198955219169</v>
      </c>
      <c r="V41" s="111">
        <f t="shared" si="29"/>
        <v>0.48272820592276433</v>
      </c>
      <c r="W41" s="112">
        <f t="shared" si="30"/>
        <v>0.63640613144994718</v>
      </c>
      <c r="X41" s="126">
        <f>IF($R41=0,"-",(VLOOKUP(M41,'2016 Avoided Costs'!$B$7:$G$51,4)*$G41)/($L41+$P41))</f>
        <v>1.2840208049758817</v>
      </c>
      <c r="Y41" s="127"/>
    </row>
    <row r="42" spans="1:25" s="20" customFormat="1" ht="15" thickBot="1" x14ac:dyDescent="0.4">
      <c r="A42" s="103" t="s">
        <v>62</v>
      </c>
      <c r="B42" s="103" t="s">
        <v>30</v>
      </c>
      <c r="C42" s="103" t="s">
        <v>63</v>
      </c>
      <c r="D42" s="104">
        <v>121</v>
      </c>
      <c r="E42" s="104">
        <v>122</v>
      </c>
      <c r="F42" s="104">
        <v>18</v>
      </c>
      <c r="G42" s="104">
        <f t="shared" si="23"/>
        <v>2196</v>
      </c>
      <c r="H42" s="105">
        <v>16</v>
      </c>
      <c r="I42" s="106">
        <f t="shared" si="1"/>
        <v>25.897579904972382</v>
      </c>
      <c r="J42" s="106">
        <f t="shared" si="21"/>
        <v>8.7035348748809334</v>
      </c>
      <c r="K42" s="106">
        <f t="shared" si="24"/>
        <v>1952</v>
      </c>
      <c r="L42" s="107">
        <f t="shared" si="25"/>
        <v>-2234.7348883622517</v>
      </c>
      <c r="M42" s="104">
        <v>10</v>
      </c>
      <c r="N42" s="104">
        <f t="shared" si="20"/>
        <v>18244.868520746819</v>
      </c>
      <c r="O42" s="104">
        <f t="shared" si="20"/>
        <v>18244.868520746819</v>
      </c>
      <c r="P42" s="108">
        <f t="shared" si="5"/>
        <v>4787.6870283765929</v>
      </c>
      <c r="Q42" s="105">
        <v>10</v>
      </c>
      <c r="R42" s="106">
        <f t="shared" si="26"/>
        <v>1220</v>
      </c>
      <c r="S42" s="109">
        <f t="shared" si="27"/>
        <v>6.68681168413299E-2</v>
      </c>
      <c r="T42" s="109">
        <f t="shared" si="28"/>
        <v>0.32928091652428526</v>
      </c>
      <c r="U42" s="110">
        <f>IF($R42=0,"-",(VLOOKUP(M42,'2016 Avoided Costs'!$B$7:$G$51,6)*$G42)/($R42+$P42))</f>
        <v>2.1309693430317442</v>
      </c>
      <c r="V42" s="111">
        <f t="shared" si="29"/>
        <v>-0.12248566690524866</v>
      </c>
      <c r="W42" s="112">
        <f t="shared" si="30"/>
        <v>0.13992713277770669</v>
      </c>
      <c r="X42" s="126">
        <f>IF($R42=0,"-",(VLOOKUP(M42,'2016 Avoided Costs'!$B$7:$G$51,4)*$G42)/($L42+$P42))</f>
        <v>4.5587853440662709</v>
      </c>
      <c r="Y42" s="127"/>
    </row>
    <row r="43" spans="1:25" s="20" customFormat="1" ht="15" thickBot="1" x14ac:dyDescent="0.4">
      <c r="A43" s="103" t="s">
        <v>62</v>
      </c>
      <c r="B43" s="103" t="s">
        <v>33</v>
      </c>
      <c r="C43" s="103" t="s">
        <v>63</v>
      </c>
      <c r="D43" s="104">
        <v>33</v>
      </c>
      <c r="E43" s="104">
        <v>33</v>
      </c>
      <c r="F43" s="104">
        <v>17</v>
      </c>
      <c r="G43" s="104">
        <f t="shared" si="23"/>
        <v>561</v>
      </c>
      <c r="H43" s="105">
        <v>16</v>
      </c>
      <c r="I43" s="106">
        <f t="shared" si="1"/>
        <v>24.458825465807251</v>
      </c>
      <c r="J43" s="106">
        <f t="shared" si="21"/>
        <v>8.3088940484986598</v>
      </c>
      <c r="K43" s="106">
        <f t="shared" si="24"/>
        <v>528</v>
      </c>
      <c r="L43" s="107">
        <f t="shared" si="25"/>
        <v>-553.33474397209511</v>
      </c>
      <c r="M43" s="104">
        <v>10</v>
      </c>
      <c r="N43" s="104">
        <f t="shared" si="20"/>
        <v>4660.9158652727529</v>
      </c>
      <c r="O43" s="104">
        <f t="shared" si="20"/>
        <v>4660.9158652727529</v>
      </c>
      <c r="P43" s="108">
        <f t="shared" si="5"/>
        <v>1223.0839812929273</v>
      </c>
      <c r="Q43" s="105">
        <v>10</v>
      </c>
      <c r="R43" s="106">
        <f t="shared" si="26"/>
        <v>330</v>
      </c>
      <c r="S43" s="109">
        <f t="shared" si="27"/>
        <v>7.0801535479055183E-2</v>
      </c>
      <c r="T43" s="109">
        <f t="shared" si="28"/>
        <v>0.33321433516201049</v>
      </c>
      <c r="U43" s="110">
        <f>IF($R43=0,"-",(VLOOKUP(M43,'2016 Avoided Costs'!$B$7:$G$51,6)*$G43)/($R43+$P43))</f>
        <v>2.105814379256771</v>
      </c>
      <c r="V43" s="111">
        <f t="shared" si="29"/>
        <v>-0.1187180288094976</v>
      </c>
      <c r="W43" s="112">
        <f t="shared" si="30"/>
        <v>0.14369477087345772</v>
      </c>
      <c r="X43" s="126">
        <f>IF($R43=0,"-",(VLOOKUP(M43,'2016 Avoided Costs'!$B$7:$G$51,4)*$G43)/($L43+$P43))</f>
        <v>4.4392552231839932</v>
      </c>
      <c r="Y43" s="127"/>
    </row>
    <row r="44" spans="1:25" s="20" customFormat="1" ht="15" thickBot="1" x14ac:dyDescent="0.4">
      <c r="A44" s="103" t="s">
        <v>62</v>
      </c>
      <c r="B44" s="103" t="s">
        <v>31</v>
      </c>
      <c r="C44" s="103" t="s">
        <v>63</v>
      </c>
      <c r="D44" s="104">
        <v>135</v>
      </c>
      <c r="E44" s="104">
        <v>137</v>
      </c>
      <c r="F44" s="104">
        <v>20</v>
      </c>
      <c r="G44" s="104">
        <f t="shared" si="23"/>
        <v>2740</v>
      </c>
      <c r="H44" s="105">
        <v>16</v>
      </c>
      <c r="I44" s="106">
        <f t="shared" si="1"/>
        <v>28.77508878330265</v>
      </c>
      <c r="J44" s="106">
        <f t="shared" si="21"/>
        <v>9.4928165276454806</v>
      </c>
      <c r="K44" s="106">
        <f t="shared" si="24"/>
        <v>2192</v>
      </c>
      <c r="L44" s="107">
        <f t="shared" si="25"/>
        <v>-2974.1672169779977</v>
      </c>
      <c r="M44" s="104">
        <v>10</v>
      </c>
      <c r="N44" s="104">
        <f t="shared" si="20"/>
        <v>22764.544511314336</v>
      </c>
      <c r="O44" s="104">
        <f t="shared" si="20"/>
        <v>22764.544511314336</v>
      </c>
      <c r="P44" s="108">
        <f t="shared" si="5"/>
        <v>5973.70785872125</v>
      </c>
      <c r="Q44" s="105">
        <v>10</v>
      </c>
      <c r="R44" s="106">
        <f t="shared" si="26"/>
        <v>1370</v>
      </c>
      <c r="S44" s="109">
        <f t="shared" si="27"/>
        <v>6.0181305157196906E-2</v>
      </c>
      <c r="T44" s="109">
        <f t="shared" si="28"/>
        <v>0.32259410484015227</v>
      </c>
      <c r="U44" s="110">
        <f>IF($R44=0,"-",(VLOOKUP(M44,'2016 Avoided Costs'!$B$7:$G$51,6)*$G44)/($R44+$P44))</f>
        <v>2.1751406111600771</v>
      </c>
      <c r="V44" s="111">
        <f t="shared" si="29"/>
        <v>-0.13064909844779851</v>
      </c>
      <c r="W44" s="112">
        <f t="shared" si="30"/>
        <v>0.13176370123515688</v>
      </c>
      <c r="X44" s="126">
        <f>IF($R44=0,"-",(VLOOKUP(M44,'2016 Avoided Costs'!$B$7:$G$51,4)*$G44)/($L44+$P44))</f>
        <v>4.8412252856025724</v>
      </c>
      <c r="Y44" s="127"/>
    </row>
    <row r="45" spans="1:25" s="20" customFormat="1" ht="15" thickBot="1" x14ac:dyDescent="0.4">
      <c r="A45" s="103" t="s">
        <v>64</v>
      </c>
      <c r="B45" s="103" t="s">
        <v>30</v>
      </c>
      <c r="C45" s="103" t="s">
        <v>65</v>
      </c>
      <c r="D45" s="104">
        <v>16</v>
      </c>
      <c r="E45" s="104">
        <v>12034</v>
      </c>
      <c r="F45" s="113">
        <v>7.0999999999999994E-2</v>
      </c>
      <c r="G45" s="108">
        <f t="shared" si="23"/>
        <v>854.41399999999987</v>
      </c>
      <c r="H45" s="105">
        <v>1.18</v>
      </c>
      <c r="I45" s="106">
        <f t="shared" si="1"/>
        <v>0.21837559963275491</v>
      </c>
      <c r="J45" s="106">
        <f t="shared" si="21"/>
        <v>0.19361123691858495</v>
      </c>
      <c r="K45" s="106">
        <f t="shared" si="24"/>
        <v>14200.119999999999</v>
      </c>
      <c r="L45" s="107">
        <f t="shared" si="25"/>
        <v>14193.528210615177</v>
      </c>
      <c r="M45" s="104">
        <v>45</v>
      </c>
      <c r="N45" s="104">
        <f t="shared" si="20"/>
        <v>19155.90789638424</v>
      </c>
      <c r="O45" s="104">
        <f t="shared" si="20"/>
        <v>19155.90789638424</v>
      </c>
      <c r="P45" s="108">
        <f t="shared" si="5"/>
        <v>1862.7808855479773</v>
      </c>
      <c r="Q45" s="105">
        <v>0.75</v>
      </c>
      <c r="R45" s="106">
        <f t="shared" si="26"/>
        <v>9025.5</v>
      </c>
      <c r="S45" s="109">
        <f t="shared" si="27"/>
        <v>0.47116012714300021</v>
      </c>
      <c r="T45" s="109">
        <f t="shared" si="28"/>
        <v>0.56840328030618625</v>
      </c>
      <c r="U45" s="110">
        <f>IF($R45=0,"-",(VLOOKUP(M45,'2016 Avoided Costs'!$B$7:$G$51,6)*$G45)/($R45+$P45))</f>
        <v>2.9171257144919109</v>
      </c>
      <c r="V45" s="111">
        <f t="shared" si="29"/>
        <v>0.74094782076574228</v>
      </c>
      <c r="W45" s="112">
        <f t="shared" si="30"/>
        <v>0.83819097392892838</v>
      </c>
      <c r="X45" s="126">
        <f>IF($R45=0,"-",(VLOOKUP(M45,'2016 Avoided Costs'!$B$7:$G$51,4)*$G45)/($L45+$P45))</f>
        <v>1.6484944727756456</v>
      </c>
      <c r="Y45" s="127"/>
    </row>
    <row r="46" spans="1:25" s="20" customFormat="1" ht="15" thickBot="1" x14ac:dyDescent="0.4">
      <c r="A46" s="103" t="s">
        <v>64</v>
      </c>
      <c r="B46" s="103" t="s">
        <v>33</v>
      </c>
      <c r="C46" s="103" t="s">
        <v>65</v>
      </c>
      <c r="D46" s="104">
        <v>1</v>
      </c>
      <c r="E46" s="104">
        <v>160</v>
      </c>
      <c r="F46" s="113">
        <v>6.3E-2</v>
      </c>
      <c r="G46" s="108">
        <f t="shared" si="23"/>
        <v>10.08</v>
      </c>
      <c r="H46" s="105">
        <v>1.18</v>
      </c>
      <c r="I46" s="106">
        <f t="shared" si="1"/>
        <v>0.19376989826568392</v>
      </c>
      <c r="J46" s="106">
        <f t="shared" si="21"/>
        <v>0.1850916609277585</v>
      </c>
      <c r="K46" s="106">
        <f t="shared" si="24"/>
        <v>188.79999999999998</v>
      </c>
      <c r="L46" s="107">
        <f t="shared" si="25"/>
        <v>188.42113844080654</v>
      </c>
      <c r="M46" s="104">
        <v>45</v>
      </c>
      <c r="N46" s="104">
        <f t="shared" si="20"/>
        <v>225.99296312508125</v>
      </c>
      <c r="O46" s="104">
        <f t="shared" si="20"/>
        <v>225.99296312508125</v>
      </c>
      <c r="P46" s="108">
        <f t="shared" si="5"/>
        <v>21.976268326974523</v>
      </c>
      <c r="Q46" s="105">
        <v>0.75</v>
      </c>
      <c r="R46" s="106">
        <f t="shared" si="26"/>
        <v>120</v>
      </c>
      <c r="S46" s="109">
        <f t="shared" si="27"/>
        <v>0.5309899845579843</v>
      </c>
      <c r="T46" s="109">
        <f t="shared" si="28"/>
        <v>0.62823313772117029</v>
      </c>
      <c r="U46" s="110">
        <f>IF($R46=0,"-",(VLOOKUP(M46,'2016 Avoided Costs'!$B$7:$G$51,6)*$G46)/($R46+$P46))</f>
        <v>2.6393129009355896</v>
      </c>
      <c r="V46" s="111">
        <f t="shared" si="29"/>
        <v>0.83374781159234734</v>
      </c>
      <c r="W46" s="112">
        <f t="shared" si="30"/>
        <v>0.93099096475553333</v>
      </c>
      <c r="X46" s="126">
        <f>IF($R46=0,"-",(VLOOKUP(M46,'2016 Avoided Costs'!$B$7:$G$51,4)*$G46)/($L46+$P46))</f>
        <v>1.4841746482632137</v>
      </c>
      <c r="Y46" s="127"/>
    </row>
    <row r="47" spans="1:25" s="20" customFormat="1" ht="15" thickBot="1" x14ac:dyDescent="0.4">
      <c r="A47" s="103" t="s">
        <v>64</v>
      </c>
      <c r="B47" s="103" t="s">
        <v>31</v>
      </c>
      <c r="C47" s="103" t="s">
        <v>65</v>
      </c>
      <c r="D47" s="104">
        <v>5</v>
      </c>
      <c r="E47" s="104">
        <v>1678</v>
      </c>
      <c r="F47" s="113">
        <v>7.5999999999999998E-2</v>
      </c>
      <c r="G47" s="108">
        <f t="shared" si="23"/>
        <v>127.52799999999999</v>
      </c>
      <c r="H47" s="105">
        <v>1.18</v>
      </c>
      <c r="I47" s="106">
        <f t="shared" si="1"/>
        <v>0.23375416298717427</v>
      </c>
      <c r="J47" s="106">
        <f t="shared" si="21"/>
        <v>0.19893597191285151</v>
      </c>
      <c r="K47" s="106">
        <f t="shared" si="24"/>
        <v>1980.04</v>
      </c>
      <c r="L47" s="107">
        <f t="shared" si="25"/>
        <v>1977.8765493254998</v>
      </c>
      <c r="M47" s="104">
        <v>45</v>
      </c>
      <c r="N47" s="104">
        <f t="shared" si="20"/>
        <v>2859.1697025213653</v>
      </c>
      <c r="O47" s="104">
        <f t="shared" si="20"/>
        <v>2859.1697025213653</v>
      </c>
      <c r="P47" s="108">
        <f t="shared" si="5"/>
        <v>278.03467730182609</v>
      </c>
      <c r="Q47" s="105">
        <v>0.75</v>
      </c>
      <c r="R47" s="106">
        <f t="shared" si="26"/>
        <v>1258.5</v>
      </c>
      <c r="S47" s="109">
        <f t="shared" si="27"/>
        <v>0.44016275035727642</v>
      </c>
      <c r="T47" s="109">
        <f t="shared" si="28"/>
        <v>0.53740590352046247</v>
      </c>
      <c r="U47" s="110">
        <f>IF($R47=0,"-",(VLOOKUP(M47,'2016 Avoided Costs'!$B$7:$G$51,6)*$G47)/($R47+$P47))</f>
        <v>3.0853844632534724</v>
      </c>
      <c r="V47" s="111">
        <f t="shared" si="29"/>
        <v>0.69176605627196763</v>
      </c>
      <c r="W47" s="112">
        <f t="shared" si="30"/>
        <v>0.78900920943515374</v>
      </c>
      <c r="X47" s="126">
        <f>IF($R47=0,"-",(VLOOKUP(M47,'2016 Avoided Costs'!$B$7:$G$51,4)*$G47)/($L47+$P47))</f>
        <v>1.7512510261337271</v>
      </c>
      <c r="Y47" s="127"/>
    </row>
    <row r="48" spans="1:25" s="20" customFormat="1" ht="38" thickBot="1" x14ac:dyDescent="0.4">
      <c r="A48" s="103" t="s">
        <v>66</v>
      </c>
      <c r="B48" s="103" t="s">
        <v>30</v>
      </c>
      <c r="C48" s="103" t="s">
        <v>67</v>
      </c>
      <c r="D48" s="104">
        <v>4</v>
      </c>
      <c r="E48" s="104">
        <v>4</v>
      </c>
      <c r="F48" s="104">
        <v>75</v>
      </c>
      <c r="G48" s="104">
        <f t="shared" si="23"/>
        <v>300</v>
      </c>
      <c r="H48" s="105">
        <v>750</v>
      </c>
      <c r="I48" s="106">
        <f t="shared" si="1"/>
        <v>125.14600026893912</v>
      </c>
      <c r="J48" s="106">
        <f t="shared" si="21"/>
        <v>111.65730614460868</v>
      </c>
      <c r="K48" s="106">
        <f t="shared" si="24"/>
        <v>3000</v>
      </c>
      <c r="L48" s="107">
        <f t="shared" si="25"/>
        <v>2052.7867743458087</v>
      </c>
      <c r="M48" s="104">
        <v>13</v>
      </c>
      <c r="N48" s="104">
        <f t="shared" si="20"/>
        <v>3086.9310437565214</v>
      </c>
      <c r="O48" s="104">
        <f t="shared" si="20"/>
        <v>3086.9310437565214</v>
      </c>
      <c r="P48" s="108">
        <f t="shared" si="5"/>
        <v>654.05560496947987</v>
      </c>
      <c r="Q48" s="105">
        <v>100</v>
      </c>
      <c r="R48" s="106">
        <f t="shared" si="26"/>
        <v>400</v>
      </c>
      <c r="S48" s="109">
        <f t="shared" si="27"/>
        <v>0.12957853425622215</v>
      </c>
      <c r="T48" s="109">
        <f t="shared" si="28"/>
        <v>0.34145745079125178</v>
      </c>
      <c r="U48" s="110">
        <f>IF($R48=0,"-",(VLOOKUP(M48,'2016 Avoided Costs'!$B$7:$G$51,6)*$G48)/($R48+$P48))</f>
        <v>2.204778371314946</v>
      </c>
      <c r="V48" s="111">
        <f t="shared" si="29"/>
        <v>0.66499275340072039</v>
      </c>
      <c r="W48" s="112">
        <f t="shared" si="30"/>
        <v>0.87687166993575005</v>
      </c>
      <c r="X48" s="126">
        <f>IF($R48=0,"-",(VLOOKUP(M48,'2016 Avoided Costs'!$B$7:$G$51,4)*$G48)/($L48+$P48))</f>
        <v>0.78049982375937865</v>
      </c>
      <c r="Y48" s="127"/>
    </row>
    <row r="49" spans="1:32" s="20" customFormat="1" ht="38" thickBot="1" x14ac:dyDescent="0.4">
      <c r="A49" s="103" t="s">
        <v>66</v>
      </c>
      <c r="B49" s="103" t="s">
        <v>31</v>
      </c>
      <c r="C49" s="103" t="s">
        <v>68</v>
      </c>
      <c r="D49" s="104">
        <v>121</v>
      </c>
      <c r="E49" s="104">
        <v>121</v>
      </c>
      <c r="F49" s="104">
        <v>84</v>
      </c>
      <c r="G49" s="104">
        <f t="shared" si="23"/>
        <v>10164</v>
      </c>
      <c r="H49" s="105">
        <v>750</v>
      </c>
      <c r="I49" s="106">
        <f t="shared" si="1"/>
        <v>140.1635203012118</v>
      </c>
      <c r="J49" s="106">
        <f t="shared" si="21"/>
        <v>116.05618288196173</v>
      </c>
      <c r="K49" s="106">
        <f t="shared" si="24"/>
        <v>90750</v>
      </c>
      <c r="L49" s="107">
        <f t="shared" si="25"/>
        <v>59747.415914836005</v>
      </c>
      <c r="M49" s="104">
        <v>13</v>
      </c>
      <c r="N49" s="104">
        <f t="shared" si="20"/>
        <v>104585.22376247094</v>
      </c>
      <c r="O49" s="104">
        <f t="shared" si="20"/>
        <v>104585.22376247094</v>
      </c>
      <c r="P49" s="108">
        <f t="shared" si="5"/>
        <v>22159.40389636598</v>
      </c>
      <c r="Q49" s="105">
        <v>100</v>
      </c>
      <c r="R49" s="114">
        <f t="shared" si="26"/>
        <v>12100</v>
      </c>
      <c r="S49" s="109">
        <f t="shared" si="27"/>
        <v>0.11569511987162692</v>
      </c>
      <c r="T49" s="109">
        <f t="shared" si="28"/>
        <v>0.32757403640665661</v>
      </c>
      <c r="U49" s="110">
        <f>IF($R49=0,"-",(VLOOKUP(M49,'2016 Avoided Costs'!$B$7:$G$51,6)*$G49)/($R49+$P49))</f>
        <v>2.2982224430458285</v>
      </c>
      <c r="V49" s="111">
        <f t="shared" si="29"/>
        <v>0.57127970630470259</v>
      </c>
      <c r="W49" s="112">
        <f t="shared" si="30"/>
        <v>0.78315862283973237</v>
      </c>
      <c r="X49" s="126">
        <f>IF($R49=0,"-",(VLOOKUP(M49,'2016 Avoided Costs'!$B$7:$G$51,4)*$G49)/($L49+$P49))</f>
        <v>0.87389471798550578</v>
      </c>
      <c r="Y49" s="127"/>
    </row>
    <row r="50" spans="1:32" s="79" customFormat="1" ht="15" thickBot="1" x14ac:dyDescent="0.4">
      <c r="A50" s="62" t="s">
        <v>122</v>
      </c>
      <c r="B50" s="53" t="s">
        <v>69</v>
      </c>
      <c r="C50" s="53" t="s">
        <v>69</v>
      </c>
      <c r="D50" s="54">
        <f>816+175</f>
        <v>991</v>
      </c>
      <c r="E50" s="55">
        <f>SUM(E48:E49,D45:D47,E42:E44,E39:E41,E36:E38,E32:E35,D29:D31,E16:E28,D12:D15,D5:D6)</f>
        <v>1481</v>
      </c>
      <c r="F50" s="53" t="s">
        <v>69</v>
      </c>
      <c r="G50" s="54">
        <f>SUM(G5:G49)</f>
        <v>109898.91000000002</v>
      </c>
      <c r="H50" s="56"/>
      <c r="I50" s="56"/>
      <c r="J50" s="56"/>
      <c r="K50" s="56">
        <f>SUM(K5:K49)</f>
        <v>1006299.1100000002</v>
      </c>
      <c r="L50" s="56">
        <f>SUM(L5:L49)</f>
        <v>738841.8528288618</v>
      </c>
      <c r="M50" s="57">
        <f>SUMPRODUCT(M5:M49,G5:G49)/SUM(G5:G49)</f>
        <v>23.468285081262401</v>
      </c>
      <c r="N50" s="54">
        <f>SUM(N5:N49)</f>
        <v>1624183.6219349923</v>
      </c>
      <c r="O50" s="54">
        <f>N50</f>
        <v>1624183.6219349923</v>
      </c>
      <c r="P50" s="63">
        <f>B91*0.37</f>
        <v>239845.29240000001</v>
      </c>
      <c r="Q50" s="58" t="s">
        <v>69</v>
      </c>
      <c r="R50" s="59">
        <f>SUM(R5:R49)</f>
        <v>635168.5</v>
      </c>
      <c r="S50" s="60">
        <f t="shared" ref="S50" si="31">IF(ISERROR(R50/O50),0,R50/O50)</f>
        <v>0.39106939106015842</v>
      </c>
      <c r="T50" s="56">
        <f t="shared" ref="T50" si="32">IF(ISERROR((P50+R50)/O50),0,(P50+R50)/O50)</f>
        <v>0.53874068213884641</v>
      </c>
      <c r="U50" s="61">
        <f>IF(VALUE(LEFT($R50,11))=0,"-",(VLOOKUP(M50,'2016 Avoided Costs'!$B$7:$G$51,6)*VALUE(LEFT($G50,7)))/(VALUE(LEFT($R50,11))+$P50))</f>
        <v>1.9748102842110709</v>
      </c>
      <c r="V50" s="56">
        <f t="shared" ref="V50" si="33">IF(ISERROR(RL50/N50),0,L50/N50)</f>
        <v>0.45490044527639861</v>
      </c>
      <c r="W50" s="56">
        <f t="shared" ref="W50" si="34">IF(ISERROR(L50/N50),0,(L50+P50)/N50)</f>
        <v>0.60257173635508665</v>
      </c>
      <c r="X50" s="128">
        <f>IF($R50=0,"-",(VLOOKUP(M50,'2016 Avoided Costs'!$B$7:$G$51,4)*$G50)/($L50+$P50))</f>
        <v>1.535331465670549</v>
      </c>
      <c r="Y50" s="129"/>
    </row>
    <row r="51" spans="1:32" s="50" customFormat="1" ht="25.5" thickBot="1" x14ac:dyDescent="0.4">
      <c r="A51" s="91" t="s">
        <v>28</v>
      </c>
      <c r="B51" s="91" t="s">
        <v>31</v>
      </c>
      <c r="C51" s="91" t="s">
        <v>29</v>
      </c>
      <c r="D51" s="92">
        <v>75</v>
      </c>
      <c r="E51" s="92">
        <v>75</v>
      </c>
      <c r="F51" s="92">
        <v>210</v>
      </c>
      <c r="G51" s="92">
        <f t="shared" si="23"/>
        <v>15750</v>
      </c>
      <c r="H51" s="93">
        <v>1142</v>
      </c>
      <c r="I51" s="94">
        <f t="shared" ref="I51:I82" si="35">0.5*0.95*$F51+PV($B$90,$M51,-(0.116*$F51))</f>
        <v>546.6596659233378</v>
      </c>
      <c r="J51" s="94">
        <f t="shared" ref="J51:J82" si="36">0.1*$H51+PV($B$90,$M51,(-0.05*0.95*$F51))</f>
        <v>297.20180285653913</v>
      </c>
      <c r="K51" s="94">
        <f t="shared" si="24"/>
        <v>85650</v>
      </c>
      <c r="L51" s="95">
        <f t="shared" si="25"/>
        <v>22360.389841509226</v>
      </c>
      <c r="M51" s="92">
        <v>30</v>
      </c>
      <c r="N51" s="92">
        <f t="shared" ref="N51:O82" si="37">PV($B$90,$M51,-$G51)</f>
        <v>288950.21503664076</v>
      </c>
      <c r="O51" s="92">
        <f t="shared" si="37"/>
        <v>288950.21503664076</v>
      </c>
      <c r="P51" s="96">
        <f t="shared" ref="P51:P82" si="38">(G51/$G$83)*$P$83</f>
        <v>34337.919260897695</v>
      </c>
      <c r="Q51" s="93">
        <v>600</v>
      </c>
      <c r="R51" s="94">
        <f t="shared" si="26"/>
        <v>45000</v>
      </c>
      <c r="S51" s="97">
        <f t="shared" si="27"/>
        <v>0.15573617065588169</v>
      </c>
      <c r="T51" s="97">
        <f t="shared" si="28"/>
        <v>0.27457297185550505</v>
      </c>
      <c r="U51" s="98">
        <f>IF($R51=0,"-",(VLOOKUP(M51,'2014 Avoided Costs'!$B$7:$G$51,6)*$G51)/($R51+$P51))</f>
        <v>1.4690327284325764</v>
      </c>
      <c r="V51" s="99">
        <f t="shared" si="29"/>
        <v>7.7384921961984987E-2</v>
      </c>
      <c r="W51" s="100">
        <f t="shared" si="30"/>
        <v>0.19622172316160832</v>
      </c>
      <c r="X51" s="120">
        <f>IF($R51=0,"-",(VLOOKUP(M51,'2014 Avoided Costs'!$B$7:$G$51,4)*$G51)/($L51+$P51))</f>
        <v>1.7500521897537111</v>
      </c>
      <c r="Y51" s="121"/>
      <c r="Z51" s="20"/>
      <c r="AA51" s="20"/>
      <c r="AB51" s="20"/>
      <c r="AC51" s="20"/>
      <c r="AD51" s="20"/>
      <c r="AE51" s="20"/>
      <c r="AF51" s="20"/>
    </row>
    <row r="52" spans="1:32" s="50" customFormat="1" ht="15" thickBot="1" x14ac:dyDescent="0.4">
      <c r="A52" s="91" t="s">
        <v>35</v>
      </c>
      <c r="B52" s="91" t="s">
        <v>30</v>
      </c>
      <c r="C52" s="91" t="s">
        <v>36</v>
      </c>
      <c r="D52" s="92">
        <v>78</v>
      </c>
      <c r="E52" s="92">
        <v>82510</v>
      </c>
      <c r="F52" s="101">
        <v>6.2E-2</v>
      </c>
      <c r="G52" s="96">
        <f t="shared" si="23"/>
        <v>5115.62</v>
      </c>
      <c r="H52" s="93">
        <v>0.67</v>
      </c>
      <c r="I52" s="94">
        <f t="shared" si="35"/>
        <v>0.19069418559480006</v>
      </c>
      <c r="J52" s="94">
        <f t="shared" si="36"/>
        <v>0.13302671392890519</v>
      </c>
      <c r="K52" s="94">
        <f t="shared" si="24"/>
        <v>55281.700000000004</v>
      </c>
      <c r="L52" s="95">
        <f t="shared" si="25"/>
        <v>55256.449769837156</v>
      </c>
      <c r="M52" s="92">
        <v>45</v>
      </c>
      <c r="N52" s="92">
        <f t="shared" si="37"/>
        <v>114691.87718471509</v>
      </c>
      <c r="O52" s="92">
        <f t="shared" si="37"/>
        <v>114691.87718471509</v>
      </c>
      <c r="P52" s="96">
        <f t="shared" si="38"/>
        <v>11152.999779646569</v>
      </c>
      <c r="Q52" s="93">
        <v>0.3</v>
      </c>
      <c r="R52" s="94">
        <f t="shared" si="26"/>
        <v>24753</v>
      </c>
      <c r="S52" s="97">
        <f t="shared" si="27"/>
        <v>0.21582173565905166</v>
      </c>
      <c r="T52" s="97">
        <f t="shared" si="28"/>
        <v>0.31306488882223765</v>
      </c>
      <c r="U52" s="98">
        <f>IF($R52=0,"-",(VLOOKUP(M52,'2014 Avoided Costs'!$B$7:$G$51,6)*$G52)/($R52+$P52))</f>
        <v>1.1711245100557375</v>
      </c>
      <c r="V52" s="99">
        <f t="shared" si="29"/>
        <v>0.48178171921316454</v>
      </c>
      <c r="W52" s="100">
        <f t="shared" si="30"/>
        <v>0.57902487237635047</v>
      </c>
      <c r="X52" s="120">
        <f>IF($R52=0,"-",(VLOOKUP(M52,'2014 Avoided Costs'!$B$7:$G$51,4)*$G52)/($L52+$P52))</f>
        <v>0.52766582523604766</v>
      </c>
      <c r="Y52" s="121"/>
      <c r="Z52" s="20"/>
      <c r="AA52" s="20"/>
      <c r="AB52" s="20"/>
      <c r="AC52" s="20"/>
      <c r="AD52" s="20"/>
      <c r="AE52" s="20"/>
      <c r="AF52" s="20"/>
    </row>
    <row r="53" spans="1:32" s="50" customFormat="1" ht="15" thickBot="1" x14ac:dyDescent="0.4">
      <c r="A53" s="91" t="s">
        <v>35</v>
      </c>
      <c r="B53" s="91" t="s">
        <v>33</v>
      </c>
      <c r="C53" s="91" t="s">
        <v>36</v>
      </c>
      <c r="D53" s="92">
        <v>25</v>
      </c>
      <c r="E53" s="92">
        <f>3698+24897</f>
        <v>28595</v>
      </c>
      <c r="F53" s="101">
        <v>5.7000000000000002E-2</v>
      </c>
      <c r="G53" s="96">
        <f t="shared" si="23"/>
        <v>1629.915</v>
      </c>
      <c r="H53" s="93">
        <v>0.67</v>
      </c>
      <c r="I53" s="94">
        <f t="shared" si="35"/>
        <v>0.17531562224038069</v>
      </c>
      <c r="J53" s="94">
        <f t="shared" si="36"/>
        <v>0.12770197893463867</v>
      </c>
      <c r="K53" s="94">
        <f t="shared" si="24"/>
        <v>19158.650000000001</v>
      </c>
      <c r="L53" s="95">
        <f t="shared" si="25"/>
        <v>19151.074559970624</v>
      </c>
      <c r="M53" s="92">
        <v>45</v>
      </c>
      <c r="N53" s="92">
        <f t="shared" si="37"/>
        <v>36542.591318652456</v>
      </c>
      <c r="O53" s="92">
        <f t="shared" si="37"/>
        <v>36542.591318652456</v>
      </c>
      <c r="P53" s="96">
        <f t="shared" si="38"/>
        <v>3553.5168045794326</v>
      </c>
      <c r="Q53" s="93">
        <v>0.3</v>
      </c>
      <c r="R53" s="94">
        <f t="shared" si="26"/>
        <v>8578.5</v>
      </c>
      <c r="S53" s="97">
        <f t="shared" si="27"/>
        <v>0.23475346685721413</v>
      </c>
      <c r="T53" s="97">
        <f t="shared" si="28"/>
        <v>0.33199662002040015</v>
      </c>
      <c r="U53" s="98">
        <f>IF($R53=0,"-",(VLOOKUP(M53,'2014 Avoided Costs'!$B$7:$G$51,6)*$G53)/($R53+$P53))</f>
        <v>1.1043424614234576</v>
      </c>
      <c r="V53" s="99">
        <f t="shared" si="29"/>
        <v>0.52407543824609204</v>
      </c>
      <c r="W53" s="100">
        <f t="shared" si="30"/>
        <v>0.62131859140927803</v>
      </c>
      <c r="X53" s="120">
        <f>IF($R53=0,"-",(VLOOKUP(M53,'2014 Avoided Costs'!$B$7:$G$51,4)*$G53)/($L53+$P53))</f>
        <v>0.49174713478580406</v>
      </c>
      <c r="Y53" s="121"/>
      <c r="Z53" s="20"/>
      <c r="AA53" s="20"/>
      <c r="AB53" s="20"/>
      <c r="AC53" s="20"/>
      <c r="AD53" s="20"/>
      <c r="AE53" s="20"/>
      <c r="AF53" s="20"/>
    </row>
    <row r="54" spans="1:32" s="50" customFormat="1" ht="15" thickBot="1" x14ac:dyDescent="0.4">
      <c r="A54" s="91" t="s">
        <v>35</v>
      </c>
      <c r="B54" s="91" t="s">
        <v>31</v>
      </c>
      <c r="C54" s="91" t="s">
        <v>36</v>
      </c>
      <c r="D54" s="92">
        <v>46</v>
      </c>
      <c r="E54" s="92">
        <f>8696+44854+1206</f>
        <v>54756</v>
      </c>
      <c r="F54" s="101">
        <v>6.7000000000000004E-2</v>
      </c>
      <c r="G54" s="96">
        <f t="shared" si="23"/>
        <v>3668.652</v>
      </c>
      <c r="H54" s="93">
        <v>0.67</v>
      </c>
      <c r="I54" s="94">
        <f t="shared" si="35"/>
        <v>0.20607274894921943</v>
      </c>
      <c r="J54" s="94">
        <f t="shared" si="36"/>
        <v>0.13835144892317175</v>
      </c>
      <c r="K54" s="94">
        <f t="shared" si="24"/>
        <v>36686.520000000004</v>
      </c>
      <c r="L54" s="95">
        <f t="shared" si="25"/>
        <v>36670.676486897872</v>
      </c>
      <c r="M54" s="92">
        <v>45</v>
      </c>
      <c r="N54" s="92">
        <f t="shared" si="37"/>
        <v>82250.946047098769</v>
      </c>
      <c r="O54" s="92">
        <f t="shared" si="37"/>
        <v>82250.946047098769</v>
      </c>
      <c r="P54" s="96">
        <f t="shared" si="38"/>
        <v>7998.3413442749752</v>
      </c>
      <c r="Q54" s="93">
        <v>0.3</v>
      </c>
      <c r="R54" s="94">
        <f t="shared" si="26"/>
        <v>16426.8</v>
      </c>
      <c r="S54" s="97">
        <f t="shared" si="27"/>
        <v>0.19971563598300301</v>
      </c>
      <c r="T54" s="97">
        <f t="shared" si="28"/>
        <v>0.29695878914618906</v>
      </c>
      <c r="U54" s="98">
        <f>IF($R54=0,"-",(VLOOKUP(M54,'2014 Avoided Costs'!$B$7:$G$51,6)*$G54)/($R54+$P54))</f>
        <v>1.234642576472474</v>
      </c>
      <c r="V54" s="99">
        <f t="shared" si="29"/>
        <v>0.44583896294517278</v>
      </c>
      <c r="W54" s="100">
        <f t="shared" si="30"/>
        <v>0.54308211610835877</v>
      </c>
      <c r="X54" s="120">
        <f>IF($R54=0,"-",(VLOOKUP(M54,'2014 Avoided Costs'!$B$7:$G$51,4)*$G54)/($L54+$P54))</f>
        <v>0.56258828647140124</v>
      </c>
      <c r="Y54" s="121"/>
      <c r="Z54" s="20"/>
      <c r="AA54" s="20"/>
      <c r="AB54" s="20"/>
      <c r="AC54" s="20"/>
      <c r="AD54" s="20"/>
      <c r="AE54" s="20"/>
      <c r="AF54" s="20"/>
    </row>
    <row r="55" spans="1:32" s="50" customFormat="1" ht="25.5" thickBot="1" x14ac:dyDescent="0.4">
      <c r="A55" s="91" t="s">
        <v>41</v>
      </c>
      <c r="B55" s="91" t="s">
        <v>30</v>
      </c>
      <c r="C55" s="91" t="s">
        <v>42</v>
      </c>
      <c r="D55" s="92">
        <v>126</v>
      </c>
      <c r="E55" s="92">
        <v>126</v>
      </c>
      <c r="F55" s="92">
        <v>54</v>
      </c>
      <c r="G55" s="92">
        <f t="shared" si="23"/>
        <v>6804</v>
      </c>
      <c r="H55" s="93">
        <v>1171</v>
      </c>
      <c r="I55" s="94">
        <f t="shared" si="35"/>
        <v>108.13335328498485</v>
      </c>
      <c r="J55" s="94">
        <f t="shared" si="36"/>
        <v>150.87551104342052</v>
      </c>
      <c r="K55" s="94">
        <f t="shared" si="24"/>
        <v>147546</v>
      </c>
      <c r="L55" s="95">
        <f t="shared" si="25"/>
        <v>114910.88309462092</v>
      </c>
      <c r="M55" s="92">
        <v>18</v>
      </c>
      <c r="N55" s="92">
        <f t="shared" si="37"/>
        <v>89593.98718886284</v>
      </c>
      <c r="O55" s="92">
        <f t="shared" si="37"/>
        <v>89593.98718886284</v>
      </c>
      <c r="P55" s="96">
        <f t="shared" si="38"/>
        <v>14833.981120707804</v>
      </c>
      <c r="Q55" s="93">
        <v>150</v>
      </c>
      <c r="R55" s="94">
        <f t="shared" si="26"/>
        <v>18900</v>
      </c>
      <c r="S55" s="97">
        <f t="shared" si="27"/>
        <v>0.21095165638916227</v>
      </c>
      <c r="T55" s="97">
        <f t="shared" si="28"/>
        <v>0.37652059227587509</v>
      </c>
      <c r="U55" s="98">
        <f>IF($R55=0,"-",(VLOOKUP(M55,'2014 Avoided Costs'!$B$7:$G$51,6)*$G55)/($R55+$P55))</f>
        <v>1.1597504563724357</v>
      </c>
      <c r="V55" s="99">
        <f t="shared" si="29"/>
        <v>1.2825736045477072</v>
      </c>
      <c r="W55" s="100">
        <f t="shared" si="30"/>
        <v>1.4481425404344201</v>
      </c>
      <c r="X55" s="120">
        <f>IF($R55=0,"-",(VLOOKUP(M55,'2014 Avoided Costs'!$B$7:$G$51,4)*$G55)/($L55+$P55))</f>
        <v>0.26797546253774784</v>
      </c>
      <c r="Y55" s="121"/>
      <c r="Z55" s="20"/>
      <c r="AA55" s="20"/>
      <c r="AB55" s="20"/>
      <c r="AC55" s="20"/>
      <c r="AD55" s="20"/>
      <c r="AE55" s="20"/>
      <c r="AF55" s="20"/>
    </row>
    <row r="56" spans="1:32" s="50" customFormat="1" ht="25.5" thickBot="1" x14ac:dyDescent="0.4">
      <c r="A56" s="91" t="s">
        <v>41</v>
      </c>
      <c r="B56" s="91" t="s">
        <v>33</v>
      </c>
      <c r="C56" s="91" t="s">
        <v>42</v>
      </c>
      <c r="D56" s="92">
        <v>30</v>
      </c>
      <c r="E56" s="92">
        <v>30</v>
      </c>
      <c r="F56" s="92">
        <v>54</v>
      </c>
      <c r="G56" s="92">
        <f t="shared" si="23"/>
        <v>1620</v>
      </c>
      <c r="H56" s="93">
        <v>1171</v>
      </c>
      <c r="I56" s="94">
        <f t="shared" si="35"/>
        <v>108.13335328498485</v>
      </c>
      <c r="J56" s="94">
        <f t="shared" si="36"/>
        <v>150.87551104342052</v>
      </c>
      <c r="K56" s="94">
        <f t="shared" si="24"/>
        <v>35130</v>
      </c>
      <c r="L56" s="95">
        <f t="shared" si="25"/>
        <v>27359.734070147839</v>
      </c>
      <c r="M56" s="92">
        <v>18</v>
      </c>
      <c r="N56" s="92">
        <f t="shared" si="37"/>
        <v>21331.901711634007</v>
      </c>
      <c r="O56" s="92">
        <f t="shared" si="37"/>
        <v>21331.901711634007</v>
      </c>
      <c r="P56" s="96">
        <f t="shared" si="38"/>
        <v>3531.9002668351918</v>
      </c>
      <c r="Q56" s="93">
        <v>150</v>
      </c>
      <c r="R56" s="94">
        <f t="shared" si="26"/>
        <v>4500</v>
      </c>
      <c r="S56" s="97">
        <f t="shared" si="27"/>
        <v>0.2109516563891623</v>
      </c>
      <c r="T56" s="97">
        <f t="shared" si="28"/>
        <v>0.37652059227587514</v>
      </c>
      <c r="U56" s="98">
        <f>IF($R56=0,"-",(VLOOKUP(M56,'2014 Avoided Costs'!$B$7:$G$51,6)*$G56)/($R56+$P56))</f>
        <v>1.1597504563724355</v>
      </c>
      <c r="V56" s="99">
        <f t="shared" si="29"/>
        <v>1.2825736045477074</v>
      </c>
      <c r="W56" s="100">
        <f t="shared" si="30"/>
        <v>1.4481425404344204</v>
      </c>
      <c r="X56" s="120">
        <f>IF($R56=0,"-",(VLOOKUP(M56,'2014 Avoided Costs'!$B$7:$G$51,4)*$G56)/($L56+$P56))</f>
        <v>0.26797546253774784</v>
      </c>
      <c r="Y56" s="121"/>
      <c r="Z56" s="20"/>
      <c r="AA56" s="20"/>
      <c r="AB56" s="20"/>
      <c r="AC56" s="20"/>
      <c r="AD56" s="20"/>
      <c r="AE56" s="20"/>
      <c r="AF56" s="20"/>
    </row>
    <row r="57" spans="1:32" s="50" customFormat="1" ht="25.5" thickBot="1" x14ac:dyDescent="0.4">
      <c r="A57" s="91" t="s">
        <v>41</v>
      </c>
      <c r="B57" s="91" t="s">
        <v>31</v>
      </c>
      <c r="C57" s="91" t="s">
        <v>42</v>
      </c>
      <c r="D57" s="92">
        <v>48</v>
      </c>
      <c r="E57" s="92">
        <v>48</v>
      </c>
      <c r="F57" s="92">
        <v>54</v>
      </c>
      <c r="G57" s="92">
        <f t="shared" si="23"/>
        <v>2592</v>
      </c>
      <c r="H57" s="93">
        <v>1171</v>
      </c>
      <c r="I57" s="94">
        <f t="shared" si="35"/>
        <v>108.13335328498485</v>
      </c>
      <c r="J57" s="94">
        <f t="shared" si="36"/>
        <v>150.87551104342052</v>
      </c>
      <c r="K57" s="94">
        <f t="shared" si="24"/>
        <v>56208</v>
      </c>
      <c r="L57" s="95">
        <f t="shared" si="25"/>
        <v>43775.574512236541</v>
      </c>
      <c r="M57" s="92">
        <v>18</v>
      </c>
      <c r="N57" s="92">
        <f t="shared" si="37"/>
        <v>34131.042738614415</v>
      </c>
      <c r="O57" s="92">
        <f t="shared" si="37"/>
        <v>34131.042738614415</v>
      </c>
      <c r="P57" s="96">
        <f t="shared" si="38"/>
        <v>5651.0404269363062</v>
      </c>
      <c r="Q57" s="93">
        <v>150</v>
      </c>
      <c r="R57" s="94">
        <f t="shared" si="26"/>
        <v>7200</v>
      </c>
      <c r="S57" s="97">
        <f t="shared" si="27"/>
        <v>0.21095165638916227</v>
      </c>
      <c r="T57" s="97">
        <f t="shared" si="28"/>
        <v>0.37652059227587514</v>
      </c>
      <c r="U57" s="98">
        <f>IF($R57=0,"-",(VLOOKUP(M57,'2014 Avoided Costs'!$B$7:$G$51,6)*$G57)/($R57+$P57))</f>
        <v>1.1597504563724355</v>
      </c>
      <c r="V57" s="99">
        <f t="shared" si="29"/>
        <v>1.2825736045477072</v>
      </c>
      <c r="W57" s="100">
        <f t="shared" si="30"/>
        <v>1.4481425404344201</v>
      </c>
      <c r="X57" s="120">
        <f>IF($R57=0,"-",(VLOOKUP(M57,'2014 Avoided Costs'!$B$7:$G$51,4)*$G57)/($L57+$P57))</f>
        <v>0.26797546253774784</v>
      </c>
      <c r="Y57" s="121"/>
      <c r="Z57" s="20"/>
      <c r="AA57" s="20"/>
      <c r="AB57" s="20"/>
      <c r="AC57" s="20"/>
      <c r="AD57" s="20"/>
      <c r="AE57" s="20"/>
      <c r="AF57" s="20"/>
    </row>
    <row r="58" spans="1:32" s="50" customFormat="1" ht="25.5" thickBot="1" x14ac:dyDescent="0.4">
      <c r="A58" s="91" t="s">
        <v>43</v>
      </c>
      <c r="B58" s="91" t="s">
        <v>30</v>
      </c>
      <c r="C58" s="91" t="s">
        <v>44</v>
      </c>
      <c r="D58" s="92">
        <v>7</v>
      </c>
      <c r="E58" s="92">
        <v>7</v>
      </c>
      <c r="F58" s="92">
        <v>33</v>
      </c>
      <c r="G58" s="92">
        <f t="shared" si="23"/>
        <v>231</v>
      </c>
      <c r="H58" s="93">
        <v>139</v>
      </c>
      <c r="I58" s="94">
        <f t="shared" si="35"/>
        <v>61.901820890740119</v>
      </c>
      <c r="J58" s="94">
        <f t="shared" si="36"/>
        <v>32.829086140604794</v>
      </c>
      <c r="K58" s="94">
        <f t="shared" si="24"/>
        <v>973</v>
      </c>
      <c r="L58" s="95">
        <f t="shared" si="25"/>
        <v>309.88365078058564</v>
      </c>
      <c r="M58" s="92">
        <v>16</v>
      </c>
      <c r="N58" s="92">
        <f t="shared" si="37"/>
        <v>2789.5495365101797</v>
      </c>
      <c r="O58" s="92">
        <f t="shared" si="37"/>
        <v>2789.5495365101797</v>
      </c>
      <c r="P58" s="96">
        <f t="shared" si="38"/>
        <v>503.6228158264995</v>
      </c>
      <c r="Q58" s="93">
        <v>45</v>
      </c>
      <c r="R58" s="94">
        <f t="shared" si="26"/>
        <v>315</v>
      </c>
      <c r="S58" s="97">
        <f t="shared" si="27"/>
        <v>0.11292145770391143</v>
      </c>
      <c r="T58" s="97">
        <f t="shared" si="28"/>
        <v>0.293460576739076</v>
      </c>
      <c r="U58" s="98">
        <f>IF($R58=0,"-",(VLOOKUP(M58,'2014 Avoided Costs'!$B$7:$G$51,6)*$G58)/($R58+$P58))</f>
        <v>1.5294223124430428</v>
      </c>
      <c r="V58" s="99">
        <f t="shared" si="29"/>
        <v>0.11108734465001131</v>
      </c>
      <c r="W58" s="100">
        <f t="shared" si="30"/>
        <v>0.29162646368517586</v>
      </c>
      <c r="X58" s="120">
        <f>IF($R58=0,"-",(VLOOKUP(M58,'2014 Avoided Costs'!$B$7:$G$51,4)*$G58)/($L58+$P58))</f>
        <v>1.3686676697774425</v>
      </c>
      <c r="Y58" s="121"/>
      <c r="Z58" s="20"/>
      <c r="AA58" s="20"/>
      <c r="AB58" s="20"/>
      <c r="AC58" s="20"/>
      <c r="AD58" s="20"/>
      <c r="AE58" s="20"/>
      <c r="AF58" s="20"/>
    </row>
    <row r="59" spans="1:32" s="50" customFormat="1" ht="25.5" thickBot="1" x14ac:dyDescent="0.4">
      <c r="A59" s="91" t="s">
        <v>43</v>
      </c>
      <c r="B59" s="91" t="s">
        <v>33</v>
      </c>
      <c r="C59" s="91" t="s">
        <v>44</v>
      </c>
      <c r="D59" s="92">
        <v>6</v>
      </c>
      <c r="E59" s="92">
        <v>6</v>
      </c>
      <c r="F59" s="92">
        <v>33</v>
      </c>
      <c r="G59" s="92">
        <f t="shared" si="23"/>
        <v>198</v>
      </c>
      <c r="H59" s="93">
        <v>139</v>
      </c>
      <c r="I59" s="94">
        <f t="shared" si="35"/>
        <v>61.901820890740119</v>
      </c>
      <c r="J59" s="94">
        <f t="shared" si="36"/>
        <v>32.829086140604794</v>
      </c>
      <c r="K59" s="94">
        <f t="shared" si="24"/>
        <v>834</v>
      </c>
      <c r="L59" s="95">
        <f t="shared" si="25"/>
        <v>265.61455781193058</v>
      </c>
      <c r="M59" s="92">
        <v>16</v>
      </c>
      <c r="N59" s="92">
        <f t="shared" si="37"/>
        <v>2391.0424598658688</v>
      </c>
      <c r="O59" s="92">
        <f t="shared" si="37"/>
        <v>2391.0424598658688</v>
      </c>
      <c r="P59" s="96">
        <f t="shared" si="38"/>
        <v>431.67669927985668</v>
      </c>
      <c r="Q59" s="93">
        <v>45</v>
      </c>
      <c r="R59" s="94">
        <f t="shared" si="26"/>
        <v>270</v>
      </c>
      <c r="S59" s="97">
        <f t="shared" si="27"/>
        <v>0.11292145770391142</v>
      </c>
      <c r="T59" s="97">
        <f t="shared" si="28"/>
        <v>0.29346057673907594</v>
      </c>
      <c r="U59" s="98">
        <f>IF($R59=0,"-",(VLOOKUP(M59,'2014 Avoided Costs'!$B$7:$G$51,6)*$G59)/($R59+$P59))</f>
        <v>1.5294223124430431</v>
      </c>
      <c r="V59" s="99">
        <f t="shared" si="29"/>
        <v>0.1110873446500113</v>
      </c>
      <c r="W59" s="100">
        <f t="shared" si="30"/>
        <v>0.29162646368517581</v>
      </c>
      <c r="X59" s="120">
        <f>IF($R59=0,"-",(VLOOKUP(M59,'2014 Avoided Costs'!$B$7:$G$51,4)*$G59)/($L59+$P59))</f>
        <v>1.3686676697774425</v>
      </c>
      <c r="Y59" s="121"/>
      <c r="Z59" s="20"/>
      <c r="AA59" s="20"/>
      <c r="AB59" s="20"/>
      <c r="AC59" s="20"/>
      <c r="AD59" s="20"/>
      <c r="AE59" s="20"/>
      <c r="AF59" s="20"/>
    </row>
    <row r="60" spans="1:32" s="50" customFormat="1" ht="25.5" thickBot="1" x14ac:dyDescent="0.4">
      <c r="A60" s="91" t="s">
        <v>43</v>
      </c>
      <c r="B60" s="91" t="s">
        <v>31</v>
      </c>
      <c r="C60" s="91" t="s">
        <v>44</v>
      </c>
      <c r="D60" s="92">
        <v>4</v>
      </c>
      <c r="E60" s="92">
        <v>4</v>
      </c>
      <c r="F60" s="92">
        <v>33</v>
      </c>
      <c r="G60" s="92">
        <f t="shared" si="23"/>
        <v>132</v>
      </c>
      <c r="H60" s="93">
        <v>139</v>
      </c>
      <c r="I60" s="94">
        <f t="shared" si="35"/>
        <v>61.901820890740119</v>
      </c>
      <c r="J60" s="94">
        <f t="shared" si="36"/>
        <v>32.829086140604794</v>
      </c>
      <c r="K60" s="94">
        <f t="shared" si="24"/>
        <v>556</v>
      </c>
      <c r="L60" s="95">
        <f t="shared" si="25"/>
        <v>177.07637187462035</v>
      </c>
      <c r="M60" s="92">
        <v>16</v>
      </c>
      <c r="N60" s="92">
        <f t="shared" si="37"/>
        <v>1594.0283065772458</v>
      </c>
      <c r="O60" s="92">
        <f t="shared" si="37"/>
        <v>1594.0283065772458</v>
      </c>
      <c r="P60" s="96">
        <f t="shared" si="38"/>
        <v>287.78446618657114</v>
      </c>
      <c r="Q60" s="93">
        <v>45</v>
      </c>
      <c r="R60" s="94">
        <f t="shared" si="26"/>
        <v>180</v>
      </c>
      <c r="S60" s="97">
        <f t="shared" si="27"/>
        <v>0.11292145770391142</v>
      </c>
      <c r="T60" s="97">
        <f t="shared" si="28"/>
        <v>0.29346057673907594</v>
      </c>
      <c r="U60" s="98">
        <f>IF($R60=0,"-",(VLOOKUP(M60,'2014 Avoided Costs'!$B$7:$G$51,6)*$G60)/($R60+$P60))</f>
        <v>1.5294223124430426</v>
      </c>
      <c r="V60" s="99">
        <f t="shared" si="29"/>
        <v>0.11108734465001129</v>
      </c>
      <c r="W60" s="100">
        <f t="shared" si="30"/>
        <v>0.29162646368517581</v>
      </c>
      <c r="X60" s="120">
        <f>IF($R60=0,"-",(VLOOKUP(M60,'2014 Avoided Costs'!$B$7:$G$51,4)*$G60)/($L60+$P60))</f>
        <v>1.3686676697774425</v>
      </c>
      <c r="Y60" s="121"/>
      <c r="Z60" s="20"/>
      <c r="AA60" s="20"/>
      <c r="AB60" s="20"/>
      <c r="AC60" s="20"/>
      <c r="AD60" s="20"/>
      <c r="AE60" s="20"/>
      <c r="AF60" s="20"/>
    </row>
    <row r="61" spans="1:32" s="50" customFormat="1" ht="15" thickBot="1" x14ac:dyDescent="0.4">
      <c r="A61" s="91" t="s">
        <v>49</v>
      </c>
      <c r="B61" s="91" t="s">
        <v>30</v>
      </c>
      <c r="C61" s="91" t="s">
        <v>50</v>
      </c>
      <c r="D61" s="92">
        <v>1</v>
      </c>
      <c r="E61" s="92">
        <v>1</v>
      </c>
      <c r="F61" s="92">
        <v>206</v>
      </c>
      <c r="G61" s="92">
        <f t="shared" si="23"/>
        <v>206</v>
      </c>
      <c r="H61" s="93">
        <v>1142</v>
      </c>
      <c r="I61" s="94">
        <f t="shared" si="35"/>
        <v>536.24710085813126</v>
      </c>
      <c r="J61" s="94">
        <f t="shared" si="36"/>
        <v>293.71605423070031</v>
      </c>
      <c r="K61" s="94">
        <f t="shared" si="24"/>
        <v>1142</v>
      </c>
      <c r="L61" s="95">
        <f t="shared" si="25"/>
        <v>312.03684491116837</v>
      </c>
      <c r="M61" s="92">
        <v>30</v>
      </c>
      <c r="N61" s="92">
        <f t="shared" si="37"/>
        <v>3779.285352225269</v>
      </c>
      <c r="O61" s="92">
        <f t="shared" si="37"/>
        <v>3779.285352225269</v>
      </c>
      <c r="P61" s="96">
        <f t="shared" si="38"/>
        <v>449.11818207904281</v>
      </c>
      <c r="Q61" s="93">
        <v>600</v>
      </c>
      <c r="R61" s="94">
        <f t="shared" si="26"/>
        <v>600</v>
      </c>
      <c r="S61" s="97">
        <f t="shared" si="27"/>
        <v>0.15876017396958816</v>
      </c>
      <c r="T61" s="97">
        <f t="shared" si="28"/>
        <v>0.2775969751692115</v>
      </c>
      <c r="U61" s="98">
        <f>IF($R61=0,"-",(VLOOKUP(M61,'2014 Avoided Costs'!$B$7:$G$51,6)*$G61)/($R61+$P61))</f>
        <v>1.4530298168878257</v>
      </c>
      <c r="V61" s="99">
        <f t="shared" si="29"/>
        <v>8.256503963836416E-2</v>
      </c>
      <c r="W61" s="100">
        <f t="shared" si="30"/>
        <v>0.20140184083798748</v>
      </c>
      <c r="X61" s="120">
        <f>IF($R61=0,"-",(VLOOKUP(M61,'2014 Avoided Costs'!$B$7:$G$51,4)*$G61)/($L61+$P61))</f>
        <v>1.7050403058254917</v>
      </c>
      <c r="Y61" s="121"/>
      <c r="Z61" s="20"/>
      <c r="AA61" s="20"/>
      <c r="AB61" s="20"/>
      <c r="AC61" s="20"/>
      <c r="AD61" s="20"/>
      <c r="AE61" s="20"/>
      <c r="AF61" s="20"/>
    </row>
    <row r="62" spans="1:32" s="50" customFormat="1" ht="15" thickBot="1" x14ac:dyDescent="0.4">
      <c r="A62" s="91" t="s">
        <v>49</v>
      </c>
      <c r="B62" s="91" t="s">
        <v>31</v>
      </c>
      <c r="C62" s="91" t="s">
        <v>50</v>
      </c>
      <c r="D62" s="92">
        <v>3</v>
      </c>
      <c r="E62" s="92">
        <v>3</v>
      </c>
      <c r="F62" s="92">
        <v>207</v>
      </c>
      <c r="G62" s="92">
        <f t="shared" si="23"/>
        <v>621</v>
      </c>
      <c r="H62" s="93">
        <v>1142</v>
      </c>
      <c r="I62" s="94">
        <f t="shared" si="35"/>
        <v>538.85024212443284</v>
      </c>
      <c r="J62" s="94">
        <f t="shared" si="36"/>
        <v>294.58749138716001</v>
      </c>
      <c r="K62" s="94">
        <f t="shared" si="24"/>
        <v>3426</v>
      </c>
      <c r="L62" s="95">
        <f t="shared" si="25"/>
        <v>925.68679946522161</v>
      </c>
      <c r="M62" s="92">
        <v>30</v>
      </c>
      <c r="N62" s="92">
        <f t="shared" si="37"/>
        <v>11392.894192873264</v>
      </c>
      <c r="O62" s="92">
        <f t="shared" si="37"/>
        <v>11392.894192873264</v>
      </c>
      <c r="P62" s="96">
        <f t="shared" si="38"/>
        <v>1353.8951022868234</v>
      </c>
      <c r="Q62" s="93">
        <v>600</v>
      </c>
      <c r="R62" s="94">
        <f t="shared" si="26"/>
        <v>1800</v>
      </c>
      <c r="S62" s="97">
        <f t="shared" si="27"/>
        <v>0.15799321660741622</v>
      </c>
      <c r="T62" s="97">
        <f t="shared" si="28"/>
        <v>0.27683001780703959</v>
      </c>
      <c r="U62" s="98">
        <f>IF($R62=0,"-",(VLOOKUP(M62,'2014 Avoided Costs'!$B$7:$G$51,6)*$G62)/($R62+$P62))</f>
        <v>1.4570554349343998</v>
      </c>
      <c r="V62" s="99">
        <f t="shared" si="29"/>
        <v>8.1251241676963681E-2</v>
      </c>
      <c r="W62" s="100">
        <f t="shared" si="30"/>
        <v>0.20008804287658705</v>
      </c>
      <c r="X62" s="120">
        <f>IF($R62=0,"-",(VLOOKUP(M62,'2014 Avoided Costs'!$B$7:$G$51,4)*$G62)/($L62+$P62))</f>
        <v>1.7162357698107171</v>
      </c>
      <c r="Y62" s="121"/>
      <c r="Z62" s="20"/>
      <c r="AA62" s="20"/>
      <c r="AB62" s="20"/>
      <c r="AC62" s="20"/>
      <c r="AD62" s="20"/>
      <c r="AE62" s="20"/>
      <c r="AF62" s="20"/>
    </row>
    <row r="63" spans="1:32" s="50" customFormat="1" ht="15" thickBot="1" x14ac:dyDescent="0.4">
      <c r="A63" s="91" t="s">
        <v>51</v>
      </c>
      <c r="B63" s="91" t="s">
        <v>30</v>
      </c>
      <c r="C63" s="91" t="s">
        <v>52</v>
      </c>
      <c r="D63" s="92">
        <v>83</v>
      </c>
      <c r="E63" s="92">
        <v>93877</v>
      </c>
      <c r="F63" s="101">
        <v>5.6000000000000001E-2</v>
      </c>
      <c r="G63" s="96">
        <f t="shared" si="23"/>
        <v>5257.1120000000001</v>
      </c>
      <c r="H63" s="93">
        <v>1.08</v>
      </c>
      <c r="I63" s="94">
        <f t="shared" si="35"/>
        <v>0.17223990956949681</v>
      </c>
      <c r="J63" s="94">
        <f t="shared" si="36"/>
        <v>0.16763703193578533</v>
      </c>
      <c r="K63" s="94">
        <f t="shared" si="24"/>
        <v>101387.16</v>
      </c>
      <c r="L63" s="95">
        <f t="shared" si="25"/>
        <v>101358.95021385506</v>
      </c>
      <c r="M63" s="92">
        <v>45</v>
      </c>
      <c r="N63" s="92">
        <f t="shared" si="37"/>
        <v>117864.11888496253</v>
      </c>
      <c r="O63" s="92">
        <f t="shared" si="37"/>
        <v>117864.11888496253</v>
      </c>
      <c r="P63" s="96">
        <f t="shared" si="38"/>
        <v>11461.478565174375</v>
      </c>
      <c r="Q63" s="93">
        <v>0.3</v>
      </c>
      <c r="R63" s="94">
        <f t="shared" si="26"/>
        <v>28163.1</v>
      </c>
      <c r="S63" s="97">
        <f t="shared" si="27"/>
        <v>0.23894549305109286</v>
      </c>
      <c r="T63" s="97">
        <f t="shared" si="28"/>
        <v>0.33618864621427885</v>
      </c>
      <c r="U63" s="98">
        <f>IF($R63=0,"-",(VLOOKUP(M63,'2014 Avoided Costs'!$B$7:$G$51,6)*$G63)/($R63+$P63))</f>
        <v>1.0905721197494291</v>
      </c>
      <c r="V63" s="99">
        <f t="shared" si="29"/>
        <v>0.8599644333894626</v>
      </c>
      <c r="W63" s="100">
        <f t="shared" si="30"/>
        <v>0.95720758655264859</v>
      </c>
      <c r="X63" s="120">
        <f>IF($R63=0,"-",(VLOOKUP(M63,'2014 Avoided Costs'!$B$7:$G$51,4)*$G63)/($L63+$P63))</f>
        <v>0.31919057204198115</v>
      </c>
      <c r="Y63" s="121"/>
      <c r="Z63" s="20"/>
      <c r="AA63" s="20"/>
      <c r="AB63" s="20"/>
      <c r="AC63" s="20"/>
      <c r="AD63" s="20"/>
      <c r="AE63" s="20"/>
      <c r="AF63" s="20"/>
    </row>
    <row r="64" spans="1:32" s="50" customFormat="1" ht="15" thickBot="1" x14ac:dyDescent="0.4">
      <c r="A64" s="91" t="s">
        <v>51</v>
      </c>
      <c r="B64" s="91" t="s">
        <v>33</v>
      </c>
      <c r="C64" s="91" t="s">
        <v>52</v>
      </c>
      <c r="D64" s="92">
        <v>18</v>
      </c>
      <c r="E64" s="92">
        <v>21272</v>
      </c>
      <c r="F64" s="101">
        <v>5.3999999999999999E-2</v>
      </c>
      <c r="G64" s="96">
        <f t="shared" si="23"/>
        <v>1148.6879999999999</v>
      </c>
      <c r="H64" s="93">
        <v>1.08</v>
      </c>
      <c r="I64" s="94">
        <f t="shared" si="35"/>
        <v>0.16608848422772909</v>
      </c>
      <c r="J64" s="94">
        <f t="shared" si="36"/>
        <v>0.16550713793807872</v>
      </c>
      <c r="K64" s="94">
        <f t="shared" si="24"/>
        <v>22973.760000000002</v>
      </c>
      <c r="L64" s="95">
        <f t="shared" si="25"/>
        <v>22967.791278801018</v>
      </c>
      <c r="M64" s="92">
        <v>45</v>
      </c>
      <c r="N64" s="92">
        <f t="shared" si="37"/>
        <v>25753.512383553898</v>
      </c>
      <c r="O64" s="92">
        <f t="shared" si="37"/>
        <v>25753.512383553898</v>
      </c>
      <c r="P64" s="96">
        <f t="shared" si="38"/>
        <v>2504.3527492039398</v>
      </c>
      <c r="Q64" s="93">
        <v>0.3</v>
      </c>
      <c r="R64" s="94">
        <f t="shared" si="26"/>
        <v>6381.5999999999995</v>
      </c>
      <c r="S64" s="97">
        <f t="shared" si="27"/>
        <v>0.24779532612705935</v>
      </c>
      <c r="T64" s="97">
        <f t="shared" si="28"/>
        <v>0.34503847929024539</v>
      </c>
      <c r="U64" s="98">
        <f>IF($R64=0,"-",(VLOOKUP(M64,'2014 Avoided Costs'!$B$7:$G$51,6)*$G64)/($R64+$P64))</f>
        <v>1.06260022155147</v>
      </c>
      <c r="V64" s="99">
        <f t="shared" si="29"/>
        <v>0.89183141067267269</v>
      </c>
      <c r="W64" s="100">
        <f t="shared" si="30"/>
        <v>0.98907456383585868</v>
      </c>
      <c r="X64" s="120">
        <f>IF($R64=0,"-",(VLOOKUP(M64,'2014 Avoided Costs'!$B$7:$G$51,4)*$G64)/($L64+$P64))</f>
        <v>0.30890657619355022</v>
      </c>
      <c r="Y64" s="121"/>
      <c r="Z64" s="20"/>
      <c r="AA64" s="20"/>
      <c r="AB64" s="20"/>
      <c r="AC64" s="20"/>
      <c r="AD64" s="20"/>
      <c r="AE64" s="20"/>
      <c r="AF64" s="20"/>
    </row>
    <row r="65" spans="1:32" s="50" customFormat="1" ht="15" thickBot="1" x14ac:dyDescent="0.4">
      <c r="A65" s="91" t="s">
        <v>51</v>
      </c>
      <c r="B65" s="91" t="s">
        <v>31</v>
      </c>
      <c r="C65" s="91" t="s">
        <v>52</v>
      </c>
      <c r="D65" s="92">
        <v>25</v>
      </c>
      <c r="E65" s="92">
        <v>28693</v>
      </c>
      <c r="F65" s="101">
        <v>5.8999999999999997E-2</v>
      </c>
      <c r="G65" s="96">
        <f t="shared" si="23"/>
        <v>1692.8869999999999</v>
      </c>
      <c r="H65" s="93">
        <v>1.08</v>
      </c>
      <c r="I65" s="94">
        <f t="shared" si="35"/>
        <v>0.18146704758214843</v>
      </c>
      <c r="J65" s="94">
        <f t="shared" si="36"/>
        <v>0.17083187293234525</v>
      </c>
      <c r="K65" s="94">
        <f t="shared" si="24"/>
        <v>30988.440000000002</v>
      </c>
      <c r="L65" s="95">
        <f t="shared" si="25"/>
        <v>30979.632526987141</v>
      </c>
      <c r="M65" s="92">
        <v>45</v>
      </c>
      <c r="N65" s="92">
        <f t="shared" si="37"/>
        <v>37954.419579953319</v>
      </c>
      <c r="O65" s="92">
        <f t="shared" si="37"/>
        <v>37954.419579953319</v>
      </c>
      <c r="P65" s="96">
        <f t="shared" si="38"/>
        <v>3690.8074364332265</v>
      </c>
      <c r="Q65" s="93">
        <v>0.3</v>
      </c>
      <c r="R65" s="94">
        <f t="shared" si="26"/>
        <v>8607.9</v>
      </c>
      <c r="S65" s="97">
        <f t="shared" si="27"/>
        <v>0.22679572221798647</v>
      </c>
      <c r="T65" s="97">
        <f t="shared" si="28"/>
        <v>0.32403887538117249</v>
      </c>
      <c r="U65" s="98">
        <f>IF($R65=0,"-",(VLOOKUP(M65,'2014 Avoided Costs'!$B$7:$G$51,6)*$G65)/($R65+$P65))</f>
        <v>1.1314628965623783</v>
      </c>
      <c r="V65" s="99">
        <f t="shared" si="29"/>
        <v>0.81623254603397744</v>
      </c>
      <c r="W65" s="100">
        <f t="shared" si="30"/>
        <v>0.91347569919716332</v>
      </c>
      <c r="X65" s="120">
        <f>IF($R65=0,"-",(VLOOKUP(M65,'2014 Avoided Costs'!$B$7:$G$51,4)*$G65)/($L65+$P65))</f>
        <v>0.3344715545068031</v>
      </c>
      <c r="Y65" s="121"/>
      <c r="Z65" s="20"/>
      <c r="AA65" s="20"/>
      <c r="AB65" s="20"/>
      <c r="AC65" s="20"/>
      <c r="AD65" s="20"/>
      <c r="AE65" s="20"/>
      <c r="AF65" s="20"/>
    </row>
    <row r="66" spans="1:32" s="50" customFormat="1" ht="38" thickBot="1" x14ac:dyDescent="0.4">
      <c r="A66" s="91" t="s">
        <v>53</v>
      </c>
      <c r="B66" s="91" t="s">
        <v>30</v>
      </c>
      <c r="C66" s="91" t="s">
        <v>54</v>
      </c>
      <c r="D66" s="92">
        <v>12</v>
      </c>
      <c r="E66" s="92">
        <v>12</v>
      </c>
      <c r="F66" s="92">
        <v>475</v>
      </c>
      <c r="G66" s="92">
        <f t="shared" si="23"/>
        <v>5700</v>
      </c>
      <c r="H66" s="93">
        <v>2500</v>
      </c>
      <c r="I66" s="94">
        <f t="shared" si="35"/>
        <v>1033.9597629488724</v>
      </c>
      <c r="J66" s="94">
        <f t="shared" si="36"/>
        <v>580.99914862130549</v>
      </c>
      <c r="K66" s="94">
        <f t="shared" si="24"/>
        <v>30000</v>
      </c>
      <c r="L66" s="95">
        <f t="shared" si="25"/>
        <v>10620.493061157867</v>
      </c>
      <c r="M66" s="92">
        <v>21</v>
      </c>
      <c r="N66" s="92">
        <f t="shared" si="37"/>
        <v>83620.837546435083</v>
      </c>
      <c r="O66" s="92">
        <f t="shared" si="37"/>
        <v>83620.837546435083</v>
      </c>
      <c r="P66" s="96">
        <f t="shared" si="38"/>
        <v>12427.056494420118</v>
      </c>
      <c r="Q66" s="93">
        <v>825</v>
      </c>
      <c r="R66" s="94">
        <f t="shared" si="26"/>
        <v>9900</v>
      </c>
      <c r="S66" s="97">
        <f t="shared" si="27"/>
        <v>0.11839154319044555</v>
      </c>
      <c r="T66" s="97">
        <f t="shared" si="28"/>
        <v>0.26700350235097547</v>
      </c>
      <c r="U66" s="98">
        <f>IF($R66=0,"-",(VLOOKUP(M66,'2014 Avoided Costs'!$B$7:$G$51,6)*$G66)/($R66+$P66))</f>
        <v>1.6160213510015173</v>
      </c>
      <c r="V66" s="99">
        <f t="shared" si="29"/>
        <v>0.12700773363170698</v>
      </c>
      <c r="W66" s="100">
        <f t="shared" si="30"/>
        <v>0.27561969279223691</v>
      </c>
      <c r="X66" s="120">
        <f>IF($R66=0,"-",(VLOOKUP(M66,'2014 Avoided Costs'!$B$7:$G$51,4)*$G66)/($L66+$P66))</f>
        <v>1.3602313740296372</v>
      </c>
      <c r="Y66" s="121"/>
      <c r="Z66" s="20"/>
      <c r="AA66" s="20"/>
      <c r="AB66" s="20"/>
      <c r="AC66" s="20"/>
      <c r="AD66" s="20"/>
      <c r="AE66" s="20"/>
      <c r="AF66" s="20"/>
    </row>
    <row r="67" spans="1:32" s="50" customFormat="1" ht="38" thickBot="1" x14ac:dyDescent="0.4">
      <c r="A67" s="91" t="s">
        <v>53</v>
      </c>
      <c r="B67" s="91" t="s">
        <v>33</v>
      </c>
      <c r="C67" s="91" t="s">
        <v>54</v>
      </c>
      <c r="D67" s="92">
        <v>9</v>
      </c>
      <c r="E67" s="92">
        <v>9</v>
      </c>
      <c r="F67" s="92">
        <v>468</v>
      </c>
      <c r="G67" s="92">
        <f t="shared" ref="G67:G82" si="39">IF(ISNUMBER(E67),E67*F67,"")</f>
        <v>4212</v>
      </c>
      <c r="H67" s="93">
        <v>2500</v>
      </c>
      <c r="I67" s="94">
        <f t="shared" si="35"/>
        <v>1018.7224611790996</v>
      </c>
      <c r="J67" s="94">
        <f t="shared" si="36"/>
        <v>576.12126643109684</v>
      </c>
      <c r="K67" s="94">
        <f t="shared" ref="K67:K82" si="40">IF(ISNUMBER(H67),H67*E67,"")</f>
        <v>22500</v>
      </c>
      <c r="L67" s="95">
        <f t="shared" ref="L67:L82" si="41">K67-D67*(I67+J67)</f>
        <v>8146.4064515082337</v>
      </c>
      <c r="M67" s="92">
        <v>21</v>
      </c>
      <c r="N67" s="92">
        <f t="shared" si="37"/>
        <v>61791.397850102549</v>
      </c>
      <c r="O67" s="92">
        <f t="shared" si="37"/>
        <v>61791.397850102549</v>
      </c>
      <c r="P67" s="96">
        <f t="shared" si="38"/>
        <v>9182.9406937714975</v>
      </c>
      <c r="Q67" s="93">
        <v>825</v>
      </c>
      <c r="R67" s="94">
        <f t="shared" ref="R67:R82" si="42">IF(ISNUMBER(Q67),Q67*E67,"")</f>
        <v>7425</v>
      </c>
      <c r="S67" s="97">
        <f t="shared" si="27"/>
        <v>0.12016235687064454</v>
      </c>
      <c r="T67" s="97">
        <f t="shared" si="28"/>
        <v>0.26877431603117447</v>
      </c>
      <c r="U67" s="98">
        <f>IF($R67=0,"-",(VLOOKUP(M67,'2014 Avoided Costs'!$B$7:$G$51,6)*$G67)/($R67+$P67))</f>
        <v>1.605374229810387</v>
      </c>
      <c r="V67" s="99">
        <f t="shared" si="29"/>
        <v>0.13183722548679508</v>
      </c>
      <c r="W67" s="100">
        <f t="shared" si="30"/>
        <v>0.28044918464732499</v>
      </c>
      <c r="X67" s="120">
        <f>IF($R67=0,"-",(VLOOKUP(M67,'2014 Avoided Costs'!$B$7:$G$51,4)*$G67)/($L67+$P67))</f>
        <v>1.3368074287963059</v>
      </c>
      <c r="Y67" s="121"/>
      <c r="Z67" s="20"/>
      <c r="AA67" s="20"/>
      <c r="AB67" s="20"/>
      <c r="AC67" s="20"/>
      <c r="AD67" s="20"/>
      <c r="AE67" s="20"/>
      <c r="AF67" s="20"/>
    </row>
    <row r="68" spans="1:32" s="50" customFormat="1" ht="38" thickBot="1" x14ac:dyDescent="0.4">
      <c r="A68" s="91" t="s">
        <v>53</v>
      </c>
      <c r="B68" s="91" t="s">
        <v>31</v>
      </c>
      <c r="C68" s="91" t="s">
        <v>54</v>
      </c>
      <c r="D68" s="92">
        <v>1</v>
      </c>
      <c r="E68" s="92">
        <v>1</v>
      </c>
      <c r="F68" s="92">
        <v>476</v>
      </c>
      <c r="G68" s="92">
        <f t="shared" si="39"/>
        <v>476</v>
      </c>
      <c r="H68" s="93">
        <v>2500</v>
      </c>
      <c r="I68" s="94">
        <f t="shared" si="35"/>
        <v>1036.1365203445541</v>
      </c>
      <c r="J68" s="94">
        <f t="shared" si="36"/>
        <v>581.69598893419243</v>
      </c>
      <c r="K68" s="94">
        <f t="shared" si="40"/>
        <v>2500</v>
      </c>
      <c r="L68" s="95">
        <f t="shared" si="41"/>
        <v>882.16749072125344</v>
      </c>
      <c r="M68" s="92">
        <v>21</v>
      </c>
      <c r="N68" s="92">
        <f t="shared" si="37"/>
        <v>6983.0734512461568</v>
      </c>
      <c r="O68" s="92">
        <f t="shared" si="37"/>
        <v>6983.0734512461568</v>
      </c>
      <c r="P68" s="96">
        <f t="shared" si="38"/>
        <v>1037.7682265515748</v>
      </c>
      <c r="Q68" s="93">
        <v>825</v>
      </c>
      <c r="R68" s="94">
        <f t="shared" si="42"/>
        <v>825</v>
      </c>
      <c r="S68" s="97">
        <f t="shared" si="27"/>
        <v>0.11814282146105387</v>
      </c>
      <c r="T68" s="97">
        <f t="shared" si="28"/>
        <v>0.26675478062158381</v>
      </c>
      <c r="U68" s="98">
        <f>IF($R68=0,"-",(VLOOKUP(M68,'2014 Avoided Costs'!$B$7:$G$51,6)*$G68)/($R68+$P68))</f>
        <v>1.6175281267159709</v>
      </c>
      <c r="V68" s="99">
        <f t="shared" si="29"/>
        <v>0.1263294016424569</v>
      </c>
      <c r="W68" s="100">
        <f t="shared" si="30"/>
        <v>0.27494136080298687</v>
      </c>
      <c r="X68" s="120">
        <f>IF($R68=0,"-",(VLOOKUP(M68,'2014 Avoided Costs'!$B$7:$G$51,4)*$G68)/($L68+$P68))</f>
        <v>1.3635873203706721</v>
      </c>
      <c r="Y68" s="121"/>
      <c r="Z68" s="20"/>
      <c r="AA68" s="20"/>
      <c r="AB68" s="20"/>
      <c r="AC68" s="20"/>
      <c r="AD68" s="20"/>
      <c r="AE68" s="20"/>
      <c r="AF68" s="20"/>
    </row>
    <row r="69" spans="1:32" s="50" customFormat="1" ht="25.5" thickBot="1" x14ac:dyDescent="0.4">
      <c r="A69" s="91" t="s">
        <v>55</v>
      </c>
      <c r="B69" s="91" t="s">
        <v>30</v>
      </c>
      <c r="C69" s="91" t="s">
        <v>56</v>
      </c>
      <c r="D69" s="92">
        <v>14</v>
      </c>
      <c r="E69" s="92">
        <v>15</v>
      </c>
      <c r="F69" s="92">
        <v>13</v>
      </c>
      <c r="G69" s="92">
        <f t="shared" si="39"/>
        <v>195</v>
      </c>
      <c r="H69" s="93">
        <v>200</v>
      </c>
      <c r="I69" s="94">
        <f t="shared" si="35"/>
        <v>30.975262666134885</v>
      </c>
      <c r="J69" s="94">
        <f t="shared" si="36"/>
        <v>30.15527997104661</v>
      </c>
      <c r="K69" s="94">
        <f t="shared" si="40"/>
        <v>3000</v>
      </c>
      <c r="L69" s="95">
        <f t="shared" si="41"/>
        <v>2144.1724030794594</v>
      </c>
      <c r="M69" s="92">
        <v>25</v>
      </c>
      <c r="N69" s="92">
        <f t="shared" si="37"/>
        <v>3206.9305171726141</v>
      </c>
      <c r="O69" s="92">
        <f t="shared" si="37"/>
        <v>3206.9305171726141</v>
      </c>
      <c r="P69" s="96">
        <f t="shared" si="38"/>
        <v>425.13614323016191</v>
      </c>
      <c r="Q69" s="93">
        <v>50</v>
      </c>
      <c r="R69" s="94">
        <f t="shared" si="42"/>
        <v>750</v>
      </c>
      <c r="S69" s="97">
        <f t="shared" si="27"/>
        <v>0.23386849075272029</v>
      </c>
      <c r="T69" s="97">
        <f t="shared" si="28"/>
        <v>0.366436421661614</v>
      </c>
      <c r="U69" s="98">
        <f>IF($R69=0,"-",(VLOOKUP(M69,'2014 Avoided Costs'!$B$7:$G$51,6)*$G69)/($R69+$P69))</f>
        <v>1.1283798967795768</v>
      </c>
      <c r="V69" s="99">
        <f t="shared" si="29"/>
        <v>0.66860581842910216</v>
      </c>
      <c r="W69" s="100">
        <f t="shared" si="30"/>
        <v>0.80117374933799579</v>
      </c>
      <c r="X69" s="120">
        <f>IF($R69=0,"-",(VLOOKUP(M69,'2014 Avoided Costs'!$B$7:$G$51,4)*$G69)/($L69+$P69))</f>
        <v>0.44854480465388258</v>
      </c>
      <c r="Y69" s="121"/>
      <c r="Z69" s="20"/>
      <c r="AA69" s="20"/>
      <c r="AB69" s="20"/>
      <c r="AC69" s="20"/>
      <c r="AD69" s="20"/>
      <c r="AE69" s="20"/>
      <c r="AF69" s="20"/>
    </row>
    <row r="70" spans="1:32" s="50" customFormat="1" ht="25.5" thickBot="1" x14ac:dyDescent="0.4">
      <c r="A70" s="91" t="s">
        <v>55</v>
      </c>
      <c r="B70" s="91" t="s">
        <v>33</v>
      </c>
      <c r="C70" s="91" t="s">
        <v>56</v>
      </c>
      <c r="D70" s="92">
        <v>3</v>
      </c>
      <c r="E70" s="92">
        <v>4</v>
      </c>
      <c r="F70" s="92">
        <v>13</v>
      </c>
      <c r="G70" s="92">
        <f t="shared" si="39"/>
        <v>52</v>
      </c>
      <c r="H70" s="93">
        <v>200</v>
      </c>
      <c r="I70" s="94">
        <f t="shared" si="35"/>
        <v>30.975262666134885</v>
      </c>
      <c r="J70" s="94">
        <f t="shared" si="36"/>
        <v>30.15527997104661</v>
      </c>
      <c r="K70" s="94">
        <f t="shared" si="40"/>
        <v>800</v>
      </c>
      <c r="L70" s="95">
        <f t="shared" si="41"/>
        <v>616.60837208845555</v>
      </c>
      <c r="M70" s="92">
        <v>25</v>
      </c>
      <c r="N70" s="92">
        <f t="shared" si="37"/>
        <v>855.18147124603047</v>
      </c>
      <c r="O70" s="92">
        <f t="shared" si="37"/>
        <v>855.18147124603047</v>
      </c>
      <c r="P70" s="96">
        <f t="shared" si="38"/>
        <v>113.36963819470985</v>
      </c>
      <c r="Q70" s="93">
        <v>50</v>
      </c>
      <c r="R70" s="94">
        <f t="shared" si="42"/>
        <v>200</v>
      </c>
      <c r="S70" s="97">
        <f t="shared" si="27"/>
        <v>0.23386849075272029</v>
      </c>
      <c r="T70" s="97">
        <f t="shared" si="28"/>
        <v>0.366436421661614</v>
      </c>
      <c r="U70" s="98">
        <f>IF($R70=0,"-",(VLOOKUP(M70,'2014 Avoided Costs'!$B$7:$G$51,6)*$G70)/($R70+$P70))</f>
        <v>1.1283798967795766</v>
      </c>
      <c r="V70" s="99">
        <f t="shared" si="29"/>
        <v>0.72102634682909439</v>
      </c>
      <c r="W70" s="100">
        <f t="shared" si="30"/>
        <v>0.85359427773798813</v>
      </c>
      <c r="X70" s="120">
        <f>IF($R70=0,"-",(VLOOKUP(M70,'2014 Avoided Costs'!$B$7:$G$51,4)*$G70)/($L70+$P70))</f>
        <v>0.42099898308003503</v>
      </c>
      <c r="Y70" s="121"/>
      <c r="Z70" s="20"/>
      <c r="AA70" s="20"/>
      <c r="AB70" s="20"/>
      <c r="AC70" s="20"/>
      <c r="AD70" s="20"/>
      <c r="AE70" s="20"/>
      <c r="AF70" s="20"/>
    </row>
    <row r="71" spans="1:32" s="50" customFormat="1" ht="25.5" thickBot="1" x14ac:dyDescent="0.4">
      <c r="A71" s="91" t="s">
        <v>55</v>
      </c>
      <c r="B71" s="91" t="s">
        <v>31</v>
      </c>
      <c r="C71" s="91" t="s">
        <v>56</v>
      </c>
      <c r="D71" s="92">
        <v>2</v>
      </c>
      <c r="E71" s="92">
        <v>2</v>
      </c>
      <c r="F71" s="92">
        <v>13</v>
      </c>
      <c r="G71" s="92">
        <f t="shared" si="39"/>
        <v>26</v>
      </c>
      <c r="H71" s="93">
        <v>200</v>
      </c>
      <c r="I71" s="94">
        <f t="shared" si="35"/>
        <v>30.975262666134885</v>
      </c>
      <c r="J71" s="94">
        <f t="shared" si="36"/>
        <v>30.15527997104661</v>
      </c>
      <c r="K71" s="94">
        <f t="shared" si="40"/>
        <v>400</v>
      </c>
      <c r="L71" s="95">
        <f t="shared" si="41"/>
        <v>277.73891472563702</v>
      </c>
      <c r="M71" s="92">
        <v>25</v>
      </c>
      <c r="N71" s="92">
        <f t="shared" si="37"/>
        <v>427.59073562301523</v>
      </c>
      <c r="O71" s="92">
        <f t="shared" si="37"/>
        <v>427.59073562301523</v>
      </c>
      <c r="P71" s="96">
        <f t="shared" si="38"/>
        <v>56.684819097354925</v>
      </c>
      <c r="Q71" s="93">
        <v>50</v>
      </c>
      <c r="R71" s="94">
        <f t="shared" si="42"/>
        <v>100</v>
      </c>
      <c r="S71" s="97">
        <f t="shared" si="27"/>
        <v>0.23386849075272029</v>
      </c>
      <c r="T71" s="97">
        <f t="shared" si="28"/>
        <v>0.366436421661614</v>
      </c>
      <c r="U71" s="98">
        <f>IF($R71=0,"-",(VLOOKUP(M71,'2014 Avoided Costs'!$B$7:$G$51,6)*$G71)/($R71+$P71))</f>
        <v>1.1283798967795766</v>
      </c>
      <c r="V71" s="99">
        <f t="shared" si="29"/>
        <v>0.6495438081018321</v>
      </c>
      <c r="W71" s="100">
        <f t="shared" si="30"/>
        <v>0.78211173901072584</v>
      </c>
      <c r="X71" s="120">
        <f>IF($R71=0,"-",(VLOOKUP(M71,'2014 Avoided Costs'!$B$7:$G$51,4)*$G71)/($L71+$P71))</f>
        <v>0.45947695829905155</v>
      </c>
      <c r="Y71" s="121"/>
      <c r="Z71" s="20"/>
      <c r="AA71" s="20"/>
      <c r="AB71" s="20"/>
      <c r="AC71" s="20"/>
      <c r="AD71" s="20"/>
      <c r="AE71" s="20"/>
      <c r="AF71" s="20"/>
    </row>
    <row r="72" spans="1:32" s="50" customFormat="1" ht="25.5" thickBot="1" x14ac:dyDescent="0.4">
      <c r="A72" s="91" t="s">
        <v>57</v>
      </c>
      <c r="B72" s="91" t="s">
        <v>30</v>
      </c>
      <c r="C72" s="91" t="s">
        <v>58</v>
      </c>
      <c r="D72" s="92">
        <v>523</v>
      </c>
      <c r="E72" s="92">
        <v>523</v>
      </c>
      <c r="F72" s="92">
        <v>111</v>
      </c>
      <c r="G72" s="92">
        <f t="shared" si="39"/>
        <v>58053</v>
      </c>
      <c r="H72" s="93">
        <v>1024</v>
      </c>
      <c r="I72" s="94">
        <f t="shared" si="35"/>
        <v>222.27411508580218</v>
      </c>
      <c r="J72" s="94">
        <f t="shared" si="36"/>
        <v>171.82743936703105</v>
      </c>
      <c r="K72" s="94">
        <f t="shared" si="40"/>
        <v>535552</v>
      </c>
      <c r="L72" s="95">
        <f t="shared" si="41"/>
        <v>329436.88702116825</v>
      </c>
      <c r="M72" s="92">
        <v>18</v>
      </c>
      <c r="N72" s="92">
        <f t="shared" si="37"/>
        <v>764432.64818857354</v>
      </c>
      <c r="O72" s="92">
        <f t="shared" si="37"/>
        <v>764432.64818857354</v>
      </c>
      <c r="P72" s="96">
        <f t="shared" si="38"/>
        <v>126566.30011764404</v>
      </c>
      <c r="Q72" s="93">
        <v>250</v>
      </c>
      <c r="R72" s="94">
        <f t="shared" si="42"/>
        <v>130750</v>
      </c>
      <c r="S72" s="97">
        <f t="shared" si="27"/>
        <v>0.17104188355878022</v>
      </c>
      <c r="T72" s="97">
        <f t="shared" si="28"/>
        <v>0.33661081944549304</v>
      </c>
      <c r="U72" s="98">
        <f>IF($R72=0,"-",(VLOOKUP(M72,'2014 Avoided Costs'!$B$7:$G$51,6)*$G72)/($R72+$P72))</f>
        <v>1.2972545845225729</v>
      </c>
      <c r="V72" s="99">
        <f t="shared" si="29"/>
        <v>0.43095606630854066</v>
      </c>
      <c r="W72" s="100">
        <f t="shared" si="30"/>
        <v>0.59652500219525351</v>
      </c>
      <c r="X72" s="120">
        <f>IF($R72=0,"-",(VLOOKUP(M72,'2014 Avoided Costs'!$B$7:$G$51,4)*$G72)/($L72+$P72))</f>
        <v>0.65054551890598145</v>
      </c>
      <c r="Y72" s="121"/>
      <c r="Z72" s="20"/>
      <c r="AA72" s="20"/>
      <c r="AB72" s="20"/>
      <c r="AC72" s="20"/>
      <c r="AD72" s="20"/>
      <c r="AE72" s="20"/>
      <c r="AF72" s="20"/>
    </row>
    <row r="73" spans="1:32" s="50" customFormat="1" ht="25.5" thickBot="1" x14ac:dyDescent="0.4">
      <c r="A73" s="91" t="s">
        <v>57</v>
      </c>
      <c r="B73" s="91" t="s">
        <v>33</v>
      </c>
      <c r="C73" s="91" t="s">
        <v>58</v>
      </c>
      <c r="D73" s="92">
        <v>112</v>
      </c>
      <c r="E73" s="92">
        <v>112</v>
      </c>
      <c r="F73" s="92">
        <v>110</v>
      </c>
      <c r="G73" s="92">
        <f t="shared" si="39"/>
        <v>12320</v>
      </c>
      <c r="H73" s="93">
        <v>1024</v>
      </c>
      <c r="I73" s="94">
        <f t="shared" si="35"/>
        <v>220.27164558052468</v>
      </c>
      <c r="J73" s="94">
        <f t="shared" si="36"/>
        <v>171.20196694030105</v>
      </c>
      <c r="K73" s="94">
        <f t="shared" si="40"/>
        <v>114688</v>
      </c>
      <c r="L73" s="95">
        <f t="shared" si="41"/>
        <v>70842.955397667509</v>
      </c>
      <c r="M73" s="92">
        <v>18</v>
      </c>
      <c r="N73" s="92">
        <f t="shared" si="37"/>
        <v>162227.79573292038</v>
      </c>
      <c r="O73" s="92">
        <f t="shared" si="37"/>
        <v>162227.79573292038</v>
      </c>
      <c r="P73" s="96">
        <f t="shared" si="38"/>
        <v>26859.88351074664</v>
      </c>
      <c r="Q73" s="93">
        <v>250</v>
      </c>
      <c r="R73" s="94">
        <f t="shared" si="42"/>
        <v>28000</v>
      </c>
      <c r="S73" s="97">
        <f t="shared" si="27"/>
        <v>0.17259680977295094</v>
      </c>
      <c r="T73" s="97">
        <f t="shared" si="28"/>
        <v>0.33816574565966379</v>
      </c>
      <c r="U73" s="98">
        <f>IF($R73=0,"-",(VLOOKUP(M73,'2014 Avoided Costs'!$B$7:$G$51,6)*$G73)/($R73+$P73))</f>
        <v>1.291289654053366</v>
      </c>
      <c r="V73" s="99">
        <f t="shared" si="29"/>
        <v>0.43668814630445951</v>
      </c>
      <c r="W73" s="100">
        <f t="shared" si="30"/>
        <v>0.60225708219117235</v>
      </c>
      <c r="X73" s="120">
        <f>IF($R73=0,"-",(VLOOKUP(M73,'2014 Avoided Costs'!$B$7:$G$51,4)*$G73)/($L73+$P73))</f>
        <v>0.64435384583874478</v>
      </c>
      <c r="Y73" s="121"/>
      <c r="Z73" s="20"/>
      <c r="AA73" s="20"/>
      <c r="AB73" s="20"/>
      <c r="AC73" s="20"/>
      <c r="AD73" s="20"/>
      <c r="AE73" s="20"/>
      <c r="AF73" s="20"/>
    </row>
    <row r="74" spans="1:32" s="50" customFormat="1" ht="25.5" thickBot="1" x14ac:dyDescent="0.4">
      <c r="A74" s="91" t="s">
        <v>57</v>
      </c>
      <c r="B74" s="91" t="s">
        <v>31</v>
      </c>
      <c r="C74" s="91" t="s">
        <v>58</v>
      </c>
      <c r="D74" s="92">
        <v>451</v>
      </c>
      <c r="E74" s="92">
        <v>451</v>
      </c>
      <c r="F74" s="92">
        <v>111</v>
      </c>
      <c r="G74" s="92">
        <f t="shared" si="39"/>
        <v>50061</v>
      </c>
      <c r="H74" s="93">
        <v>1024</v>
      </c>
      <c r="I74" s="94">
        <f t="shared" si="35"/>
        <v>222.27411508580218</v>
      </c>
      <c r="J74" s="94">
        <f t="shared" si="36"/>
        <v>171.82743936703105</v>
      </c>
      <c r="K74" s="94">
        <f t="shared" si="40"/>
        <v>461824</v>
      </c>
      <c r="L74" s="95">
        <f t="shared" si="41"/>
        <v>284084.19894177222</v>
      </c>
      <c r="M74" s="92">
        <v>18</v>
      </c>
      <c r="N74" s="92">
        <f t="shared" si="37"/>
        <v>659195.26641117909</v>
      </c>
      <c r="O74" s="92">
        <f t="shared" si="37"/>
        <v>659195.26641117909</v>
      </c>
      <c r="P74" s="96">
        <f t="shared" si="38"/>
        <v>109142.25880125712</v>
      </c>
      <c r="Q74" s="93">
        <v>250</v>
      </c>
      <c r="R74" s="94">
        <f t="shared" si="42"/>
        <v>112750</v>
      </c>
      <c r="S74" s="97">
        <f t="shared" si="27"/>
        <v>0.17104188355878022</v>
      </c>
      <c r="T74" s="97">
        <f t="shared" si="28"/>
        <v>0.33661081944549309</v>
      </c>
      <c r="U74" s="98">
        <f>IF($R74=0,"-",(VLOOKUP(M74,'2014 Avoided Costs'!$B$7:$G$51,6)*$G74)/($R74+$P74))</f>
        <v>1.2972545845225727</v>
      </c>
      <c r="V74" s="99">
        <f t="shared" si="29"/>
        <v>0.43095606630854066</v>
      </c>
      <c r="W74" s="100">
        <f t="shared" si="30"/>
        <v>0.59652500219525351</v>
      </c>
      <c r="X74" s="120">
        <f>IF($R74=0,"-",(VLOOKUP(M74,'2014 Avoided Costs'!$B$7:$G$51,4)*$G74)/($L74+$P74))</f>
        <v>0.65054551890598145</v>
      </c>
      <c r="Y74" s="121"/>
      <c r="Z74" s="20"/>
      <c r="AA74" s="20"/>
      <c r="AB74" s="20"/>
      <c r="AC74" s="20"/>
      <c r="AD74" s="20"/>
      <c r="AE74" s="20"/>
      <c r="AF74" s="20"/>
    </row>
    <row r="75" spans="1:32" s="50" customFormat="1" ht="25.5" thickBot="1" x14ac:dyDescent="0.4">
      <c r="A75" s="91" t="s">
        <v>59</v>
      </c>
      <c r="B75" s="91" t="s">
        <v>30</v>
      </c>
      <c r="C75" s="91" t="s">
        <v>60</v>
      </c>
      <c r="D75" s="92">
        <v>36</v>
      </c>
      <c r="E75" s="92">
        <v>36</v>
      </c>
      <c r="F75" s="92">
        <v>56</v>
      </c>
      <c r="G75" s="92">
        <f t="shared" si="39"/>
        <v>2016</v>
      </c>
      <c r="H75" s="93">
        <v>425</v>
      </c>
      <c r="I75" s="94">
        <f t="shared" si="35"/>
        <v>118.7569183365509</v>
      </c>
      <c r="J75" s="94">
        <f t="shared" si="36"/>
        <v>80.23666914643249</v>
      </c>
      <c r="K75" s="94">
        <f t="shared" si="40"/>
        <v>15300</v>
      </c>
      <c r="L75" s="95">
        <f t="shared" si="41"/>
        <v>8136.2308506125974</v>
      </c>
      <c r="M75" s="92">
        <v>20</v>
      </c>
      <c r="N75" s="92">
        <f t="shared" si="37"/>
        <v>28600.422932033038</v>
      </c>
      <c r="O75" s="92">
        <f t="shared" si="37"/>
        <v>28600.422932033038</v>
      </c>
      <c r="P75" s="96">
        <f t="shared" si="38"/>
        <v>4395.2536653949055</v>
      </c>
      <c r="Q75" s="93">
        <v>150</v>
      </c>
      <c r="R75" s="94">
        <f t="shared" si="42"/>
        <v>5400</v>
      </c>
      <c r="S75" s="97">
        <f t="shared" ref="S75:S82" si="43">IF(ISERROR(R75/O75),0,R75/O75)</f>
        <v>0.18880839674408778</v>
      </c>
      <c r="T75" s="97">
        <f t="shared" ref="T75:T82" si="44">IF(ISERROR((P75+R75)/O75),0,(P75+R75)/O75)</f>
        <v>0.34248632227127063</v>
      </c>
      <c r="U75" s="98">
        <f>IF($R75=0,"-",(VLOOKUP(M75,'2014 Avoided Costs'!$B$7:$G$51,6)*$G75)/($R75+$P75))</f>
        <v>1.2451744913038219</v>
      </c>
      <c r="V75" s="99">
        <f t="shared" ref="V75:V82" si="45">IF(ISERROR(RL75/N75),0,L75/N75)</f>
        <v>0.28447938934147221</v>
      </c>
      <c r="W75" s="100">
        <f t="shared" ref="W75:W82" si="46">IF(ISERROR(L75/N75),0,(L75+P75)/N75)</f>
        <v>0.43815731486865506</v>
      </c>
      <c r="X75" s="120">
        <f>IF($R75=0,"-",(VLOOKUP(M75,'2014 Avoided Costs'!$B$7:$G$51,4)*$G75)/($L75+$P75))</f>
        <v>0.86550639600163926</v>
      </c>
      <c r="Y75" s="121"/>
      <c r="Z75" s="20"/>
      <c r="AA75" s="20"/>
      <c r="AB75" s="20"/>
      <c r="AC75" s="20"/>
      <c r="AD75" s="20"/>
      <c r="AE75" s="20"/>
      <c r="AF75" s="20"/>
    </row>
    <row r="76" spans="1:32" s="50" customFormat="1" ht="25.5" thickBot="1" x14ac:dyDescent="0.4">
      <c r="A76" s="91" t="s">
        <v>59</v>
      </c>
      <c r="B76" s="91" t="s">
        <v>33</v>
      </c>
      <c r="C76" s="91" t="s">
        <v>60</v>
      </c>
      <c r="D76" s="92">
        <v>9</v>
      </c>
      <c r="E76" s="92">
        <v>11</v>
      </c>
      <c r="F76" s="92">
        <v>58</v>
      </c>
      <c r="G76" s="92">
        <f t="shared" si="39"/>
        <v>638</v>
      </c>
      <c r="H76" s="93">
        <v>425</v>
      </c>
      <c r="I76" s="94">
        <f t="shared" si="35"/>
        <v>122.99823684857058</v>
      </c>
      <c r="J76" s="94">
        <f t="shared" si="36"/>
        <v>81.584407330233631</v>
      </c>
      <c r="K76" s="94">
        <f t="shared" si="40"/>
        <v>4675</v>
      </c>
      <c r="L76" s="95">
        <f t="shared" si="41"/>
        <v>2833.7562023907622</v>
      </c>
      <c r="M76" s="92">
        <v>20</v>
      </c>
      <c r="N76" s="92">
        <f t="shared" si="37"/>
        <v>9051.1259080541076</v>
      </c>
      <c r="O76" s="92">
        <f t="shared" si="37"/>
        <v>9051.1259080541076</v>
      </c>
      <c r="P76" s="96">
        <f t="shared" si="38"/>
        <v>1390.9582532350939</v>
      </c>
      <c r="Q76" s="93">
        <v>150</v>
      </c>
      <c r="R76" s="94">
        <f t="shared" si="42"/>
        <v>1650</v>
      </c>
      <c r="S76" s="97">
        <f t="shared" si="43"/>
        <v>0.18229776237360196</v>
      </c>
      <c r="T76" s="97">
        <f t="shared" si="44"/>
        <v>0.3359756879007848</v>
      </c>
      <c r="U76" s="98">
        <f>IF($R76=0,"-",(VLOOKUP(M76,'2014 Avoided Costs'!$B$7:$G$51,6)*$G76)/($R76+$P76))</f>
        <v>1.2693038439096238</v>
      </c>
      <c r="V76" s="99">
        <f t="shared" si="45"/>
        <v>0.31308328170191024</v>
      </c>
      <c r="W76" s="100">
        <f t="shared" si="46"/>
        <v>0.46676120722909303</v>
      </c>
      <c r="X76" s="120">
        <f>IF($R76=0,"-",(VLOOKUP(M76,'2014 Avoided Costs'!$B$7:$G$51,4)*$G76)/($L76+$P76))</f>
        <v>0.81246674445161116</v>
      </c>
      <c r="Y76" s="121"/>
      <c r="Z76" s="20"/>
      <c r="AA76" s="20"/>
      <c r="AB76" s="20"/>
      <c r="AC76" s="20"/>
      <c r="AD76" s="20"/>
      <c r="AE76" s="20"/>
      <c r="AF76" s="20"/>
    </row>
    <row r="77" spans="1:32" s="50" customFormat="1" ht="25.5" thickBot="1" x14ac:dyDescent="0.4">
      <c r="A77" s="91" t="s">
        <v>59</v>
      </c>
      <c r="B77" s="91" t="s">
        <v>31</v>
      </c>
      <c r="C77" s="91" t="s">
        <v>60</v>
      </c>
      <c r="D77" s="92">
        <v>7</v>
      </c>
      <c r="E77" s="92">
        <v>7</v>
      </c>
      <c r="F77" s="92">
        <v>56</v>
      </c>
      <c r="G77" s="92">
        <f t="shared" si="39"/>
        <v>392</v>
      </c>
      <c r="H77" s="93">
        <v>425</v>
      </c>
      <c r="I77" s="94">
        <f t="shared" si="35"/>
        <v>118.7569183365509</v>
      </c>
      <c r="J77" s="94">
        <f t="shared" si="36"/>
        <v>80.23666914643249</v>
      </c>
      <c r="K77" s="94">
        <f t="shared" si="40"/>
        <v>2975</v>
      </c>
      <c r="L77" s="95">
        <f t="shared" si="41"/>
        <v>1582.0448876191163</v>
      </c>
      <c r="M77" s="92">
        <v>20</v>
      </c>
      <c r="N77" s="92">
        <f t="shared" si="37"/>
        <v>5561.1933478953124</v>
      </c>
      <c r="O77" s="92">
        <f t="shared" si="37"/>
        <v>5561.1933478953124</v>
      </c>
      <c r="P77" s="96">
        <f t="shared" si="38"/>
        <v>854.6326571601204</v>
      </c>
      <c r="Q77" s="93">
        <v>150</v>
      </c>
      <c r="R77" s="94">
        <f t="shared" si="42"/>
        <v>1050</v>
      </c>
      <c r="S77" s="97">
        <f t="shared" si="43"/>
        <v>0.18880839674408778</v>
      </c>
      <c r="T77" s="97">
        <f t="shared" si="44"/>
        <v>0.34248632227127063</v>
      </c>
      <c r="U77" s="98">
        <f>IF($R77=0,"-",(VLOOKUP(M77,'2014 Avoided Costs'!$B$7:$G$51,6)*$G77)/($R77+$P77))</f>
        <v>1.2451744913038221</v>
      </c>
      <c r="V77" s="99">
        <f t="shared" si="45"/>
        <v>0.28447938934147227</v>
      </c>
      <c r="W77" s="100">
        <f t="shared" si="46"/>
        <v>0.43815731486865511</v>
      </c>
      <c r="X77" s="120">
        <f>IF($R77=0,"-",(VLOOKUP(M77,'2014 Avoided Costs'!$B$7:$G$51,4)*$G77)/($L77+$P77))</f>
        <v>0.86550639600163926</v>
      </c>
      <c r="Y77" s="121"/>
      <c r="Z77" s="20"/>
      <c r="AA77" s="20"/>
      <c r="AB77" s="20"/>
      <c r="AC77" s="20"/>
      <c r="AD77" s="20"/>
      <c r="AE77" s="20"/>
      <c r="AF77" s="20"/>
    </row>
    <row r="78" spans="1:32" s="50" customFormat="1" ht="25.5" thickBot="1" x14ac:dyDescent="0.4">
      <c r="A78" s="91" t="s">
        <v>59</v>
      </c>
      <c r="B78" s="91" t="s">
        <v>30</v>
      </c>
      <c r="C78" s="91" t="s">
        <v>61</v>
      </c>
      <c r="D78" s="92">
        <v>1</v>
      </c>
      <c r="E78" s="92">
        <v>1</v>
      </c>
      <c r="F78" s="92">
        <v>75</v>
      </c>
      <c r="G78" s="92">
        <f t="shared" si="39"/>
        <v>75</v>
      </c>
      <c r="H78" s="93">
        <v>600</v>
      </c>
      <c r="I78" s="94">
        <f t="shared" si="35"/>
        <v>159.04944420073781</v>
      </c>
      <c r="J78" s="94">
        <f t="shared" si="36"/>
        <v>110.5401818925435</v>
      </c>
      <c r="K78" s="94">
        <f t="shared" si="40"/>
        <v>600</v>
      </c>
      <c r="L78" s="95">
        <f t="shared" si="41"/>
        <v>330.41037390671869</v>
      </c>
      <c r="M78" s="92">
        <v>20</v>
      </c>
      <c r="N78" s="92">
        <f t="shared" si="37"/>
        <v>1064.0038293167054</v>
      </c>
      <c r="O78" s="92">
        <f t="shared" si="37"/>
        <v>1064.0038293167054</v>
      </c>
      <c r="P78" s="96">
        <f t="shared" si="38"/>
        <v>163.51390124236997</v>
      </c>
      <c r="Q78" s="93">
        <v>250</v>
      </c>
      <c r="R78" s="94">
        <f t="shared" si="42"/>
        <v>250</v>
      </c>
      <c r="S78" s="97">
        <f t="shared" si="43"/>
        <v>0.23496156039264254</v>
      </c>
      <c r="T78" s="97">
        <f t="shared" si="44"/>
        <v>0.38863948591982533</v>
      </c>
      <c r="U78" s="98">
        <f>IF($R78=0,"-",(VLOOKUP(M78,'2014 Avoided Costs'!$B$7:$G$51,6)*$G78)/($R78+$P78))</f>
        <v>1.0973028926881148</v>
      </c>
      <c r="V78" s="99">
        <f t="shared" si="45"/>
        <v>0.31053494809215637</v>
      </c>
      <c r="W78" s="100">
        <f t="shared" si="46"/>
        <v>0.46421287361933916</v>
      </c>
      <c r="X78" s="120">
        <f>IF($R78=0,"-",(VLOOKUP(M78,'2014 Avoided Costs'!$B$7:$G$51,4)*$G78)/($L78+$P78))</f>
        <v>0.81692684547283179</v>
      </c>
      <c r="Y78" s="121"/>
      <c r="Z78" s="20"/>
      <c r="AA78" s="20"/>
      <c r="AB78" s="20"/>
      <c r="AC78" s="20"/>
      <c r="AD78" s="20"/>
      <c r="AE78" s="20"/>
      <c r="AF78" s="20"/>
    </row>
    <row r="79" spans="1:32" s="50" customFormat="1" ht="15" thickBot="1" x14ac:dyDescent="0.4">
      <c r="A79" s="91" t="s">
        <v>64</v>
      </c>
      <c r="B79" s="91" t="s">
        <v>30</v>
      </c>
      <c r="C79" s="91" t="s">
        <v>65</v>
      </c>
      <c r="D79" s="92">
        <v>48</v>
      </c>
      <c r="E79" s="92">
        <v>40692</v>
      </c>
      <c r="F79" s="101">
        <v>7.0999999999999994E-2</v>
      </c>
      <c r="G79" s="96">
        <f t="shared" si="39"/>
        <v>2889.1319999999996</v>
      </c>
      <c r="H79" s="93">
        <v>1.18</v>
      </c>
      <c r="I79" s="94">
        <f t="shared" si="35"/>
        <v>0.21837559963275491</v>
      </c>
      <c r="J79" s="94">
        <f t="shared" si="36"/>
        <v>0.19361123691858495</v>
      </c>
      <c r="K79" s="94">
        <f t="shared" si="40"/>
        <v>48016.56</v>
      </c>
      <c r="L79" s="95">
        <f t="shared" si="41"/>
        <v>47996.784631845534</v>
      </c>
      <c r="M79" s="92">
        <v>45</v>
      </c>
      <c r="N79" s="92">
        <f t="shared" si="37"/>
        <v>64774.156898759138</v>
      </c>
      <c r="O79" s="92">
        <f t="shared" si="37"/>
        <v>64774.156898759138</v>
      </c>
      <c r="P79" s="96">
        <f t="shared" si="38"/>
        <v>6298.8432603222773</v>
      </c>
      <c r="Q79" s="93">
        <v>0.35</v>
      </c>
      <c r="R79" s="94">
        <f t="shared" si="42"/>
        <v>14242.199999999999</v>
      </c>
      <c r="S79" s="97">
        <f t="shared" si="43"/>
        <v>0.21987472600006674</v>
      </c>
      <c r="T79" s="97">
        <f t="shared" si="44"/>
        <v>0.31711787916325279</v>
      </c>
      <c r="U79" s="98">
        <f>IF($R79=0,"-",(VLOOKUP(M79,'2014 Avoided Costs'!$B$7:$G$51,6)*$G79)/($R79+$P79))</f>
        <v>1.1561567121507244</v>
      </c>
      <c r="V79" s="99">
        <f t="shared" si="45"/>
        <v>0.74098663618059379</v>
      </c>
      <c r="W79" s="100">
        <f t="shared" si="46"/>
        <v>0.83822978934377979</v>
      </c>
      <c r="X79" s="120">
        <f>IF($R79=0,"-",(VLOOKUP(M79,'2014 Avoided Costs'!$B$7:$G$51,4)*$G79)/($L79+$P79))</f>
        <v>0.36449627655663963</v>
      </c>
      <c r="Y79" s="121"/>
      <c r="Z79" s="20"/>
      <c r="AA79" s="20"/>
      <c r="AB79" s="20"/>
      <c r="AC79" s="20"/>
      <c r="AD79" s="20"/>
      <c r="AE79" s="20"/>
      <c r="AF79" s="20"/>
    </row>
    <row r="80" spans="1:32" s="50" customFormat="1" ht="15" thickBot="1" x14ac:dyDescent="0.4">
      <c r="A80" s="91" t="s">
        <v>64</v>
      </c>
      <c r="B80" s="91" t="s">
        <v>33</v>
      </c>
      <c r="C80" s="91" t="s">
        <v>65</v>
      </c>
      <c r="D80" s="92">
        <v>6</v>
      </c>
      <c r="E80" s="92">
        <v>5109</v>
      </c>
      <c r="F80" s="101">
        <v>6.5000000000000002E-2</v>
      </c>
      <c r="G80" s="96">
        <f t="shared" si="39"/>
        <v>332.08500000000004</v>
      </c>
      <c r="H80" s="93">
        <v>1.18</v>
      </c>
      <c r="I80" s="94">
        <f t="shared" si="35"/>
        <v>0.19992132360745168</v>
      </c>
      <c r="J80" s="94">
        <f t="shared" si="36"/>
        <v>0.18722155492546511</v>
      </c>
      <c r="K80" s="94">
        <f t="shared" si="40"/>
        <v>6028.62</v>
      </c>
      <c r="L80" s="95">
        <f t="shared" si="41"/>
        <v>6026.2971427288021</v>
      </c>
      <c r="M80" s="92">
        <v>45</v>
      </c>
      <c r="N80" s="92">
        <f t="shared" si="37"/>
        <v>7445.3247181937122</v>
      </c>
      <c r="O80" s="92">
        <f t="shared" si="37"/>
        <v>7445.3247181937122</v>
      </c>
      <c r="P80" s="96">
        <f t="shared" si="38"/>
        <v>724.0068519209658</v>
      </c>
      <c r="Q80" s="93">
        <v>0.35</v>
      </c>
      <c r="R80" s="94">
        <f t="shared" si="42"/>
        <v>1788.1499999999999</v>
      </c>
      <c r="S80" s="97">
        <f t="shared" si="43"/>
        <v>0.24017085455391898</v>
      </c>
      <c r="T80" s="97">
        <f t="shared" si="44"/>
        <v>0.337414007717105</v>
      </c>
      <c r="U80" s="98">
        <f>IF($R80=0,"-",(VLOOKUP(M80,'2014 Avoided Costs'!$B$7:$G$51,6)*$G80)/($R80+$P80))</f>
        <v>1.0866115696210037</v>
      </c>
      <c r="V80" s="99">
        <f t="shared" si="45"/>
        <v>0.80940689235523688</v>
      </c>
      <c r="W80" s="100">
        <f t="shared" si="46"/>
        <v>0.90665004551842288</v>
      </c>
      <c r="X80" s="120">
        <f>IF($R80=0,"-",(VLOOKUP(M80,'2014 Avoided Costs'!$B$7:$G$51,4)*$G80)/($L80+$P80))</f>
        <v>0.33698960103174208</v>
      </c>
      <c r="Y80" s="121"/>
      <c r="Z80" s="20"/>
      <c r="AA80" s="20"/>
      <c r="AB80" s="20"/>
      <c r="AC80" s="20"/>
      <c r="AD80" s="20"/>
      <c r="AE80" s="20"/>
      <c r="AF80" s="20"/>
    </row>
    <row r="81" spans="1:32" s="50" customFormat="1" ht="15" thickBot="1" x14ac:dyDescent="0.4">
      <c r="A81" s="91" t="s">
        <v>64</v>
      </c>
      <c r="B81" s="91" t="s">
        <v>31</v>
      </c>
      <c r="C81" s="91" t="s">
        <v>65</v>
      </c>
      <c r="D81" s="92">
        <v>9</v>
      </c>
      <c r="E81" s="92">
        <v>9706</v>
      </c>
      <c r="F81" s="101">
        <v>7.5999999999999998E-2</v>
      </c>
      <c r="G81" s="96">
        <f t="shared" si="39"/>
        <v>737.65599999999995</v>
      </c>
      <c r="H81" s="93">
        <v>1.18</v>
      </c>
      <c r="I81" s="94">
        <f t="shared" si="35"/>
        <v>0.23375416298717427</v>
      </c>
      <c r="J81" s="94">
        <f t="shared" si="36"/>
        <v>0.19893597191285151</v>
      </c>
      <c r="K81" s="94">
        <f t="shared" si="40"/>
        <v>11453.08</v>
      </c>
      <c r="L81" s="95">
        <f t="shared" si="41"/>
        <v>11449.185788785901</v>
      </c>
      <c r="M81" s="92">
        <v>45</v>
      </c>
      <c r="N81" s="92">
        <f t="shared" si="37"/>
        <v>16538.200913392353</v>
      </c>
      <c r="O81" s="92">
        <f t="shared" si="37"/>
        <v>16538.200913392353</v>
      </c>
      <c r="P81" s="96">
        <f t="shared" si="38"/>
        <v>1608.2268044645555</v>
      </c>
      <c r="Q81" s="93">
        <v>0.35</v>
      </c>
      <c r="R81" s="94">
        <f t="shared" si="42"/>
        <v>3397.1</v>
      </c>
      <c r="S81" s="97">
        <f t="shared" si="43"/>
        <v>0.20540928350006235</v>
      </c>
      <c r="T81" s="97">
        <f t="shared" si="44"/>
        <v>0.30265243666324837</v>
      </c>
      <c r="U81" s="98">
        <f>IF($R81=0,"-",(VLOOKUP(M81,'2014 Avoided Costs'!$B$7:$G$51,6)*$G81)/($R81+$P81))</f>
        <v>1.2114158689082133</v>
      </c>
      <c r="V81" s="99">
        <f t="shared" si="45"/>
        <v>0.69228725958423598</v>
      </c>
      <c r="W81" s="100">
        <f t="shared" si="46"/>
        <v>0.78953041274742197</v>
      </c>
      <c r="X81" s="120">
        <f>IF($R81=0,"-",(VLOOKUP(M81,'2014 Avoided Costs'!$B$7:$G$51,4)*$G81)/($L81+$P81))</f>
        <v>0.38697893353021035</v>
      </c>
      <c r="Y81" s="121"/>
      <c r="Z81" s="20"/>
      <c r="AA81" s="20"/>
      <c r="AB81" s="20"/>
      <c r="AC81" s="20"/>
      <c r="AD81" s="20"/>
      <c r="AE81" s="20"/>
      <c r="AF81" s="20"/>
    </row>
    <row r="82" spans="1:32" s="50" customFormat="1" ht="38" thickBot="1" x14ac:dyDescent="0.4">
      <c r="A82" s="91" t="s">
        <v>66</v>
      </c>
      <c r="B82" s="91" t="s">
        <v>30</v>
      </c>
      <c r="C82" s="91" t="s">
        <v>67</v>
      </c>
      <c r="D82" s="92">
        <v>33</v>
      </c>
      <c r="E82" s="92">
        <v>33</v>
      </c>
      <c r="F82" s="92">
        <v>75</v>
      </c>
      <c r="G82" s="92">
        <f t="shared" si="39"/>
        <v>2475</v>
      </c>
      <c r="H82" s="93">
        <v>750</v>
      </c>
      <c r="I82" s="94">
        <f t="shared" si="35"/>
        <v>125.14600026893912</v>
      </c>
      <c r="J82" s="94">
        <f t="shared" si="36"/>
        <v>111.65730614460868</v>
      </c>
      <c r="K82" s="94">
        <f t="shared" si="40"/>
        <v>24750</v>
      </c>
      <c r="L82" s="95">
        <f t="shared" si="41"/>
        <v>16935.490888352921</v>
      </c>
      <c r="M82" s="92">
        <v>13</v>
      </c>
      <c r="N82" s="92">
        <f t="shared" si="37"/>
        <v>25467.181110991296</v>
      </c>
      <c r="O82" s="92">
        <f t="shared" si="37"/>
        <v>25467.181110991296</v>
      </c>
      <c r="P82" s="96">
        <f t="shared" si="38"/>
        <v>5395.9587409982096</v>
      </c>
      <c r="Q82" s="93">
        <v>100</v>
      </c>
      <c r="R82" s="102">
        <f t="shared" si="42"/>
        <v>3300</v>
      </c>
      <c r="S82" s="97">
        <f t="shared" si="43"/>
        <v>0.12957853425622218</v>
      </c>
      <c r="T82" s="97">
        <f t="shared" si="44"/>
        <v>0.34145745079125184</v>
      </c>
      <c r="U82" s="98">
        <f>IF($R82=0,"-",(VLOOKUP(M82,'2014 Avoided Costs'!$B$7:$G$51,6)*$G82)/($R82+$P82))</f>
        <v>1.3291518904646078</v>
      </c>
      <c r="V82" s="99">
        <f t="shared" si="45"/>
        <v>0.66499275340072039</v>
      </c>
      <c r="W82" s="100">
        <f t="shared" si="46"/>
        <v>0.87687166993575005</v>
      </c>
      <c r="X82" s="120">
        <f>IF($R82=0,"-",(VLOOKUP(M82,'2014 Avoided Costs'!$B$7:$G$51,4)*$G82)/($L82+$P82))</f>
        <v>0.46992023241551278</v>
      </c>
      <c r="Y82" s="121"/>
      <c r="Z82" s="20"/>
      <c r="AA82" s="20"/>
      <c r="AB82" s="20"/>
      <c r="AC82" s="20"/>
      <c r="AD82" s="20"/>
      <c r="AE82" s="20"/>
      <c r="AF82" s="20"/>
    </row>
    <row r="83" spans="1:32" s="68" customFormat="1" ht="15" thickBot="1" x14ac:dyDescent="0.4">
      <c r="A83" s="64" t="s">
        <v>121</v>
      </c>
      <c r="B83" s="2" t="s">
        <v>69</v>
      </c>
      <c r="C83" s="2" t="s">
        <v>69</v>
      </c>
      <c r="D83" s="3">
        <v>1596</v>
      </c>
      <c r="E83" s="52">
        <f>SUM(E82,D79:D81,E66:E78,D63:D65,E55:E62,D52:D54,E51)</f>
        <v>1855</v>
      </c>
      <c r="F83" s="2" t="s">
        <v>69</v>
      </c>
      <c r="G83" s="65">
        <f>SUM(G51:G82)</f>
        <v>187316.747</v>
      </c>
      <c r="H83" s="5"/>
      <c r="I83" s="5"/>
      <c r="J83" s="5"/>
      <c r="K83" s="5">
        <f>SUM(K51:K82)</f>
        <v>1883003.4900000002</v>
      </c>
      <c r="L83" s="5">
        <f>SUM(L51:L82)</f>
        <v>1279123.2833998378</v>
      </c>
      <c r="M83" s="4">
        <f>SUMPRODUCT(M51:M82,G51:G82)/SUM(G51:G82)</f>
        <v>22.438904595113431</v>
      </c>
      <c r="N83" s="66">
        <f>SUM(N51:N82)</f>
        <v>2772253.743485874</v>
      </c>
      <c r="O83" s="66">
        <f>N83</f>
        <v>2772253.743485874</v>
      </c>
      <c r="P83" s="67">
        <f>B91*0.63</f>
        <v>408385.22760000004</v>
      </c>
      <c r="Q83" s="22" t="s">
        <v>69</v>
      </c>
      <c r="R83" s="51">
        <f>SUM(R51:R82)</f>
        <v>493453.35000000003</v>
      </c>
      <c r="S83" s="23">
        <f t="shared" si="27"/>
        <v>0.17799718051044067</v>
      </c>
      <c r="T83" s="5">
        <f t="shared" si="28"/>
        <v>0.3253088140719812</v>
      </c>
      <c r="U83" s="27">
        <f>IF(VALUE(LEFT($R83,11))=0,"-",(VLOOKUP(M83,'2014 Avoided Costs'!$B$7:$G$51,6)*VALUE(LEFT($G83,7)))/(VALUE(LEFT($R83,11))+$P83))</f>
        <v>1.3417715653950533</v>
      </c>
      <c r="V83" s="5">
        <f t="shared" si="29"/>
        <v>0.46140195009402302</v>
      </c>
      <c r="W83" s="5">
        <f t="shared" si="30"/>
        <v>0.60871358365556361</v>
      </c>
      <c r="X83" s="124">
        <f>IF($R83=0,"-",(VLOOKUP(M83,'2014 Avoided Costs'!$B$7:$G$51,4)*$G83)/($L83+$P83))</f>
        <v>0.62272097818776639</v>
      </c>
      <c r="Y83" s="125"/>
      <c r="Z83" s="79"/>
      <c r="AA83" s="79"/>
      <c r="AB83" s="79"/>
      <c r="AC83" s="79"/>
      <c r="AD83" s="79"/>
      <c r="AE83" s="79"/>
      <c r="AF83" s="79"/>
    </row>
    <row r="84" spans="1:32" s="79" customFormat="1" ht="15" hidden="1" thickBot="1" x14ac:dyDescent="0.4">
      <c r="A84" s="62" t="s">
        <v>122</v>
      </c>
      <c r="B84" s="53" t="s">
        <v>69</v>
      </c>
      <c r="C84" s="53" t="s">
        <v>69</v>
      </c>
      <c r="D84" s="55">
        <f>D50</f>
        <v>991</v>
      </c>
      <c r="E84" s="55">
        <f>E50</f>
        <v>1481</v>
      </c>
      <c r="F84" s="53" t="s">
        <v>69</v>
      </c>
      <c r="G84" s="54">
        <f>G50</f>
        <v>109898.91000000002</v>
      </c>
      <c r="H84" s="56"/>
      <c r="I84" s="56"/>
      <c r="J84" s="56"/>
      <c r="K84" s="56">
        <f>K50</f>
        <v>1006299.1100000002</v>
      </c>
      <c r="L84" s="56">
        <f>L50</f>
        <v>738841.8528288618</v>
      </c>
      <c r="M84" s="57">
        <f>M50</f>
        <v>23.468285081262401</v>
      </c>
      <c r="N84" s="57">
        <f t="shared" ref="N84:O84" si="47">N50</f>
        <v>1624183.6219349923</v>
      </c>
      <c r="O84" s="57">
        <f t="shared" si="47"/>
        <v>1624183.6219349923</v>
      </c>
      <c r="P84" s="63">
        <f>B91*0.37</f>
        <v>239845.29240000001</v>
      </c>
      <c r="Q84" s="58" t="s">
        <v>69</v>
      </c>
      <c r="R84" s="59">
        <f t="shared" ref="R84:Y84" si="48">R50</f>
        <v>635168.5</v>
      </c>
      <c r="S84" s="60">
        <f t="shared" si="48"/>
        <v>0.39106939106015842</v>
      </c>
      <c r="T84" s="56">
        <f t="shared" si="48"/>
        <v>0.53874068213884641</v>
      </c>
      <c r="U84" s="89">
        <f t="shared" si="48"/>
        <v>1.9748102842110709</v>
      </c>
      <c r="V84" s="56">
        <f t="shared" si="48"/>
        <v>0.45490044527639861</v>
      </c>
      <c r="W84" s="56">
        <f t="shared" si="48"/>
        <v>0.60257173635508665</v>
      </c>
      <c r="X84" s="89">
        <f t="shared" si="48"/>
        <v>1.535331465670549</v>
      </c>
      <c r="Y84" s="73">
        <f t="shared" si="48"/>
        <v>0</v>
      </c>
    </row>
    <row r="85" spans="1:32" s="79" customFormat="1" ht="15" thickBot="1" x14ac:dyDescent="0.4">
      <c r="A85" s="69"/>
      <c r="B85" s="70"/>
      <c r="C85" s="70"/>
      <c r="D85" s="71"/>
      <c r="E85" s="72"/>
      <c r="F85" s="70"/>
      <c r="G85" s="71"/>
      <c r="H85" s="73"/>
      <c r="I85" s="73"/>
      <c r="J85" s="73"/>
      <c r="K85" s="73"/>
      <c r="L85" s="73"/>
      <c r="M85" s="74"/>
      <c r="N85" s="74"/>
      <c r="O85" s="74"/>
      <c r="P85" s="75"/>
      <c r="Q85" s="76"/>
      <c r="R85" s="77"/>
      <c r="S85" s="78"/>
      <c r="T85" s="73"/>
      <c r="U85" s="115"/>
      <c r="V85" s="73"/>
      <c r="W85" s="73"/>
      <c r="X85" s="115"/>
      <c r="Y85" s="73"/>
    </row>
    <row r="86" spans="1:32" s="68" customFormat="1" ht="15" thickBot="1" x14ac:dyDescent="0.4">
      <c r="A86" s="80" t="s">
        <v>123</v>
      </c>
      <c r="B86" s="81" t="s">
        <v>69</v>
      </c>
      <c r="C86" s="81" t="s">
        <v>69</v>
      </c>
      <c r="D86" s="82">
        <f>SUM(D83:D84)</f>
        <v>2587</v>
      </c>
      <c r="E86" s="82">
        <f>SUM(E83:E84)</f>
        <v>3336</v>
      </c>
      <c r="F86" s="81" t="s">
        <v>69</v>
      </c>
      <c r="G86" s="82">
        <f>SUM(G83:G84)</f>
        <v>297215.65700000001</v>
      </c>
      <c r="H86" s="83"/>
      <c r="I86" s="83"/>
      <c r="J86" s="83"/>
      <c r="K86" s="83">
        <f>SUM(K83:K84)</f>
        <v>2889302.6000000006</v>
      </c>
      <c r="L86" s="83">
        <f>SUM(L83:L84)</f>
        <v>2017965.1362286997</v>
      </c>
      <c r="M86" s="84">
        <f>SUMPRODUCT(M83:M84,G83:G84)/SUM(G83:G84)</f>
        <v>22.819529877593222</v>
      </c>
      <c r="N86" s="82">
        <f>SUM(N83:N84)</f>
        <v>4396437.3654208668</v>
      </c>
      <c r="O86" s="82">
        <f>N86</f>
        <v>4396437.3654208668</v>
      </c>
      <c r="P86" s="85">
        <f>SUM(P83:P84)</f>
        <v>648230.52</v>
      </c>
      <c r="Q86" s="86" t="s">
        <v>69</v>
      </c>
      <c r="R86" s="87">
        <f>SUM(R83:R84)</f>
        <v>1128621.8500000001</v>
      </c>
      <c r="S86" s="90">
        <f t="shared" ref="S86:T86" si="49">AVERAGE((0.37*S84)+(0.63*S83))</f>
        <v>0.25683389841383625</v>
      </c>
      <c r="T86" s="90">
        <f t="shared" si="49"/>
        <v>0.40427860525672132</v>
      </c>
      <c r="U86" s="88">
        <f>AVERAGE((0.37*U84)+(0.63*U83))</f>
        <v>1.5759958913569796</v>
      </c>
      <c r="V86" s="88">
        <f>AVERAGE((0.37*V84)+(0.63*V83))</f>
        <v>0.45899639331150199</v>
      </c>
      <c r="W86" s="88">
        <f>AVERAGE((0.37*W84)+(0.63*W83))</f>
        <v>0.60644110015438712</v>
      </c>
      <c r="X86" s="122">
        <f>AVERAGE((0.37*X84)+(0.63*X83))</f>
        <v>0.96038685855639594</v>
      </c>
      <c r="Y86" s="123"/>
      <c r="Z86" s="79"/>
      <c r="AA86" s="79"/>
      <c r="AB86" s="79"/>
      <c r="AC86" s="79"/>
      <c r="AD86" s="79"/>
      <c r="AE86" s="79"/>
      <c r="AF86" s="79"/>
    </row>
    <row r="87" spans="1:32" ht="15" thickBot="1" x14ac:dyDescent="0.4">
      <c r="A87" s="6" t="s">
        <v>3</v>
      </c>
      <c r="B87" s="117">
        <v>2016</v>
      </c>
      <c r="C87" s="117">
        <v>2014</v>
      </c>
      <c r="D87" s="7"/>
      <c r="E87" s="7"/>
      <c r="F87" s="7"/>
      <c r="G87" s="7"/>
      <c r="H87" s="7"/>
      <c r="I87" s="7"/>
      <c r="J87" s="7"/>
      <c r="K87" s="7"/>
      <c r="L87" s="7"/>
      <c r="M87" s="7"/>
      <c r="N87" s="7"/>
      <c r="O87" s="7"/>
      <c r="P87" s="7"/>
      <c r="Q87" s="7"/>
      <c r="R87" s="7"/>
      <c r="S87" s="7"/>
      <c r="T87" s="7"/>
      <c r="U87" s="7"/>
      <c r="V87" s="7"/>
      <c r="W87" s="7"/>
      <c r="X87" s="7"/>
      <c r="Y87" s="7"/>
    </row>
    <row r="88" spans="1:32" ht="15" thickBot="1" x14ac:dyDescent="0.4">
      <c r="A88" s="24" t="s">
        <v>70</v>
      </c>
      <c r="B88" s="8">
        <v>3.5200000000000002E-2</v>
      </c>
      <c r="C88" s="119">
        <v>4.1700000000000001E-2</v>
      </c>
      <c r="D88" s="7"/>
      <c r="E88" s="7"/>
      <c r="F88" s="7"/>
      <c r="G88" s="7"/>
      <c r="H88" s="7"/>
      <c r="I88" s="7"/>
      <c r="K88" s="7"/>
      <c r="L88" s="7"/>
      <c r="M88" s="7"/>
      <c r="N88" s="7"/>
      <c r="O88" s="7"/>
      <c r="P88" s="7"/>
      <c r="Q88" s="7"/>
      <c r="R88" s="7"/>
      <c r="S88" s="7"/>
      <c r="T88" s="7"/>
      <c r="U88" s="7"/>
      <c r="V88" s="7"/>
      <c r="W88" s="7"/>
      <c r="X88" s="7"/>
      <c r="Y88" s="7"/>
    </row>
    <row r="89" spans="1:32" ht="15" thickBot="1" x14ac:dyDescent="0.4">
      <c r="A89" s="24" t="s">
        <v>71</v>
      </c>
      <c r="B89" s="8">
        <v>0.01</v>
      </c>
      <c r="C89" s="119">
        <v>0.02</v>
      </c>
      <c r="D89" s="7"/>
      <c r="E89" s="7"/>
      <c r="F89" s="7"/>
      <c r="G89" s="7"/>
      <c r="H89" s="7"/>
      <c r="I89" s="7"/>
      <c r="J89" s="7"/>
      <c r="K89" s="7"/>
      <c r="L89" s="7"/>
      <c r="M89" s="7"/>
      <c r="N89" s="7"/>
      <c r="O89" s="7"/>
      <c r="P89" s="7"/>
      <c r="Q89" s="7"/>
      <c r="R89" s="7"/>
      <c r="S89" s="7"/>
      <c r="T89" s="7"/>
      <c r="U89" s="7"/>
      <c r="V89" s="7"/>
      <c r="W89" s="7"/>
      <c r="X89" s="7"/>
      <c r="Y89" s="7"/>
    </row>
    <row r="90" spans="1:32" ht="15" thickBot="1" x14ac:dyDescent="0.4">
      <c r="A90" s="24" t="s">
        <v>72</v>
      </c>
      <c r="B90" s="8">
        <v>3.5200000000000002E-2</v>
      </c>
      <c r="C90" s="119">
        <v>4.1700000000000001E-2</v>
      </c>
      <c r="D90" s="7"/>
      <c r="E90" s="7"/>
      <c r="F90" s="7"/>
      <c r="G90" s="7"/>
      <c r="H90" s="7"/>
      <c r="I90" s="7"/>
      <c r="J90" s="7"/>
      <c r="K90" s="7"/>
      <c r="L90" s="7"/>
      <c r="M90" s="7"/>
      <c r="N90" s="7"/>
      <c r="O90" s="7"/>
      <c r="P90" s="7"/>
      <c r="Q90" s="7"/>
      <c r="R90" s="7"/>
      <c r="S90" s="7"/>
      <c r="T90" s="7"/>
      <c r="U90" s="7"/>
      <c r="V90" s="7"/>
      <c r="W90" s="7"/>
      <c r="X90" s="7"/>
      <c r="Y90" s="7"/>
    </row>
    <row r="91" spans="1:32" ht="15" thickBot="1" x14ac:dyDescent="0.4">
      <c r="A91" s="24" t="s">
        <v>73</v>
      </c>
      <c r="B91" s="9">
        <v>648230.52</v>
      </c>
      <c r="C91" s="118"/>
      <c r="D91" s="7"/>
      <c r="E91" s="7"/>
      <c r="F91" s="7"/>
      <c r="G91" s="7"/>
      <c r="H91" s="7"/>
      <c r="I91" s="7"/>
      <c r="J91" s="7"/>
      <c r="K91" s="7"/>
      <c r="L91" s="7"/>
      <c r="M91" s="7"/>
      <c r="N91" s="7"/>
      <c r="O91" s="7"/>
      <c r="P91" s="7"/>
      <c r="Q91" s="7"/>
      <c r="R91" s="7"/>
      <c r="S91" s="7"/>
      <c r="T91" s="7"/>
      <c r="U91" s="7"/>
      <c r="V91" s="7"/>
      <c r="W91" s="7"/>
      <c r="X91" s="7"/>
      <c r="Y91" s="7"/>
    </row>
    <row r="92" spans="1:32" ht="30.65" customHeight="1" thickBot="1" x14ac:dyDescent="0.4">
      <c r="A92" s="25" t="s">
        <v>97</v>
      </c>
      <c r="B92" s="26">
        <f>K86-L86</f>
        <v>871337.46377130086</v>
      </c>
      <c r="C92" s="7"/>
      <c r="D92" s="7"/>
      <c r="E92" s="7"/>
      <c r="F92" s="7"/>
      <c r="G92" s="7"/>
      <c r="H92" s="7"/>
      <c r="I92" s="7"/>
      <c r="J92" s="7"/>
      <c r="K92" s="7"/>
      <c r="L92" s="7"/>
      <c r="M92" s="7"/>
      <c r="N92" s="7"/>
      <c r="O92" s="7"/>
      <c r="P92" s="7"/>
      <c r="Q92" s="7"/>
      <c r="R92" s="7"/>
      <c r="S92" s="7"/>
      <c r="T92" s="7"/>
      <c r="U92" s="7"/>
      <c r="V92" s="7"/>
      <c r="W92" s="7"/>
      <c r="X92" s="7"/>
      <c r="Y92" s="7"/>
    </row>
    <row r="93" spans="1:32" ht="63.65" customHeight="1" thickBot="1" x14ac:dyDescent="0.4">
      <c r="A93" s="116" t="s">
        <v>124</v>
      </c>
    </row>
  </sheetData>
  <autoFilter ref="A4:Y92" xr:uid="{499490E5-F595-4A23-847F-BEBAF65C713D}">
    <filterColumn colId="23" showButton="0"/>
  </autoFilter>
  <mergeCells count="84">
    <mergeCell ref="B1:Y1"/>
    <mergeCell ref="B2:Y2"/>
    <mergeCell ref="A3:Y3"/>
    <mergeCell ref="X4:Y4"/>
    <mergeCell ref="X5:Y5"/>
    <mergeCell ref="X9:Y9"/>
    <mergeCell ref="X10:Y10"/>
    <mergeCell ref="X11:Y11"/>
    <mergeCell ref="X6:Y6"/>
    <mergeCell ref="X7:Y7"/>
    <mergeCell ref="X8:Y8"/>
    <mergeCell ref="X13:Y13"/>
    <mergeCell ref="X14:Y14"/>
    <mergeCell ref="X15:Y15"/>
    <mergeCell ref="X16:Y16"/>
    <mergeCell ref="X12:Y12"/>
    <mergeCell ref="X20:Y20"/>
    <mergeCell ref="X21:Y21"/>
    <mergeCell ref="X17:Y17"/>
    <mergeCell ref="X18:Y18"/>
    <mergeCell ref="X19:Y19"/>
    <mergeCell ref="X26:Y26"/>
    <mergeCell ref="X27:Y27"/>
    <mergeCell ref="X28:Y28"/>
    <mergeCell ref="X22:Y22"/>
    <mergeCell ref="X23:Y23"/>
    <mergeCell ref="X24:Y24"/>
    <mergeCell ref="X25:Y25"/>
    <mergeCell ref="X34:Y34"/>
    <mergeCell ref="X35:Y35"/>
    <mergeCell ref="X32:Y32"/>
    <mergeCell ref="X33:Y33"/>
    <mergeCell ref="X29:Y29"/>
    <mergeCell ref="X30:Y30"/>
    <mergeCell ref="X31:Y31"/>
    <mergeCell ref="X39:Y39"/>
    <mergeCell ref="X40:Y40"/>
    <mergeCell ref="X41:Y41"/>
    <mergeCell ref="X38:Y38"/>
    <mergeCell ref="X36:Y36"/>
    <mergeCell ref="X37:Y37"/>
    <mergeCell ref="X44:Y44"/>
    <mergeCell ref="X45:Y45"/>
    <mergeCell ref="X46:Y46"/>
    <mergeCell ref="X50:Y50"/>
    <mergeCell ref="X42:Y42"/>
    <mergeCell ref="X43:Y43"/>
    <mergeCell ref="X55:Y55"/>
    <mergeCell ref="X56:Y56"/>
    <mergeCell ref="X54:Y54"/>
    <mergeCell ref="X83:Y83"/>
    <mergeCell ref="X47:Y47"/>
    <mergeCell ref="X48:Y48"/>
    <mergeCell ref="X49:Y49"/>
    <mergeCell ref="X51:Y51"/>
    <mergeCell ref="X52:Y52"/>
    <mergeCell ref="X53:Y53"/>
    <mergeCell ref="X61:Y61"/>
    <mergeCell ref="X60:Y60"/>
    <mergeCell ref="X57:Y57"/>
    <mergeCell ref="X58:Y58"/>
    <mergeCell ref="X59:Y59"/>
    <mergeCell ref="X65:Y65"/>
    <mergeCell ref="X66:Y66"/>
    <mergeCell ref="X62:Y62"/>
    <mergeCell ref="X63:Y63"/>
    <mergeCell ref="X64:Y64"/>
    <mergeCell ref="X70:Y70"/>
    <mergeCell ref="X71:Y71"/>
    <mergeCell ref="X72:Y72"/>
    <mergeCell ref="X67:Y67"/>
    <mergeCell ref="X68:Y68"/>
    <mergeCell ref="X69:Y69"/>
    <mergeCell ref="X76:Y76"/>
    <mergeCell ref="X77:Y77"/>
    <mergeCell ref="X78:Y78"/>
    <mergeCell ref="X73:Y73"/>
    <mergeCell ref="X74:Y74"/>
    <mergeCell ref="X75:Y75"/>
    <mergeCell ref="X82:Y82"/>
    <mergeCell ref="X80:Y80"/>
    <mergeCell ref="X81:Y81"/>
    <mergeCell ref="X86:Y86"/>
    <mergeCell ref="X79:Y79"/>
  </mergeCells>
  <pageMargins left="0" right="0" top="0" bottom="0"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outlinePr summaryBelow="0"/>
  </sheetPr>
  <dimension ref="A1:H56"/>
  <sheetViews>
    <sheetView workbookViewId="0">
      <pane ySplit="4" topLeftCell="A5" activePane="bottomLeft" state="frozen"/>
      <selection pane="bottomLeft" activeCell="A3" sqref="A3:H3"/>
    </sheetView>
  </sheetViews>
  <sheetFormatPr defaultRowHeight="14.5" x14ac:dyDescent="0.35"/>
  <cols>
    <col min="1" max="8" width="13.453125" customWidth="1"/>
  </cols>
  <sheetData>
    <row r="1" spans="1:8" ht="15" customHeight="1" x14ac:dyDescent="0.35">
      <c r="A1" s="146" t="s">
        <v>74</v>
      </c>
      <c r="B1" s="147"/>
      <c r="C1" s="147"/>
      <c r="D1" s="147"/>
      <c r="E1" s="147"/>
      <c r="F1" s="147"/>
      <c r="G1" s="147"/>
      <c r="H1" s="147"/>
    </row>
    <row r="2" spans="1:8" ht="15" customHeight="1" x14ac:dyDescent="0.35">
      <c r="A2" s="146" t="s">
        <v>125</v>
      </c>
      <c r="B2" s="147"/>
      <c r="C2" s="147"/>
      <c r="D2" s="147"/>
      <c r="E2" s="147"/>
      <c r="F2" s="147"/>
      <c r="G2" s="147"/>
      <c r="H2" s="147"/>
    </row>
    <row r="3" spans="1:8" ht="15" customHeight="1" x14ac:dyDescent="0.35">
      <c r="A3" s="146" t="s">
        <v>75</v>
      </c>
      <c r="B3" s="147"/>
      <c r="C3" s="147"/>
      <c r="D3" s="147"/>
      <c r="E3" s="147"/>
      <c r="F3" s="147"/>
      <c r="G3" s="147"/>
      <c r="H3" s="147"/>
    </row>
    <row r="4" spans="1:8" ht="15" customHeight="1" x14ac:dyDescent="0.35">
      <c r="A4" s="146" t="s">
        <v>76</v>
      </c>
      <c r="B4" s="147"/>
      <c r="C4" s="147"/>
      <c r="D4" s="147"/>
      <c r="E4" s="147"/>
      <c r="F4" s="147"/>
      <c r="G4" s="147"/>
      <c r="H4" s="147"/>
    </row>
    <row r="5" spans="1:8" ht="15" customHeight="1" x14ac:dyDescent="0.35">
      <c r="A5" s="148" t="s">
        <v>3</v>
      </c>
      <c r="B5" s="149"/>
      <c r="C5" s="149"/>
      <c r="D5" s="149"/>
      <c r="E5" s="149"/>
      <c r="F5" s="149"/>
      <c r="G5" s="149"/>
      <c r="H5" s="149"/>
    </row>
    <row r="6" spans="1:8" ht="60" customHeight="1" x14ac:dyDescent="0.35">
      <c r="A6" s="10" t="s">
        <v>3</v>
      </c>
      <c r="B6" s="11" t="s">
        <v>77</v>
      </c>
      <c r="C6" s="11" t="s">
        <v>78</v>
      </c>
      <c r="D6" s="11" t="s">
        <v>79</v>
      </c>
      <c r="E6" s="11" t="s">
        <v>80</v>
      </c>
      <c r="F6" s="11" t="s">
        <v>81</v>
      </c>
      <c r="G6" s="11" t="s">
        <v>82</v>
      </c>
      <c r="H6" s="11" t="s">
        <v>83</v>
      </c>
    </row>
    <row r="7" spans="1:8" ht="15" customHeight="1" x14ac:dyDescent="0.35">
      <c r="A7" s="12">
        <v>2017</v>
      </c>
      <c r="B7" s="13">
        <v>1</v>
      </c>
      <c r="C7" s="14">
        <v>0.506692917477916</v>
      </c>
      <c r="D7" s="14">
        <v>0.52449999999999997</v>
      </c>
      <c r="E7" s="14">
        <v>0.52449999999999997</v>
      </c>
      <c r="F7" s="12" t="s">
        <v>84</v>
      </c>
      <c r="G7" s="15">
        <v>0.55072500000000002</v>
      </c>
      <c r="H7" s="16">
        <v>0.57011051999999995</v>
      </c>
    </row>
    <row r="8" spans="1:8" ht="15" customHeight="1" x14ac:dyDescent="0.35">
      <c r="A8" s="12">
        <v>2018</v>
      </c>
      <c r="B8" s="13">
        <v>2</v>
      </c>
      <c r="C8" s="14">
        <v>0.48302252581501598</v>
      </c>
      <c r="D8" s="14">
        <v>0.51759999999999995</v>
      </c>
      <c r="E8" s="14">
        <v>1.0421</v>
      </c>
      <c r="F8" s="12" t="s">
        <v>84</v>
      </c>
      <c r="G8" s="15">
        <v>1.0942050000000001</v>
      </c>
      <c r="H8" s="16">
        <v>0.57615605137735904</v>
      </c>
    </row>
    <row r="9" spans="1:8" ht="15" customHeight="1" x14ac:dyDescent="0.35">
      <c r="A9" s="12">
        <v>2019</v>
      </c>
      <c r="B9" s="13">
        <v>3</v>
      </c>
      <c r="C9" s="14">
        <v>0.46217550395656798</v>
      </c>
      <c r="D9" s="14">
        <v>0.51270000000000004</v>
      </c>
      <c r="E9" s="14">
        <v>1.5548</v>
      </c>
      <c r="F9" s="12" t="s">
        <v>84</v>
      </c>
      <c r="G9" s="15">
        <v>1.6325400000000001</v>
      </c>
      <c r="H9" s="16">
        <v>0.58293196065410902</v>
      </c>
    </row>
    <row r="10" spans="1:8" ht="15" customHeight="1" x14ac:dyDescent="0.35">
      <c r="A10" s="12">
        <v>2020</v>
      </c>
      <c r="B10" s="13">
        <v>4</v>
      </c>
      <c r="C10" s="14">
        <v>0.441776064560502</v>
      </c>
      <c r="D10" s="14">
        <v>0.50729999999999997</v>
      </c>
      <c r="E10" s="14">
        <v>2.0621</v>
      </c>
      <c r="F10" s="12" t="s">
        <v>84</v>
      </c>
      <c r="G10" s="15">
        <v>2.1652049999999998</v>
      </c>
      <c r="H10" s="16">
        <v>0.58975943021046795</v>
      </c>
    </row>
    <row r="11" spans="1:8" ht="15" customHeight="1" x14ac:dyDescent="0.35">
      <c r="A11" s="17">
        <v>2021</v>
      </c>
      <c r="B11" s="13">
        <v>5</v>
      </c>
      <c r="C11" s="14">
        <v>0.43535705596309598</v>
      </c>
      <c r="D11" s="14">
        <v>0.51759999999999995</v>
      </c>
      <c r="E11" s="14">
        <v>2.5796999999999999</v>
      </c>
      <c r="F11" s="12" t="s">
        <v>85</v>
      </c>
      <c r="G11" s="15">
        <v>2.7731775000000001</v>
      </c>
      <c r="H11" s="16">
        <v>0.61455510299969196</v>
      </c>
    </row>
    <row r="12" spans="1:8" ht="15" customHeight="1" x14ac:dyDescent="0.35">
      <c r="A12" s="12">
        <v>2022</v>
      </c>
      <c r="B12" s="13">
        <v>6</v>
      </c>
      <c r="C12" s="14">
        <v>0.43655277897123201</v>
      </c>
      <c r="D12" s="14">
        <v>0.5373</v>
      </c>
      <c r="E12" s="14">
        <v>3.117</v>
      </c>
      <c r="F12" s="12" t="s">
        <v>85</v>
      </c>
      <c r="G12" s="15">
        <v>3.3507750000000001</v>
      </c>
      <c r="H12" s="16">
        <v>0.629247118316003</v>
      </c>
    </row>
    <row r="13" spans="1:8" ht="15" customHeight="1" x14ac:dyDescent="0.35">
      <c r="A13" s="12">
        <v>2023</v>
      </c>
      <c r="B13" s="13">
        <v>7</v>
      </c>
      <c r="C13" s="14">
        <v>0.41640962145316102</v>
      </c>
      <c r="D13" s="14">
        <v>0.53049999999999997</v>
      </c>
      <c r="E13" s="14">
        <v>3.6475</v>
      </c>
      <c r="F13" s="12" t="s">
        <v>85</v>
      </c>
      <c r="G13" s="15">
        <v>3.9210625000000001</v>
      </c>
      <c r="H13" s="16">
        <v>0.64174689766763904</v>
      </c>
    </row>
    <row r="14" spans="1:8" ht="15" customHeight="1" x14ac:dyDescent="0.35">
      <c r="A14" s="12">
        <v>2024</v>
      </c>
      <c r="B14" s="13">
        <v>8</v>
      </c>
      <c r="C14" s="14">
        <v>0.41561719599766</v>
      </c>
      <c r="D14" s="14">
        <v>0.54810000000000003</v>
      </c>
      <c r="E14" s="14">
        <v>4.1955999999999998</v>
      </c>
      <c r="F14" s="12" t="s">
        <v>85</v>
      </c>
      <c r="G14" s="15">
        <v>4.5102700000000002</v>
      </c>
      <c r="H14" s="16">
        <v>0.65668675188056402</v>
      </c>
    </row>
    <row r="15" spans="1:8" ht="15" customHeight="1" x14ac:dyDescent="0.35">
      <c r="A15" s="12">
        <v>2025</v>
      </c>
      <c r="B15" s="13">
        <v>9</v>
      </c>
      <c r="C15" s="14">
        <v>0.40376293781064299</v>
      </c>
      <c r="D15" s="14">
        <v>0.55120000000000002</v>
      </c>
      <c r="E15" s="14">
        <v>4.7468000000000004</v>
      </c>
      <c r="F15" s="12" t="s">
        <v>85</v>
      </c>
      <c r="G15" s="15">
        <v>5.1028099999999998</v>
      </c>
      <c r="H15" s="16">
        <v>0.671362515855918</v>
      </c>
    </row>
    <row r="16" spans="1:8" ht="15" customHeight="1" x14ac:dyDescent="0.35">
      <c r="A16" s="17">
        <v>2026</v>
      </c>
      <c r="B16" s="13">
        <v>10</v>
      </c>
      <c r="C16" s="14">
        <v>0.39127820142947001</v>
      </c>
      <c r="D16" s="14">
        <v>0.55300000000000005</v>
      </c>
      <c r="E16" s="14">
        <v>5.2998000000000003</v>
      </c>
      <c r="F16" s="12" t="s">
        <v>86</v>
      </c>
      <c r="G16" s="15">
        <v>5.8297800000000004</v>
      </c>
      <c r="H16" s="16">
        <v>0.70168753835864495</v>
      </c>
    </row>
    <row r="17" spans="1:8" ht="15" customHeight="1" x14ac:dyDescent="0.35">
      <c r="A17" s="13">
        <v>2027</v>
      </c>
      <c r="B17" s="13">
        <v>11</v>
      </c>
      <c r="C17" s="14">
        <v>0.38650562335903699</v>
      </c>
      <c r="D17" s="14">
        <v>0.5655</v>
      </c>
      <c r="E17" s="14">
        <v>5.8653000000000004</v>
      </c>
      <c r="F17" s="12" t="s">
        <v>86</v>
      </c>
      <c r="G17" s="15">
        <v>6.4518300000000002</v>
      </c>
      <c r="H17" s="16">
        <v>0.71753017552309395</v>
      </c>
    </row>
    <row r="18" spans="1:8" ht="15" customHeight="1" x14ac:dyDescent="0.35">
      <c r="A18" s="12">
        <v>2028</v>
      </c>
      <c r="B18" s="13">
        <v>12</v>
      </c>
      <c r="C18" s="14">
        <v>0.38791872432986002</v>
      </c>
      <c r="D18" s="14">
        <v>0.58750000000000002</v>
      </c>
      <c r="E18" s="14">
        <v>6.4527999999999999</v>
      </c>
      <c r="F18" s="12" t="s">
        <v>86</v>
      </c>
      <c r="G18" s="15">
        <v>7.0980800000000004</v>
      </c>
      <c r="H18" s="16">
        <v>0.73540219867662504</v>
      </c>
    </row>
    <row r="19" spans="1:8" ht="15" customHeight="1" x14ac:dyDescent="0.35">
      <c r="A19" s="12">
        <v>2029</v>
      </c>
      <c r="B19" s="13">
        <v>13</v>
      </c>
      <c r="C19" s="14">
        <v>0.37595687441032299</v>
      </c>
      <c r="D19" s="14">
        <v>0.58950000000000002</v>
      </c>
      <c r="E19" s="14">
        <v>7.0423</v>
      </c>
      <c r="F19" s="12" t="s">
        <v>86</v>
      </c>
      <c r="G19" s="15">
        <v>7.7465299999999999</v>
      </c>
      <c r="H19" s="16">
        <v>0.75283800222888697</v>
      </c>
    </row>
    <row r="20" spans="1:8" ht="15" customHeight="1" x14ac:dyDescent="0.35">
      <c r="A20" s="12">
        <v>2030</v>
      </c>
      <c r="B20" s="13">
        <v>14</v>
      </c>
      <c r="C20" s="14">
        <v>0.37754185252386102</v>
      </c>
      <c r="D20" s="14">
        <v>0.61280000000000001</v>
      </c>
      <c r="E20" s="14">
        <v>7.6551</v>
      </c>
      <c r="F20" s="12" t="s">
        <v>86</v>
      </c>
      <c r="G20" s="15">
        <v>8.4206099999999999</v>
      </c>
      <c r="H20" s="16">
        <v>0.77211629283704597</v>
      </c>
    </row>
    <row r="21" spans="1:8" ht="15" customHeight="1" x14ac:dyDescent="0.35">
      <c r="A21" s="12">
        <v>2031</v>
      </c>
      <c r="B21" s="13">
        <v>15</v>
      </c>
      <c r="C21" s="14">
        <v>0.37627710978288198</v>
      </c>
      <c r="D21" s="14">
        <v>0.63219999999999998</v>
      </c>
      <c r="E21" s="14">
        <v>8.2873000000000001</v>
      </c>
      <c r="F21" s="12" t="s">
        <v>87</v>
      </c>
      <c r="G21" s="15">
        <v>9.3232125000000003</v>
      </c>
      <c r="H21" s="16">
        <v>0.81064038086745605</v>
      </c>
    </row>
    <row r="22" spans="1:8" ht="15" customHeight="1" x14ac:dyDescent="0.35">
      <c r="A22" s="12">
        <v>2032</v>
      </c>
      <c r="B22" s="13">
        <v>16</v>
      </c>
      <c r="C22" s="14">
        <v>0.36391884754528803</v>
      </c>
      <c r="D22" s="14">
        <v>0.63300000000000001</v>
      </c>
      <c r="E22" s="14">
        <v>8.9202999999999992</v>
      </c>
      <c r="F22" s="12" t="s">
        <v>87</v>
      </c>
      <c r="G22" s="15">
        <v>10.035337500000001</v>
      </c>
      <c r="H22" s="16">
        <v>0.83101695530386399</v>
      </c>
    </row>
    <row r="23" spans="1:8" ht="15" customHeight="1" x14ac:dyDescent="0.35">
      <c r="A23" s="12">
        <v>2033</v>
      </c>
      <c r="B23" s="13">
        <v>17</v>
      </c>
      <c r="C23" s="14">
        <v>0.366788831087001</v>
      </c>
      <c r="D23" s="14">
        <v>0.66039999999999999</v>
      </c>
      <c r="E23" s="14">
        <v>9.5807000000000002</v>
      </c>
      <c r="F23" s="12" t="s">
        <v>87</v>
      </c>
      <c r="G23" s="15">
        <v>10.778287499999999</v>
      </c>
      <c r="H23" s="16">
        <v>0.85329665766642104</v>
      </c>
    </row>
    <row r="24" spans="1:8" ht="15" customHeight="1" x14ac:dyDescent="0.35">
      <c r="A24" s="12">
        <v>2034</v>
      </c>
      <c r="B24" s="13">
        <v>18</v>
      </c>
      <c r="C24" s="14">
        <v>0.35509665531992102</v>
      </c>
      <c r="D24" s="14">
        <v>0.66190000000000004</v>
      </c>
      <c r="E24" s="14">
        <v>10.242599999999999</v>
      </c>
      <c r="F24" s="12" t="s">
        <v>87</v>
      </c>
      <c r="G24" s="15">
        <v>11.522925000000001</v>
      </c>
      <c r="H24" s="16">
        <v>0.87508084147130905</v>
      </c>
    </row>
    <row r="25" spans="1:8" ht="15" customHeight="1" x14ac:dyDescent="0.35">
      <c r="A25" s="12">
        <v>2035</v>
      </c>
      <c r="B25" s="13">
        <v>19</v>
      </c>
      <c r="C25" s="14">
        <v>0.34753485959569602</v>
      </c>
      <c r="D25" s="14">
        <v>0.67059999999999997</v>
      </c>
      <c r="E25" s="14">
        <v>10.9132</v>
      </c>
      <c r="F25" s="12" t="s">
        <v>87</v>
      </c>
      <c r="G25" s="15">
        <v>12.27735</v>
      </c>
      <c r="H25" s="16">
        <v>0.897067740402681</v>
      </c>
    </row>
    <row r="26" spans="1:8" ht="15" customHeight="1" x14ac:dyDescent="0.35">
      <c r="A26" s="17">
        <v>2036</v>
      </c>
      <c r="B26" s="13">
        <v>20</v>
      </c>
      <c r="C26" s="14">
        <v>0.34022516736710201</v>
      </c>
      <c r="D26" s="14">
        <v>0.67959999999999998</v>
      </c>
      <c r="E26" s="14">
        <v>11.5928</v>
      </c>
      <c r="F26" s="12" t="s">
        <v>87</v>
      </c>
      <c r="G26" s="15">
        <v>13.0419</v>
      </c>
      <c r="H26" s="16">
        <v>0.91930355234543903</v>
      </c>
    </row>
    <row r="27" spans="1:8" ht="15" customHeight="1" x14ac:dyDescent="0.35">
      <c r="A27" s="12">
        <v>2037</v>
      </c>
      <c r="B27" s="13">
        <v>21</v>
      </c>
      <c r="C27" s="14">
        <v>0.33189999999999997</v>
      </c>
      <c r="D27" s="14">
        <v>0.68639600000000001</v>
      </c>
      <c r="E27" s="14">
        <v>12.279196000000001</v>
      </c>
      <c r="F27" s="12" t="s">
        <v>88</v>
      </c>
      <c r="G27" s="15">
        <v>14.1210754</v>
      </c>
      <c r="H27" s="16">
        <v>0.96256067436903203</v>
      </c>
    </row>
    <row r="28" spans="1:8" ht="15" customHeight="1" x14ac:dyDescent="0.35">
      <c r="A28" s="12">
        <v>2038</v>
      </c>
      <c r="B28" s="13">
        <v>22</v>
      </c>
      <c r="C28" s="14">
        <v>0.32390000000000002</v>
      </c>
      <c r="D28" s="14">
        <v>0.69325996000000001</v>
      </c>
      <c r="E28" s="14">
        <v>12.97245596</v>
      </c>
      <c r="F28" s="12" t="s">
        <v>88</v>
      </c>
      <c r="G28" s="15">
        <v>14.918324353999999</v>
      </c>
      <c r="H28" s="16">
        <v>0.98552212265613304</v>
      </c>
    </row>
    <row r="29" spans="1:8" ht="15" customHeight="1" x14ac:dyDescent="0.35">
      <c r="A29" s="12">
        <v>2039</v>
      </c>
      <c r="B29" s="13">
        <v>23</v>
      </c>
      <c r="C29" s="14">
        <v>0.316</v>
      </c>
      <c r="D29" s="14">
        <v>0.70019255960000004</v>
      </c>
      <c r="E29" s="14">
        <v>13.672648519599999</v>
      </c>
      <c r="F29" s="12" t="s">
        <v>88</v>
      </c>
      <c r="G29" s="15">
        <v>15.72354579754</v>
      </c>
      <c r="H29" s="16">
        <v>1.0086464310452701</v>
      </c>
    </row>
    <row r="30" spans="1:8" ht="15" customHeight="1" x14ac:dyDescent="0.35">
      <c r="A30" s="12">
        <v>2040</v>
      </c>
      <c r="B30" s="13">
        <v>24</v>
      </c>
      <c r="C30" s="14">
        <v>0.30830000000000002</v>
      </c>
      <c r="D30" s="14">
        <v>0.70719448519600003</v>
      </c>
      <c r="E30" s="14">
        <v>14.379843004795999</v>
      </c>
      <c r="F30" s="12" t="s">
        <v>88</v>
      </c>
      <c r="G30" s="15">
        <v>16.536819455515399</v>
      </c>
      <c r="H30" s="16">
        <v>1.03195880055061</v>
      </c>
    </row>
    <row r="31" spans="1:8" ht="15" customHeight="1" x14ac:dyDescent="0.35">
      <c r="A31" s="13">
        <v>2041</v>
      </c>
      <c r="B31" s="13">
        <v>25</v>
      </c>
      <c r="C31" s="14">
        <v>0.30080000000000001</v>
      </c>
      <c r="D31" s="14">
        <v>0.71426643004795998</v>
      </c>
      <c r="E31" s="14">
        <v>15.094109434844</v>
      </c>
      <c r="F31" s="12" t="s">
        <v>88</v>
      </c>
      <c r="G31" s="15">
        <v>17.3582258500706</v>
      </c>
      <c r="H31" s="16">
        <v>1.0554809412422199</v>
      </c>
    </row>
    <row r="32" spans="1:8" ht="15" customHeight="1" x14ac:dyDescent="0.35">
      <c r="A32" s="12">
        <v>2042</v>
      </c>
      <c r="B32" s="13">
        <v>26</v>
      </c>
      <c r="C32" s="14">
        <v>0.29349999999999998</v>
      </c>
      <c r="D32" s="14">
        <v>0.72140909434844003</v>
      </c>
      <c r="E32" s="14">
        <v>15.815518529192399</v>
      </c>
      <c r="F32" s="12" t="s">
        <v>89</v>
      </c>
      <c r="G32" s="15">
        <v>18.5832342718011</v>
      </c>
      <c r="H32" s="16">
        <v>1.1026933043184499</v>
      </c>
    </row>
    <row r="33" spans="1:8" ht="15" customHeight="1" x14ac:dyDescent="0.35">
      <c r="A33" s="12">
        <v>2043</v>
      </c>
      <c r="B33" s="13">
        <v>27</v>
      </c>
      <c r="C33" s="14">
        <v>0.2863</v>
      </c>
      <c r="D33" s="14">
        <v>0.72862318529192405</v>
      </c>
      <c r="E33" s="14">
        <v>16.544141714484301</v>
      </c>
      <c r="F33" s="12" t="s">
        <v>89</v>
      </c>
      <c r="G33" s="15">
        <v>19.439366514519101</v>
      </c>
      <c r="H33" s="16">
        <v>1.1272110200121499</v>
      </c>
    </row>
    <row r="34" spans="1:8" ht="15" customHeight="1" x14ac:dyDescent="0.35">
      <c r="A34" s="12">
        <v>2044</v>
      </c>
      <c r="B34" s="13">
        <v>28</v>
      </c>
      <c r="C34" s="14">
        <v>0.27929999999999999</v>
      </c>
      <c r="D34" s="14">
        <v>0.73590941714484304</v>
      </c>
      <c r="E34" s="14">
        <v>17.2800511316292</v>
      </c>
      <c r="F34" s="12" t="s">
        <v>89</v>
      </c>
      <c r="G34" s="15">
        <v>20.3040600796643</v>
      </c>
      <c r="H34" s="16">
        <v>1.1519943575740099</v>
      </c>
    </row>
    <row r="35" spans="1:8" ht="15" customHeight="1" x14ac:dyDescent="0.35">
      <c r="A35" s="12">
        <v>2045</v>
      </c>
      <c r="B35" s="13">
        <v>29</v>
      </c>
      <c r="C35" s="14">
        <v>0.27250000000000002</v>
      </c>
      <c r="D35" s="14">
        <v>0.74326851131629201</v>
      </c>
      <c r="E35" s="14">
        <v>18.023319642945498</v>
      </c>
      <c r="F35" s="12" t="s">
        <v>89</v>
      </c>
      <c r="G35" s="15">
        <v>21.177400580460901</v>
      </c>
      <c r="H35" s="16">
        <v>1.1770567561259799</v>
      </c>
    </row>
    <row r="36" spans="1:8" ht="15" customHeight="1" x14ac:dyDescent="0.35">
      <c r="A36" s="17">
        <v>2046</v>
      </c>
      <c r="B36" s="13">
        <v>30</v>
      </c>
      <c r="C36" s="14">
        <v>0.26590000000000003</v>
      </c>
      <c r="D36" s="14">
        <v>0.75070119642945499</v>
      </c>
      <c r="E36" s="14">
        <v>18.774020839374899</v>
      </c>
      <c r="F36" s="12" t="s">
        <v>89</v>
      </c>
      <c r="G36" s="15">
        <v>22.059474486265501</v>
      </c>
      <c r="H36" s="16">
        <v>1.2024103291102399</v>
      </c>
    </row>
    <row r="37" spans="1:8" ht="15" customHeight="1" x14ac:dyDescent="0.35">
      <c r="A37" s="12">
        <v>2047</v>
      </c>
      <c r="B37" s="13">
        <v>31</v>
      </c>
      <c r="C37" s="14">
        <v>0.25940000000000002</v>
      </c>
      <c r="D37" s="14">
        <v>0.75820820839374903</v>
      </c>
      <c r="E37" s="14">
        <v>19.532229047768698</v>
      </c>
      <c r="F37" s="12" t="s">
        <v>90</v>
      </c>
      <c r="G37" s="15">
        <v>23.4386748573224</v>
      </c>
      <c r="H37" s="16">
        <v>1.2541951448828901</v>
      </c>
    </row>
    <row r="38" spans="1:8" ht="15" customHeight="1" x14ac:dyDescent="0.35">
      <c r="A38" s="12">
        <v>2048</v>
      </c>
      <c r="B38" s="13">
        <v>32</v>
      </c>
      <c r="C38" s="14">
        <v>0.25309999999999999</v>
      </c>
      <c r="D38" s="14">
        <v>0.76579029047768699</v>
      </c>
      <c r="E38" s="14">
        <v>20.298019338246299</v>
      </c>
      <c r="F38" s="12" t="s">
        <v>90</v>
      </c>
      <c r="G38" s="15">
        <v>24.357623205895599</v>
      </c>
      <c r="H38" s="16">
        <v>1.2807156499932999</v>
      </c>
    </row>
    <row r="39" spans="1:8" ht="15" customHeight="1" x14ac:dyDescent="0.35">
      <c r="A39" s="12">
        <v>2049</v>
      </c>
      <c r="B39" s="13">
        <v>33</v>
      </c>
      <c r="C39" s="14">
        <v>0.247</v>
      </c>
      <c r="D39" s="14">
        <v>0.77344819338246396</v>
      </c>
      <c r="E39" s="14">
        <v>21.071467531628802</v>
      </c>
      <c r="F39" s="12" t="s">
        <v>90</v>
      </c>
      <c r="G39" s="15">
        <v>25.2857610379546</v>
      </c>
      <c r="H39" s="16">
        <v>1.30756451467569</v>
      </c>
    </row>
    <row r="40" spans="1:8" ht="15" customHeight="1" x14ac:dyDescent="0.35">
      <c r="A40" s="12">
        <v>2050</v>
      </c>
      <c r="B40" s="13">
        <v>34</v>
      </c>
      <c r="C40" s="14">
        <v>0.24099999999999999</v>
      </c>
      <c r="D40" s="14">
        <v>0.78118267531628804</v>
      </c>
      <c r="E40" s="14">
        <v>21.8526502069451</v>
      </c>
      <c r="F40" s="12" t="s">
        <v>90</v>
      </c>
      <c r="G40" s="15">
        <v>26.223180248334099</v>
      </c>
      <c r="H40" s="16">
        <v>1.33475052162326</v>
      </c>
    </row>
    <row r="41" spans="1:8" ht="15" customHeight="1" x14ac:dyDescent="0.35">
      <c r="A41" s="13">
        <v>2051</v>
      </c>
      <c r="B41" s="13">
        <v>35</v>
      </c>
      <c r="C41" s="14">
        <v>0.2351</v>
      </c>
      <c r="D41" s="14">
        <v>0.78899450206945099</v>
      </c>
      <c r="E41" s="14">
        <v>22.6416447090145</v>
      </c>
      <c r="F41" s="12" t="s">
        <v>90</v>
      </c>
      <c r="G41" s="15">
        <v>27.1699736508175</v>
      </c>
      <c r="H41" s="16">
        <v>1.3622818643825101</v>
      </c>
    </row>
    <row r="42" spans="1:8" ht="15" customHeight="1" x14ac:dyDescent="0.35">
      <c r="A42" s="12">
        <v>2052</v>
      </c>
      <c r="B42" s="13">
        <v>36</v>
      </c>
      <c r="C42" s="14">
        <v>0.22939999999999999</v>
      </c>
      <c r="D42" s="14">
        <v>0.79688444709014605</v>
      </c>
      <c r="E42" s="14">
        <v>23.4385291561047</v>
      </c>
      <c r="F42" s="12" t="s">
        <v>90</v>
      </c>
      <c r="G42" s="15">
        <v>28.126234987325599</v>
      </c>
      <c r="H42" s="16">
        <v>1.3901662306967699</v>
      </c>
    </row>
    <row r="43" spans="1:8" ht="15" customHeight="1" x14ac:dyDescent="0.35">
      <c r="A43" s="12">
        <v>2053</v>
      </c>
      <c r="B43" s="13">
        <v>37</v>
      </c>
      <c r="C43" s="14">
        <v>0.2238</v>
      </c>
      <c r="D43" s="14">
        <v>0.80485329156104701</v>
      </c>
      <c r="E43" s="14">
        <v>24.243382447665699</v>
      </c>
      <c r="F43" s="12" t="s">
        <v>90</v>
      </c>
      <c r="G43" s="15">
        <v>29.0920589371989</v>
      </c>
      <c r="H43" s="16">
        <v>1.41841087242749</v>
      </c>
    </row>
    <row r="44" spans="1:8" ht="15" customHeight="1" x14ac:dyDescent="0.35">
      <c r="A44" s="12">
        <v>2054</v>
      </c>
      <c r="B44" s="13">
        <v>38</v>
      </c>
      <c r="C44" s="14">
        <v>0.21829999999999999</v>
      </c>
      <c r="D44" s="14">
        <v>0.81290182447665804</v>
      </c>
      <c r="E44" s="14">
        <v>25.056284272142399</v>
      </c>
      <c r="F44" s="12" t="s">
        <v>90</v>
      </c>
      <c r="G44" s="15">
        <v>30.067541126570902</v>
      </c>
      <c r="H44" s="16">
        <v>1.4470226645295901</v>
      </c>
    </row>
    <row r="45" spans="1:8" ht="15" customHeight="1" x14ac:dyDescent="0.35">
      <c r="A45" s="12">
        <v>2055</v>
      </c>
      <c r="B45" s="13">
        <v>39</v>
      </c>
      <c r="C45" s="14">
        <v>0.21299999999999999</v>
      </c>
      <c r="D45" s="14">
        <v>0.82103084272142401</v>
      </c>
      <c r="E45" s="14">
        <v>25.877315114863801</v>
      </c>
      <c r="F45" s="12" t="s">
        <v>90</v>
      </c>
      <c r="G45" s="15">
        <v>31.052778137836601</v>
      </c>
      <c r="H45" s="16">
        <v>1.4760081550492099</v>
      </c>
    </row>
    <row r="46" spans="1:8" ht="15" customHeight="1" x14ac:dyDescent="0.35">
      <c r="A46" s="17">
        <v>2056</v>
      </c>
      <c r="B46" s="13">
        <v>40</v>
      </c>
      <c r="C46" s="14">
        <v>0.20780000000000001</v>
      </c>
      <c r="D46" s="14">
        <v>0.82924115114863906</v>
      </c>
      <c r="E46" s="14">
        <v>26.706556266012502</v>
      </c>
      <c r="F46" s="12" t="s">
        <v>90</v>
      </c>
      <c r="G46" s="15">
        <v>32.047867519215004</v>
      </c>
      <c r="H46" s="16">
        <v>1.5053736077183399</v>
      </c>
    </row>
    <row r="47" spans="1:8" ht="15" customHeight="1" x14ac:dyDescent="0.35">
      <c r="A47" s="12">
        <v>2057</v>
      </c>
      <c r="B47" s="13">
        <v>41</v>
      </c>
      <c r="C47" s="14">
        <v>0.20280000000000001</v>
      </c>
      <c r="D47" s="14">
        <v>0.83753356266012502</v>
      </c>
      <c r="E47" s="14">
        <v>27.5440898286726</v>
      </c>
      <c r="F47" s="12" t="s">
        <v>90</v>
      </c>
      <c r="G47" s="15">
        <v>33.052907794407098</v>
      </c>
      <c r="H47" s="16">
        <v>1.53512503841349</v>
      </c>
    </row>
    <row r="48" spans="1:8" ht="15" customHeight="1" x14ac:dyDescent="0.35">
      <c r="A48" s="12">
        <v>2058</v>
      </c>
      <c r="B48" s="13">
        <v>42</v>
      </c>
      <c r="C48" s="14">
        <v>0.1978</v>
      </c>
      <c r="D48" s="14">
        <v>0.845908898286726</v>
      </c>
      <c r="E48" s="14">
        <v>28.389998726959298</v>
      </c>
      <c r="F48" s="12" t="s">
        <v>90</v>
      </c>
      <c r="G48" s="15">
        <v>34.067998472351199</v>
      </c>
      <c r="H48" s="16">
        <v>1.5652682465040999</v>
      </c>
    </row>
    <row r="49" spans="1:8" ht="15" customHeight="1" x14ac:dyDescent="0.35">
      <c r="A49" s="12">
        <v>2059</v>
      </c>
      <c r="B49" s="13">
        <v>43</v>
      </c>
      <c r="C49" s="14">
        <v>0.193</v>
      </c>
      <c r="D49" s="14">
        <v>0.85436798726959395</v>
      </c>
      <c r="E49" s="14">
        <v>29.244366714228899</v>
      </c>
      <c r="F49" s="12" t="s">
        <v>90</v>
      </c>
      <c r="G49" s="15">
        <v>35.093240057074702</v>
      </c>
      <c r="H49" s="16">
        <v>1.5958088419255401</v>
      </c>
    </row>
    <row r="50" spans="1:8" ht="15" customHeight="1" x14ac:dyDescent="0.35">
      <c r="A50" s="13">
        <v>2060</v>
      </c>
      <c r="B50" s="13">
        <v>44</v>
      </c>
      <c r="C50" s="14">
        <v>0.1883</v>
      </c>
      <c r="D50" s="14">
        <v>0.86291166714228995</v>
      </c>
      <c r="E50" s="14">
        <v>30.107278381371199</v>
      </c>
      <c r="F50" s="12" t="s">
        <v>90</v>
      </c>
      <c r="G50" s="15">
        <v>36.128734057645403</v>
      </c>
      <c r="H50" s="16">
        <v>1.62675226865943</v>
      </c>
    </row>
    <row r="51" spans="1:8" ht="15" customHeight="1" x14ac:dyDescent="0.35">
      <c r="A51" s="12">
        <v>2061</v>
      </c>
      <c r="B51" s="13">
        <v>45</v>
      </c>
      <c r="C51" s="14">
        <v>0.1837</v>
      </c>
      <c r="D51" s="14">
        <v>0.87154078381371203</v>
      </c>
      <c r="E51" s="14">
        <v>30.978819165184898</v>
      </c>
      <c r="F51" s="12" t="s">
        <v>90</v>
      </c>
      <c r="G51" s="15">
        <v>37.174582998221901</v>
      </c>
      <c r="H51" s="16">
        <v>1.65810382518273</v>
      </c>
    </row>
    <row r="52" spans="1:8" ht="15" customHeight="1" x14ac:dyDescent="0.35">
      <c r="A52" s="144" t="s">
        <v>3</v>
      </c>
      <c r="B52" s="145"/>
      <c r="C52" s="145"/>
      <c r="D52" s="145"/>
      <c r="E52" s="145"/>
      <c r="F52" s="145"/>
      <c r="G52" s="145"/>
      <c r="H52" s="145"/>
    </row>
    <row r="53" spans="1:8" ht="15" customHeight="1" x14ac:dyDescent="0.35">
      <c r="A53" s="18" t="s">
        <v>3</v>
      </c>
      <c r="B53" s="138" t="s">
        <v>91</v>
      </c>
      <c r="C53" s="139"/>
      <c r="D53" s="139"/>
      <c r="E53" s="19">
        <v>3.5200000000000002E-2</v>
      </c>
      <c r="F53" s="140" t="s">
        <v>3</v>
      </c>
      <c r="G53" s="141"/>
      <c r="H53" s="141"/>
    </row>
    <row r="54" spans="1:8" ht="15" customHeight="1" x14ac:dyDescent="0.35">
      <c r="A54" s="18" t="s">
        <v>3</v>
      </c>
      <c r="B54" s="138" t="s">
        <v>92</v>
      </c>
      <c r="C54" s="139"/>
      <c r="D54" s="139"/>
      <c r="E54" s="19">
        <v>3.5200000000000002E-2</v>
      </c>
      <c r="F54" s="140" t="s">
        <v>3</v>
      </c>
      <c r="G54" s="141"/>
      <c r="H54" s="141"/>
    </row>
    <row r="55" spans="1:8" ht="15" customHeight="1" x14ac:dyDescent="0.35">
      <c r="A55" s="18" t="s">
        <v>3</v>
      </c>
      <c r="B55" s="138" t="s">
        <v>93</v>
      </c>
      <c r="C55" s="139"/>
      <c r="D55" s="139"/>
      <c r="E55" s="19">
        <v>3.5200000000000002E-2</v>
      </c>
      <c r="F55" s="140" t="s">
        <v>3</v>
      </c>
      <c r="G55" s="141"/>
      <c r="H55" s="141"/>
    </row>
    <row r="56" spans="1:8" ht="15" customHeight="1" x14ac:dyDescent="0.35">
      <c r="A56" s="18" t="s">
        <v>3</v>
      </c>
      <c r="B56" s="138" t="s">
        <v>94</v>
      </c>
      <c r="C56" s="139"/>
      <c r="D56" s="139"/>
      <c r="E56" s="19">
        <v>0.01</v>
      </c>
      <c r="F56" s="142" t="s">
        <v>95</v>
      </c>
      <c r="G56" s="143"/>
      <c r="H56" s="143"/>
    </row>
  </sheetData>
  <mergeCells count="14">
    <mergeCell ref="A1:H1"/>
    <mergeCell ref="A2:H2"/>
    <mergeCell ref="A3:H3"/>
    <mergeCell ref="A4:H4"/>
    <mergeCell ref="A5:H5"/>
    <mergeCell ref="B55:D55"/>
    <mergeCell ref="F55:H55"/>
    <mergeCell ref="B56:D56"/>
    <mergeCell ref="F56:H56"/>
    <mergeCell ref="A52:H52"/>
    <mergeCell ref="B53:D53"/>
    <mergeCell ref="F53:H53"/>
    <mergeCell ref="B54:D54"/>
    <mergeCell ref="F54:H54"/>
  </mergeCells>
  <pageMargins left="0" right="0" top="0" bottom="0"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EA44C-D681-4E40-935A-88304CCD39C2}">
  <sheetPr>
    <tabColor theme="2" tint="-0.249977111117893"/>
  </sheetPr>
  <dimension ref="A1:I59"/>
  <sheetViews>
    <sheetView zoomScale="80" zoomScaleNormal="80" workbookViewId="0">
      <selection activeCell="A3" sqref="A3:H3"/>
    </sheetView>
  </sheetViews>
  <sheetFormatPr defaultColWidth="9.7265625" defaultRowHeight="12.5" x14ac:dyDescent="0.25"/>
  <cols>
    <col min="1" max="1" width="6.54296875" style="40" bestFit="1" customWidth="1"/>
    <col min="2" max="2" width="7" style="40" bestFit="1" customWidth="1"/>
    <col min="3" max="3" width="16.453125" style="40" customWidth="1"/>
    <col min="4" max="4" width="11.1796875" style="40" bestFit="1" customWidth="1"/>
    <col min="5" max="5" width="12.26953125" style="40" bestFit="1" customWidth="1"/>
    <col min="6" max="6" width="18.453125" style="40" bestFit="1" customWidth="1"/>
    <col min="7" max="7" width="19.81640625" style="40" bestFit="1" customWidth="1"/>
    <col min="8" max="8" width="17.54296875" style="40" bestFit="1" customWidth="1"/>
    <col min="9" max="16384" width="9.7265625" style="40"/>
  </cols>
  <sheetData>
    <row r="1" spans="1:9" s="28" customFormat="1" ht="13" x14ac:dyDescent="0.3">
      <c r="A1" s="150" t="s">
        <v>74</v>
      </c>
      <c r="B1" s="150"/>
      <c r="C1" s="150"/>
      <c r="D1" s="150"/>
      <c r="E1" s="150"/>
      <c r="F1" s="150"/>
      <c r="G1" s="150"/>
      <c r="H1" s="150"/>
    </row>
    <row r="2" spans="1:9" s="28" customFormat="1" ht="13" x14ac:dyDescent="0.3">
      <c r="A2" s="150" t="s">
        <v>98</v>
      </c>
      <c r="B2" s="150"/>
      <c r="C2" s="150"/>
      <c r="D2" s="150"/>
      <c r="E2" s="150"/>
      <c r="F2" s="150"/>
      <c r="G2" s="150"/>
      <c r="H2" s="150"/>
    </row>
    <row r="3" spans="1:9" s="28" customFormat="1" ht="13" x14ac:dyDescent="0.3">
      <c r="A3" s="150" t="s">
        <v>75</v>
      </c>
      <c r="B3" s="150"/>
      <c r="C3" s="150"/>
      <c r="D3" s="150"/>
      <c r="E3" s="150"/>
      <c r="F3" s="150"/>
      <c r="G3" s="150"/>
      <c r="H3" s="150"/>
    </row>
    <row r="4" spans="1:9" s="28" customFormat="1" ht="13" x14ac:dyDescent="0.3">
      <c r="A4" s="150" t="s">
        <v>76</v>
      </c>
      <c r="B4" s="150"/>
      <c r="C4" s="150"/>
      <c r="D4" s="150"/>
      <c r="E4" s="150"/>
      <c r="F4" s="150"/>
      <c r="G4" s="150"/>
      <c r="H4" s="150"/>
    </row>
    <row r="6" spans="1:9" s="29" customFormat="1" x14ac:dyDescent="0.25">
      <c r="C6" s="29" t="s">
        <v>99</v>
      </c>
      <c r="E6" s="29" t="s">
        <v>100</v>
      </c>
      <c r="F6" s="29" t="s">
        <v>101</v>
      </c>
      <c r="G6" s="29" t="s">
        <v>102</v>
      </c>
    </row>
    <row r="7" spans="1:9" s="29" customFormat="1" x14ac:dyDescent="0.25">
      <c r="C7" s="29" t="s">
        <v>103</v>
      </c>
      <c r="D7" s="29" t="s">
        <v>104</v>
      </c>
      <c r="E7" s="29" t="s">
        <v>105</v>
      </c>
      <c r="F7" s="29" t="s">
        <v>106</v>
      </c>
      <c r="G7" s="29" t="s">
        <v>107</v>
      </c>
      <c r="H7" s="29" t="s">
        <v>108</v>
      </c>
    </row>
    <row r="8" spans="1:9" s="29" customFormat="1" x14ac:dyDescent="0.25">
      <c r="C8" s="29" t="s">
        <v>109</v>
      </c>
      <c r="D8" s="29" t="s">
        <v>109</v>
      </c>
      <c r="E8" s="29" t="s">
        <v>103</v>
      </c>
      <c r="F8" s="29" t="s">
        <v>110</v>
      </c>
      <c r="G8" s="29" t="s">
        <v>111</v>
      </c>
      <c r="H8" s="29" t="s">
        <v>112</v>
      </c>
    </row>
    <row r="9" spans="1:9" s="29" customFormat="1" x14ac:dyDescent="0.25">
      <c r="B9" s="30" t="s">
        <v>77</v>
      </c>
      <c r="C9" s="30" t="s">
        <v>113</v>
      </c>
      <c r="D9" s="30" t="s">
        <v>114</v>
      </c>
      <c r="E9" s="30" t="s">
        <v>115</v>
      </c>
      <c r="F9" s="30"/>
      <c r="G9" s="30" t="s">
        <v>116</v>
      </c>
      <c r="H9" s="30" t="s">
        <v>117</v>
      </c>
    </row>
    <row r="10" spans="1:9" ht="14.5" x14ac:dyDescent="0.35">
      <c r="A10" s="31">
        <v>2015</v>
      </c>
      <c r="B10" s="32">
        <v>1</v>
      </c>
      <c r="C10" s="33">
        <v>0.42</v>
      </c>
      <c r="D10" s="34">
        <v>0.46</v>
      </c>
      <c r="E10" s="35">
        <v>0.42</v>
      </c>
      <c r="F10" s="36">
        <v>0.05</v>
      </c>
      <c r="G10" s="37">
        <v>0.45</v>
      </c>
      <c r="H10" s="38">
        <v>0.46350000000000002</v>
      </c>
      <c r="I10" s="39"/>
    </row>
    <row r="11" spans="1:9" ht="14.5" x14ac:dyDescent="0.35">
      <c r="A11" s="31">
        <v>2016</v>
      </c>
      <c r="B11" s="32">
        <v>2</v>
      </c>
      <c r="C11" s="33">
        <v>0.42</v>
      </c>
      <c r="D11" s="34">
        <v>0.5</v>
      </c>
      <c r="E11" s="35">
        <v>0.84</v>
      </c>
      <c r="F11" s="36">
        <v>0.05</v>
      </c>
      <c r="G11" s="37">
        <v>0.88</v>
      </c>
      <c r="H11" s="38">
        <v>0.4703</v>
      </c>
      <c r="I11" s="41">
        <v>0</v>
      </c>
    </row>
    <row r="12" spans="1:9" ht="14.5" x14ac:dyDescent="0.35">
      <c r="A12" s="31">
        <v>2017</v>
      </c>
      <c r="B12" s="32">
        <v>3</v>
      </c>
      <c r="C12" s="33">
        <v>0.41</v>
      </c>
      <c r="D12" s="34">
        <v>0.53</v>
      </c>
      <c r="E12" s="35">
        <v>1.25</v>
      </c>
      <c r="F12" s="36">
        <v>0.05</v>
      </c>
      <c r="G12" s="37">
        <v>1.32</v>
      </c>
      <c r="H12" s="38">
        <v>0.47549999999999998</v>
      </c>
      <c r="I12" s="41">
        <v>0</v>
      </c>
    </row>
    <row r="13" spans="1:9" ht="14.5" x14ac:dyDescent="0.35">
      <c r="A13" s="31">
        <v>2018</v>
      </c>
      <c r="B13" s="32">
        <v>4</v>
      </c>
      <c r="C13" s="33">
        <v>0.38</v>
      </c>
      <c r="D13" s="34">
        <v>0.53</v>
      </c>
      <c r="E13" s="35">
        <v>1.63</v>
      </c>
      <c r="F13" s="36">
        <v>0.05</v>
      </c>
      <c r="G13" s="37">
        <v>1.72</v>
      </c>
      <c r="H13" s="38">
        <v>0.47460000000000002</v>
      </c>
      <c r="I13" s="41">
        <v>0</v>
      </c>
    </row>
    <row r="14" spans="1:9" ht="13" x14ac:dyDescent="0.3">
      <c r="A14" s="42">
        <v>2019</v>
      </c>
      <c r="B14" s="32">
        <v>5</v>
      </c>
      <c r="C14" s="33">
        <v>0.37</v>
      </c>
      <c r="D14" s="34">
        <v>0.56000000000000005</v>
      </c>
      <c r="E14" s="35">
        <v>2</v>
      </c>
      <c r="F14" s="43">
        <v>7.4999999999999997E-2</v>
      </c>
      <c r="G14" s="37">
        <v>2.15</v>
      </c>
      <c r="H14" s="38">
        <v>0.48570000000000002</v>
      </c>
      <c r="I14" s="41">
        <v>0</v>
      </c>
    </row>
    <row r="15" spans="1:9" ht="14.5" x14ac:dyDescent="0.35">
      <c r="A15" s="31">
        <v>2020</v>
      </c>
      <c r="B15" s="32">
        <v>6</v>
      </c>
      <c r="C15" s="33">
        <v>0.34</v>
      </c>
      <c r="D15" s="34">
        <v>0.56000000000000005</v>
      </c>
      <c r="E15" s="35">
        <v>2.34</v>
      </c>
      <c r="F15" s="43">
        <v>7.4999999999999997E-2</v>
      </c>
      <c r="G15" s="37">
        <v>2.52</v>
      </c>
      <c r="H15" s="38">
        <v>0.48309999999999997</v>
      </c>
      <c r="I15" s="41">
        <v>0</v>
      </c>
    </row>
    <row r="16" spans="1:9" ht="14.5" x14ac:dyDescent="0.35">
      <c r="A16" s="31">
        <v>2021</v>
      </c>
      <c r="B16" s="32">
        <v>7</v>
      </c>
      <c r="C16" s="33">
        <v>0.31</v>
      </c>
      <c r="D16" s="34">
        <v>0.56999999999999995</v>
      </c>
      <c r="E16" s="35">
        <v>2.66</v>
      </c>
      <c r="F16" s="43">
        <v>7.4999999999999997E-2</v>
      </c>
      <c r="G16" s="37">
        <v>2.86</v>
      </c>
      <c r="H16" s="38">
        <v>0.47889999999999999</v>
      </c>
      <c r="I16" s="41">
        <v>0</v>
      </c>
    </row>
    <row r="17" spans="1:9" ht="14.5" x14ac:dyDescent="0.35">
      <c r="A17" s="31">
        <v>2022</v>
      </c>
      <c r="B17" s="32">
        <v>8</v>
      </c>
      <c r="C17" s="33">
        <v>0.31</v>
      </c>
      <c r="D17" s="34">
        <v>0.61</v>
      </c>
      <c r="E17" s="35">
        <v>2.97</v>
      </c>
      <c r="F17" s="43">
        <v>7.4999999999999997E-2</v>
      </c>
      <c r="G17" s="37">
        <v>3.19</v>
      </c>
      <c r="H17" s="38">
        <v>0.47749999999999998</v>
      </c>
      <c r="I17" s="41">
        <v>0</v>
      </c>
    </row>
    <row r="18" spans="1:9" ht="14.5" x14ac:dyDescent="0.35">
      <c r="A18" s="31">
        <v>2023</v>
      </c>
      <c r="B18" s="32">
        <v>9</v>
      </c>
      <c r="C18" s="33">
        <v>0.28999999999999998</v>
      </c>
      <c r="D18" s="34">
        <v>0.63</v>
      </c>
      <c r="E18" s="35">
        <v>3.26</v>
      </c>
      <c r="F18" s="43">
        <v>7.4999999999999997E-2</v>
      </c>
      <c r="G18" s="37">
        <v>3.51</v>
      </c>
      <c r="H18" s="38">
        <v>0.47549999999999998</v>
      </c>
      <c r="I18" s="41">
        <v>0</v>
      </c>
    </row>
    <row r="19" spans="1:9" ht="13" x14ac:dyDescent="0.3">
      <c r="A19" s="42">
        <v>2024</v>
      </c>
      <c r="B19" s="32">
        <v>10</v>
      </c>
      <c r="C19" s="33">
        <v>0.27</v>
      </c>
      <c r="D19" s="34">
        <v>0.63</v>
      </c>
      <c r="E19" s="35">
        <v>3.54</v>
      </c>
      <c r="F19" s="36">
        <v>0.1</v>
      </c>
      <c r="G19" s="37">
        <v>3.89</v>
      </c>
      <c r="H19" s="44">
        <v>0.48359999999999997</v>
      </c>
      <c r="I19" s="41">
        <v>0</v>
      </c>
    </row>
    <row r="20" spans="1:9" ht="14.5" x14ac:dyDescent="0.35">
      <c r="A20" s="31">
        <v>2025</v>
      </c>
      <c r="B20" s="32">
        <v>11</v>
      </c>
      <c r="C20" s="33">
        <v>0.24</v>
      </c>
      <c r="D20" s="34">
        <v>0.61</v>
      </c>
      <c r="E20" s="35">
        <v>3.78</v>
      </c>
      <c r="F20" s="36">
        <v>0.1</v>
      </c>
      <c r="G20" s="37">
        <v>4.16</v>
      </c>
      <c r="H20" s="38">
        <v>0.47889999999999999</v>
      </c>
      <c r="I20" s="41">
        <v>0</v>
      </c>
    </row>
    <row r="21" spans="1:9" ht="14.5" x14ac:dyDescent="0.35">
      <c r="A21" s="31">
        <v>2026</v>
      </c>
      <c r="B21" s="32">
        <v>12</v>
      </c>
      <c r="C21" s="33">
        <v>0.24</v>
      </c>
      <c r="D21" s="34">
        <v>0.65</v>
      </c>
      <c r="E21" s="35">
        <v>4.0199999999999996</v>
      </c>
      <c r="F21" s="36">
        <v>0.1</v>
      </c>
      <c r="G21" s="37">
        <v>4.42</v>
      </c>
      <c r="H21" s="38">
        <v>0.47549999999999998</v>
      </c>
      <c r="I21" s="41">
        <v>0</v>
      </c>
    </row>
    <row r="22" spans="1:9" ht="14.5" x14ac:dyDescent="0.35">
      <c r="A22" s="31">
        <v>2027</v>
      </c>
      <c r="B22" s="32">
        <v>13</v>
      </c>
      <c r="C22" s="33">
        <v>0.23</v>
      </c>
      <c r="D22" s="34">
        <v>0.67</v>
      </c>
      <c r="E22" s="35">
        <v>4.24</v>
      </c>
      <c r="F22" s="36">
        <v>0.1</v>
      </c>
      <c r="G22" s="37">
        <v>4.67</v>
      </c>
      <c r="H22" s="38">
        <v>0.4723</v>
      </c>
      <c r="I22" s="41">
        <v>0</v>
      </c>
    </row>
    <row r="23" spans="1:9" ht="14.5" x14ac:dyDescent="0.35">
      <c r="A23" s="31">
        <v>2028</v>
      </c>
      <c r="B23" s="32">
        <v>14</v>
      </c>
      <c r="C23" s="33">
        <v>0.21</v>
      </c>
      <c r="D23" s="34">
        <v>0.67</v>
      </c>
      <c r="E23" s="35">
        <v>4.45</v>
      </c>
      <c r="F23" s="36">
        <v>0.1</v>
      </c>
      <c r="G23" s="37">
        <v>4.9000000000000004</v>
      </c>
      <c r="H23" s="38">
        <v>0.46870000000000001</v>
      </c>
      <c r="I23" s="41">
        <v>0</v>
      </c>
    </row>
    <row r="24" spans="1:9" ht="14.5" x14ac:dyDescent="0.35">
      <c r="A24" s="31">
        <v>2029</v>
      </c>
      <c r="B24" s="32">
        <v>15</v>
      </c>
      <c r="C24" s="33">
        <v>0.19</v>
      </c>
      <c r="D24" s="34">
        <v>0.66</v>
      </c>
      <c r="E24" s="35">
        <v>4.6399999999999997</v>
      </c>
      <c r="F24" s="43">
        <v>0.125</v>
      </c>
      <c r="G24" s="37">
        <v>5.22</v>
      </c>
      <c r="H24" s="38">
        <v>0.47499999999999998</v>
      </c>
      <c r="I24" s="41">
        <v>0</v>
      </c>
    </row>
    <row r="25" spans="1:9" ht="14.5" x14ac:dyDescent="0.35">
      <c r="A25" s="31">
        <v>2030</v>
      </c>
      <c r="B25" s="32">
        <v>16</v>
      </c>
      <c r="C25" s="33">
        <v>0.18</v>
      </c>
      <c r="D25" s="34">
        <v>0.67</v>
      </c>
      <c r="E25" s="35">
        <v>4.82</v>
      </c>
      <c r="F25" s="43">
        <v>0.125</v>
      </c>
      <c r="G25" s="37">
        <v>5.42</v>
      </c>
      <c r="H25" s="38">
        <v>0.47070000000000001</v>
      </c>
      <c r="I25" s="41">
        <v>0</v>
      </c>
    </row>
    <row r="26" spans="1:9" ht="14.5" x14ac:dyDescent="0.35">
      <c r="A26" s="31">
        <v>2031</v>
      </c>
      <c r="B26" s="32">
        <v>17</v>
      </c>
      <c r="C26" s="33">
        <v>0.15</v>
      </c>
      <c r="D26" s="34">
        <v>0.64</v>
      </c>
      <c r="E26" s="35">
        <v>4.97</v>
      </c>
      <c r="F26" s="43">
        <v>0.125</v>
      </c>
      <c r="G26" s="37">
        <v>5.59</v>
      </c>
      <c r="H26" s="38">
        <v>0.46560000000000001</v>
      </c>
      <c r="I26" s="41">
        <v>0</v>
      </c>
    </row>
    <row r="27" spans="1:9" ht="14.5" x14ac:dyDescent="0.35">
      <c r="A27" s="31">
        <v>2032</v>
      </c>
      <c r="B27" s="32">
        <v>18</v>
      </c>
      <c r="C27" s="33">
        <v>0.14000000000000001</v>
      </c>
      <c r="D27" s="34">
        <v>0.65</v>
      </c>
      <c r="E27" s="35">
        <v>5.1100000000000003</v>
      </c>
      <c r="F27" s="43">
        <v>0.125</v>
      </c>
      <c r="G27" s="37">
        <v>5.75</v>
      </c>
      <c r="H27" s="38">
        <v>0.46060000000000001</v>
      </c>
      <c r="I27" s="41">
        <v>0</v>
      </c>
    </row>
    <row r="28" spans="1:9" ht="14.5" x14ac:dyDescent="0.35">
      <c r="A28" s="31">
        <v>2033</v>
      </c>
      <c r="B28" s="32">
        <v>19</v>
      </c>
      <c r="C28" s="33">
        <v>0.14000000000000001</v>
      </c>
      <c r="D28" s="34">
        <v>0.69</v>
      </c>
      <c r="E28" s="35">
        <v>5.25</v>
      </c>
      <c r="F28" s="43">
        <v>0.125</v>
      </c>
      <c r="G28" s="37">
        <v>5.91</v>
      </c>
      <c r="H28" s="38">
        <v>0.45629999999999998</v>
      </c>
      <c r="I28" s="41">
        <v>0</v>
      </c>
    </row>
    <row r="29" spans="1:9" ht="13" x14ac:dyDescent="0.3">
      <c r="A29" s="42">
        <v>2034</v>
      </c>
      <c r="B29" s="32">
        <v>20</v>
      </c>
      <c r="C29" s="33">
        <v>0.13</v>
      </c>
      <c r="D29" s="34">
        <v>0.69</v>
      </c>
      <c r="E29" s="35">
        <v>5.38</v>
      </c>
      <c r="F29" s="43">
        <v>0.125</v>
      </c>
      <c r="G29" s="37">
        <v>6.05</v>
      </c>
      <c r="H29" s="44">
        <v>0.4521</v>
      </c>
      <c r="I29" s="41">
        <v>0</v>
      </c>
    </row>
    <row r="30" spans="1:9" ht="14.5" x14ac:dyDescent="0.35">
      <c r="A30" s="31">
        <v>2035</v>
      </c>
      <c r="B30" s="32">
        <v>21</v>
      </c>
      <c r="C30" s="33">
        <v>0.12</v>
      </c>
      <c r="D30" s="34">
        <v>0.71</v>
      </c>
      <c r="E30" s="35">
        <v>5.5</v>
      </c>
      <c r="F30" s="36">
        <v>0.15</v>
      </c>
      <c r="G30" s="37">
        <v>6.33</v>
      </c>
      <c r="H30" s="44">
        <v>0.46</v>
      </c>
      <c r="I30" s="41">
        <v>0</v>
      </c>
    </row>
    <row r="31" spans="1:9" ht="14.5" x14ac:dyDescent="0.35">
      <c r="A31" s="31">
        <v>2036</v>
      </c>
      <c r="B31" s="32">
        <v>22</v>
      </c>
      <c r="C31" s="33">
        <v>0.11</v>
      </c>
      <c r="D31" s="34">
        <v>0.72</v>
      </c>
      <c r="E31" s="35">
        <v>5.61</v>
      </c>
      <c r="F31" s="36">
        <v>0.15</v>
      </c>
      <c r="G31" s="37">
        <v>6.46</v>
      </c>
      <c r="H31" s="44">
        <v>0.45</v>
      </c>
      <c r="I31" s="41">
        <v>0</v>
      </c>
    </row>
    <row r="32" spans="1:9" ht="14.5" x14ac:dyDescent="0.35">
      <c r="A32" s="31">
        <v>2037</v>
      </c>
      <c r="B32" s="32">
        <v>23</v>
      </c>
      <c r="C32" s="33">
        <v>0.11</v>
      </c>
      <c r="D32" s="34">
        <v>0.73</v>
      </c>
      <c r="E32" s="35">
        <v>5.72</v>
      </c>
      <c r="F32" s="36">
        <v>0.15</v>
      </c>
      <c r="G32" s="37">
        <v>6.58</v>
      </c>
      <c r="H32" s="44">
        <v>0.45</v>
      </c>
      <c r="I32" s="41">
        <v>0</v>
      </c>
    </row>
    <row r="33" spans="1:9" ht="14.5" x14ac:dyDescent="0.35">
      <c r="A33" s="31">
        <v>2038</v>
      </c>
      <c r="B33" s="32">
        <v>24</v>
      </c>
      <c r="C33" s="33">
        <v>0.1</v>
      </c>
      <c r="D33" s="34">
        <v>0.75</v>
      </c>
      <c r="E33" s="35">
        <v>5.82</v>
      </c>
      <c r="F33" s="36">
        <v>0.15</v>
      </c>
      <c r="G33" s="37">
        <v>6.69</v>
      </c>
      <c r="H33" s="44">
        <v>0.45</v>
      </c>
      <c r="I33" s="41">
        <v>0</v>
      </c>
    </row>
    <row r="34" spans="1:9" ht="14.5" x14ac:dyDescent="0.35">
      <c r="A34" s="31">
        <v>2039</v>
      </c>
      <c r="B34" s="32">
        <v>25</v>
      </c>
      <c r="C34" s="33">
        <v>0.09</v>
      </c>
      <c r="D34" s="34">
        <v>0.76</v>
      </c>
      <c r="E34" s="35">
        <v>5.91</v>
      </c>
      <c r="F34" s="36">
        <v>0.15</v>
      </c>
      <c r="G34" s="37">
        <v>6.8</v>
      </c>
      <c r="H34" s="44">
        <v>0.44</v>
      </c>
      <c r="I34" s="41">
        <v>0</v>
      </c>
    </row>
    <row r="35" spans="1:9" ht="14.5" x14ac:dyDescent="0.35">
      <c r="A35" s="31">
        <v>2040</v>
      </c>
      <c r="B35" s="32">
        <v>26</v>
      </c>
      <c r="C35" s="33">
        <v>0.09</v>
      </c>
      <c r="D35" s="34">
        <v>0.78</v>
      </c>
      <c r="E35" s="35">
        <v>6</v>
      </c>
      <c r="F35" s="43">
        <v>0.17499999999999999</v>
      </c>
      <c r="G35" s="37">
        <v>7.05</v>
      </c>
      <c r="H35" s="44">
        <v>0.45</v>
      </c>
      <c r="I35" s="41">
        <v>0</v>
      </c>
    </row>
    <row r="36" spans="1:9" ht="14.5" x14ac:dyDescent="0.35">
      <c r="A36" s="31">
        <v>2041</v>
      </c>
      <c r="B36" s="32">
        <v>27</v>
      </c>
      <c r="C36" s="33">
        <v>0.08</v>
      </c>
      <c r="D36" s="34">
        <v>0.79</v>
      </c>
      <c r="E36" s="35">
        <v>6.08</v>
      </c>
      <c r="F36" s="43">
        <v>0.17499999999999999</v>
      </c>
      <c r="G36" s="37">
        <v>7.15</v>
      </c>
      <c r="H36" s="44">
        <v>0.45</v>
      </c>
      <c r="I36" s="41">
        <v>0</v>
      </c>
    </row>
    <row r="37" spans="1:9" ht="14.5" x14ac:dyDescent="0.35">
      <c r="A37" s="31">
        <v>2042</v>
      </c>
      <c r="B37" s="32">
        <v>28</v>
      </c>
      <c r="C37" s="33">
        <v>0.08</v>
      </c>
      <c r="D37" s="34">
        <v>0.81</v>
      </c>
      <c r="E37" s="35">
        <v>6.16</v>
      </c>
      <c r="F37" s="43">
        <v>0.17499999999999999</v>
      </c>
      <c r="G37" s="37">
        <v>7.24</v>
      </c>
      <c r="H37" s="44">
        <v>0.44</v>
      </c>
      <c r="I37" s="41">
        <v>0</v>
      </c>
    </row>
    <row r="38" spans="1:9" ht="14.5" x14ac:dyDescent="0.35">
      <c r="A38" s="31">
        <v>2043</v>
      </c>
      <c r="B38" s="32">
        <v>29</v>
      </c>
      <c r="C38" s="33">
        <v>7.0000000000000007E-2</v>
      </c>
      <c r="D38" s="34">
        <v>0.83</v>
      </c>
      <c r="E38" s="35">
        <v>6.23</v>
      </c>
      <c r="F38" s="43">
        <v>0.17499999999999999</v>
      </c>
      <c r="G38" s="37">
        <v>7.32</v>
      </c>
      <c r="H38" s="44">
        <v>0.44</v>
      </c>
      <c r="I38" s="41">
        <v>0</v>
      </c>
    </row>
    <row r="39" spans="1:9" ht="13" x14ac:dyDescent="0.3">
      <c r="A39" s="42">
        <v>2044</v>
      </c>
      <c r="B39" s="32">
        <v>30</v>
      </c>
      <c r="C39" s="33">
        <v>7.0000000000000007E-2</v>
      </c>
      <c r="D39" s="34">
        <v>0.84</v>
      </c>
      <c r="E39" s="35">
        <v>6.3</v>
      </c>
      <c r="F39" s="43">
        <v>0.17499999999999999</v>
      </c>
      <c r="G39" s="37">
        <v>7.4</v>
      </c>
      <c r="H39" s="44">
        <v>0.437</v>
      </c>
      <c r="I39" s="41">
        <v>0</v>
      </c>
    </row>
    <row r="40" spans="1:9" ht="14.5" x14ac:dyDescent="0.35">
      <c r="A40" s="31">
        <v>2045</v>
      </c>
      <c r="B40" s="32">
        <v>31</v>
      </c>
      <c r="C40" s="33">
        <v>0.06</v>
      </c>
      <c r="D40" s="34">
        <v>0.86</v>
      </c>
      <c r="E40" s="35">
        <v>6.36</v>
      </c>
      <c r="F40" s="36">
        <v>0.2</v>
      </c>
      <c r="G40" s="37">
        <v>7.64</v>
      </c>
      <c r="H40" s="44">
        <v>0.44</v>
      </c>
      <c r="I40" s="41">
        <v>0</v>
      </c>
    </row>
    <row r="41" spans="1:9" ht="14.5" x14ac:dyDescent="0.35">
      <c r="A41" s="31">
        <v>2046</v>
      </c>
      <c r="B41" s="32">
        <v>32</v>
      </c>
      <c r="C41" s="33">
        <v>0.06</v>
      </c>
      <c r="D41" s="34">
        <v>0.88</v>
      </c>
      <c r="E41" s="35">
        <v>6.42</v>
      </c>
      <c r="F41" s="36">
        <v>0.2</v>
      </c>
      <c r="G41" s="37">
        <v>7.71</v>
      </c>
      <c r="H41" s="44">
        <v>0.44</v>
      </c>
      <c r="I41" s="41">
        <v>0</v>
      </c>
    </row>
    <row r="42" spans="1:9" ht="14.5" x14ac:dyDescent="0.35">
      <c r="A42" s="31">
        <v>2047</v>
      </c>
      <c r="B42" s="32">
        <v>33</v>
      </c>
      <c r="C42" s="33">
        <v>0.06</v>
      </c>
      <c r="D42" s="34">
        <v>0.89</v>
      </c>
      <c r="E42" s="35">
        <v>6.48</v>
      </c>
      <c r="F42" s="36">
        <v>0.2</v>
      </c>
      <c r="G42" s="37">
        <v>7.78</v>
      </c>
      <c r="H42" s="44">
        <v>0.44</v>
      </c>
      <c r="I42" s="41">
        <v>0</v>
      </c>
    </row>
    <row r="43" spans="1:9" ht="14.5" x14ac:dyDescent="0.35">
      <c r="A43" s="31">
        <v>2048</v>
      </c>
      <c r="B43" s="32">
        <v>34</v>
      </c>
      <c r="C43" s="33">
        <v>0.05</v>
      </c>
      <c r="D43" s="34">
        <v>0.91</v>
      </c>
      <c r="E43" s="35">
        <v>6.53</v>
      </c>
      <c r="F43" s="36">
        <v>0.2</v>
      </c>
      <c r="G43" s="37">
        <v>7.84</v>
      </c>
      <c r="H43" s="44">
        <v>0.44</v>
      </c>
      <c r="I43" s="41">
        <v>0</v>
      </c>
    </row>
    <row r="44" spans="1:9" ht="14.5" x14ac:dyDescent="0.35">
      <c r="A44" s="31">
        <v>2049</v>
      </c>
      <c r="B44" s="32">
        <v>35</v>
      </c>
      <c r="C44" s="33">
        <v>0.05</v>
      </c>
      <c r="D44" s="34">
        <v>0.93</v>
      </c>
      <c r="E44" s="35">
        <v>6.58</v>
      </c>
      <c r="F44" s="36">
        <v>0.2</v>
      </c>
      <c r="G44" s="37">
        <v>7.9</v>
      </c>
      <c r="H44" s="44">
        <v>0.433</v>
      </c>
      <c r="I44" s="41">
        <v>0</v>
      </c>
    </row>
    <row r="45" spans="1:9" ht="14.5" x14ac:dyDescent="0.35">
      <c r="A45" s="31">
        <v>2050</v>
      </c>
      <c r="B45" s="32">
        <v>36</v>
      </c>
      <c r="C45" s="33">
        <v>0.05</v>
      </c>
      <c r="D45" s="34">
        <v>0.95</v>
      </c>
      <c r="E45" s="35">
        <v>6.63</v>
      </c>
      <c r="F45" s="36">
        <v>0.2</v>
      </c>
      <c r="G45" s="37">
        <v>7.95</v>
      </c>
      <c r="H45" s="44">
        <v>0.43</v>
      </c>
      <c r="I45" s="41">
        <v>0</v>
      </c>
    </row>
    <row r="46" spans="1:9" ht="14.5" x14ac:dyDescent="0.35">
      <c r="A46" s="31">
        <v>2051</v>
      </c>
      <c r="B46" s="32">
        <v>37</v>
      </c>
      <c r="C46" s="33">
        <v>0.04</v>
      </c>
      <c r="D46" s="34">
        <v>0.97</v>
      </c>
      <c r="E46" s="35">
        <v>6.67</v>
      </c>
      <c r="F46" s="36">
        <v>0.2</v>
      </c>
      <c r="G46" s="37">
        <v>8.01</v>
      </c>
      <c r="H46" s="44">
        <v>0.43</v>
      </c>
      <c r="I46" s="41">
        <v>0</v>
      </c>
    </row>
    <row r="47" spans="1:9" ht="14.5" x14ac:dyDescent="0.35">
      <c r="A47" s="31">
        <v>2052</v>
      </c>
      <c r="B47" s="32">
        <v>38</v>
      </c>
      <c r="C47" s="33">
        <v>0.04</v>
      </c>
      <c r="D47" s="34">
        <v>0.99</v>
      </c>
      <c r="E47" s="35">
        <v>6.71</v>
      </c>
      <c r="F47" s="36">
        <v>0.2</v>
      </c>
      <c r="G47" s="37">
        <v>8.0500000000000007</v>
      </c>
      <c r="H47" s="44">
        <v>0.43</v>
      </c>
      <c r="I47" s="41">
        <v>0</v>
      </c>
    </row>
    <row r="48" spans="1:9" ht="14.5" x14ac:dyDescent="0.35">
      <c r="A48" s="31">
        <v>2053</v>
      </c>
      <c r="B48" s="32">
        <v>39</v>
      </c>
      <c r="C48" s="33">
        <v>0.04</v>
      </c>
      <c r="D48" s="34">
        <v>1.01</v>
      </c>
      <c r="E48" s="35">
        <v>6.75</v>
      </c>
      <c r="F48" s="36">
        <v>0.2</v>
      </c>
      <c r="G48" s="37">
        <v>8.1</v>
      </c>
      <c r="H48" s="44">
        <v>0.42</v>
      </c>
      <c r="I48" s="41">
        <v>0</v>
      </c>
    </row>
    <row r="49" spans="1:9" ht="13" x14ac:dyDescent="0.3">
      <c r="A49" s="42">
        <v>2054</v>
      </c>
      <c r="B49" s="32">
        <v>40</v>
      </c>
      <c r="C49" s="33">
        <v>0.04</v>
      </c>
      <c r="D49" s="34">
        <v>1.03</v>
      </c>
      <c r="E49" s="35">
        <v>6.79</v>
      </c>
      <c r="F49" s="36">
        <v>0.2</v>
      </c>
      <c r="G49" s="37">
        <v>8.14</v>
      </c>
      <c r="H49" s="44">
        <v>0.4219</v>
      </c>
      <c r="I49" s="41">
        <v>0</v>
      </c>
    </row>
    <row r="50" spans="1:9" ht="14.5" x14ac:dyDescent="0.35">
      <c r="A50" s="31">
        <v>2055</v>
      </c>
      <c r="B50" s="32">
        <v>41</v>
      </c>
      <c r="C50" s="33">
        <v>0.03</v>
      </c>
      <c r="D50" s="34">
        <v>1.05</v>
      </c>
      <c r="E50" s="35">
        <v>6.82</v>
      </c>
      <c r="F50" s="36">
        <v>0.2</v>
      </c>
      <c r="G50" s="37">
        <v>8.18</v>
      </c>
      <c r="H50" s="44">
        <v>0.42</v>
      </c>
      <c r="I50" s="41">
        <v>0</v>
      </c>
    </row>
    <row r="51" spans="1:9" ht="14.5" x14ac:dyDescent="0.35">
      <c r="A51" s="31">
        <v>2056</v>
      </c>
      <c r="B51" s="32">
        <v>42</v>
      </c>
      <c r="C51" s="33">
        <v>0.03</v>
      </c>
      <c r="D51" s="34">
        <v>1.07</v>
      </c>
      <c r="E51" s="35">
        <v>6.85</v>
      </c>
      <c r="F51" s="36">
        <v>0.2</v>
      </c>
      <c r="G51" s="37">
        <v>8.2200000000000006</v>
      </c>
      <c r="H51" s="44">
        <v>0.42</v>
      </c>
      <c r="I51" s="41">
        <v>0</v>
      </c>
    </row>
    <row r="52" spans="1:9" ht="14.5" x14ac:dyDescent="0.35">
      <c r="A52" s="31">
        <v>2057</v>
      </c>
      <c r="B52" s="32">
        <v>43</v>
      </c>
      <c r="C52" s="33">
        <v>0.03</v>
      </c>
      <c r="D52" s="34">
        <v>1.0900000000000001</v>
      </c>
      <c r="E52" s="35">
        <v>6.88</v>
      </c>
      <c r="F52" s="36">
        <v>0.2</v>
      </c>
      <c r="G52" s="37">
        <v>8.26</v>
      </c>
      <c r="H52" s="44">
        <v>0.42</v>
      </c>
      <c r="I52" s="41">
        <v>0</v>
      </c>
    </row>
    <row r="53" spans="1:9" ht="14.5" x14ac:dyDescent="0.35">
      <c r="A53" s="31">
        <v>2058</v>
      </c>
      <c r="B53" s="32">
        <v>44</v>
      </c>
      <c r="C53" s="33">
        <v>0.03</v>
      </c>
      <c r="D53" s="34">
        <v>1.1100000000000001</v>
      </c>
      <c r="E53" s="35">
        <v>6.91</v>
      </c>
      <c r="F53" s="36">
        <v>0.2</v>
      </c>
      <c r="G53" s="37">
        <v>8.2899999999999991</v>
      </c>
      <c r="H53" s="44">
        <v>0.41</v>
      </c>
      <c r="I53" s="41">
        <v>0</v>
      </c>
    </row>
    <row r="54" spans="1:9" ht="14.5" x14ac:dyDescent="0.35">
      <c r="A54" s="31">
        <v>2059</v>
      </c>
      <c r="B54" s="32">
        <v>45</v>
      </c>
      <c r="C54" s="33">
        <v>0.03</v>
      </c>
      <c r="D54" s="34">
        <v>1.1299999999999999</v>
      </c>
      <c r="E54" s="35">
        <v>6.93</v>
      </c>
      <c r="F54" s="36">
        <v>0.2</v>
      </c>
      <c r="G54" s="37">
        <v>8.32</v>
      </c>
      <c r="H54" s="44">
        <v>0.41260000000000002</v>
      </c>
      <c r="I54" s="41">
        <v>0</v>
      </c>
    </row>
    <row r="56" spans="1:9" ht="13" x14ac:dyDescent="0.3">
      <c r="A56" s="45" t="s">
        <v>91</v>
      </c>
      <c r="E56" s="46"/>
      <c r="F56" s="46"/>
      <c r="G56" s="46"/>
    </row>
    <row r="57" spans="1:9" x14ac:dyDescent="0.25">
      <c r="C57" s="40" t="s">
        <v>118</v>
      </c>
      <c r="E57" s="46">
        <v>8.6699999999999999E-2</v>
      </c>
    </row>
    <row r="58" spans="1:9" x14ac:dyDescent="0.25">
      <c r="C58" s="40" t="s">
        <v>119</v>
      </c>
      <c r="E58" s="47">
        <v>4.1700000000000001E-2</v>
      </c>
    </row>
    <row r="59" spans="1:9" x14ac:dyDescent="0.25">
      <c r="C59" s="40" t="s">
        <v>120</v>
      </c>
      <c r="E59" s="48">
        <v>0.02</v>
      </c>
      <c r="F59" s="49" t="s">
        <v>95</v>
      </c>
      <c r="G59" s="49"/>
    </row>
  </sheetData>
  <mergeCells count="4">
    <mergeCell ref="A1:H1"/>
    <mergeCell ref="A2:H2"/>
    <mergeCell ref="A3:H3"/>
    <mergeCell ref="A4:H4"/>
  </mergeCells>
  <pageMargins left="0.75" right="0.75" top="1" bottom="1" header="0.5" footer="0.5"/>
  <pageSetup scale="8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F81AE1401FA4E4FBC5F5EFBF8788DA6" ma:contentTypeVersion="104" ma:contentTypeDescription="" ma:contentTypeScope="" ma:versionID="b0380cf0b5ebc53d14855c9d6ca6dd8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2016-11-30T08:00:00+00:00</OpenedDate>
    <SignificantOrder xmlns="dc463f71-b30c-4ab2-9473-d307f9d35888">false</SignificantOrder>
    <Date1 xmlns="dc463f71-b30c-4ab2-9473-d307f9d35888">2018-05-31T07:00:00+00:00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161253</DocketNumber>
    <DelegatedOrder xmlns="dc463f71-b30c-4ab2-9473-d307f9d35888">false</DelegatedOrder>
  </documentManagement>
</p:properties>
</file>

<file path=customXml/itemProps1.xml><?xml version="1.0" encoding="utf-8"?>
<ds:datastoreItem xmlns:ds="http://schemas.openxmlformats.org/officeDocument/2006/customXml" ds:itemID="{105EE7AB-EF6E-42CD-932E-14662BF8921E}"/>
</file>

<file path=customXml/itemProps2.xml><?xml version="1.0" encoding="utf-8"?>
<ds:datastoreItem xmlns:ds="http://schemas.openxmlformats.org/officeDocument/2006/customXml" ds:itemID="{132594BF-C320-4800-997B-B5F1F9E2412A}"/>
</file>

<file path=customXml/itemProps3.xml><?xml version="1.0" encoding="utf-8"?>
<ds:datastoreItem xmlns:ds="http://schemas.openxmlformats.org/officeDocument/2006/customXml" ds:itemID="{1654861D-EA76-474A-BCE2-3A842B733000}"/>
</file>

<file path=customXml/itemProps4.xml><?xml version="1.0" encoding="utf-8"?>
<ds:datastoreItem xmlns:ds="http://schemas.openxmlformats.org/officeDocument/2006/customXml" ds:itemID="{23EFC86A-0E19-458C-A280-8E54D14BD0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Total First Year</vt:lpstr>
      <vt:lpstr>2016 Avoided Costs</vt:lpstr>
      <vt:lpstr>2014 Avoided Costs</vt:lpstr>
      <vt:lpstr>AC</vt:lpstr>
      <vt:lpstr>JR_PAGE_ANCHOR_0_1</vt:lpstr>
      <vt:lpstr>JR_PAGE_ANCHOR_0_2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2018-03-21T23:54:46Z</dcterms:created>
  <dcterms:modified xsi:type="dcterms:W3CDTF">2018-05-25T18:21:30Z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0x0101006E56B4D1795A2E4DB2F0B01679ED314A00AF81AE1401FA4E4FBC5F5EFBF8788DA6</vt:lpwstr>
  </property>
  <property fmtid="{D5CDD505-2E9C-101B-9397-08002B2CF9AE}" pid="3" name="_docset_NoMedatataSyncRequired">
    <vt:lpwstr>False</vt:lpwstr>
  </property>
  <property fmtid="{D5CDD505-2E9C-101B-9397-08002B2CF9AE}" pid="4" name="IsEFSEC">
    <vt:bool>false</vt:bool>
  </property>
</Properties>
</file>