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19155" windowHeight="12270"/>
  </bookViews>
  <sheets>
    <sheet name="2015 Rate Calculation" sheetId="2" r:id="rId1"/>
    <sheet name="UG-141202" sheetId="4" r:id="rId2"/>
    <sheet name="UG-131359" sheetId="3" r:id="rId3"/>
  </sheets>
  <calcPr calcId="145621"/>
</workbook>
</file>

<file path=xl/calcChain.xml><?xml version="1.0" encoding="utf-8"?>
<calcChain xmlns="http://schemas.openxmlformats.org/spreadsheetml/2006/main">
  <c r="E14" i="2" l="1"/>
  <c r="E7" i="2"/>
  <c r="G55" i="3" l="1"/>
  <c r="G51" i="3"/>
  <c r="F54" i="3"/>
  <c r="F53" i="3"/>
  <c r="F52" i="3"/>
  <c r="F51" i="3"/>
  <c r="G65" i="4"/>
  <c r="G62" i="4"/>
  <c r="G61" i="4"/>
  <c r="F63" i="4"/>
  <c r="G63" i="4" s="1"/>
  <c r="F62" i="4"/>
  <c r="F61" i="4"/>
  <c r="J60" i="2" l="1"/>
  <c r="G60" i="2"/>
  <c r="P60" i="2"/>
  <c r="N60" i="2"/>
  <c r="L60" i="2"/>
  <c r="H60" i="2"/>
  <c r="G14" i="2"/>
  <c r="G7" i="2"/>
  <c r="G54" i="3" l="1"/>
  <c r="G53" i="3"/>
  <c r="G52" i="3"/>
  <c r="D26" i="3" s="1"/>
  <c r="D27" i="3" s="1"/>
  <c r="D45" i="4" l="1"/>
  <c r="D46" i="4" s="1"/>
  <c r="D49" i="4" s="1"/>
  <c r="F47" i="4" s="1"/>
  <c r="F52" i="4" s="1"/>
  <c r="G22" i="2" l="1"/>
  <c r="D25" i="3" l="1"/>
  <c r="D32" i="4"/>
  <c r="F38" i="4" l="1"/>
  <c r="D38" i="4"/>
  <c r="D37" i="4"/>
  <c r="D41" i="4" l="1"/>
  <c r="D43" i="4" l="1"/>
  <c r="F43" i="4" l="1"/>
  <c r="D44" i="4"/>
  <c r="D52" i="4"/>
  <c r="F53" i="4" s="1"/>
  <c r="F48" i="4" l="1"/>
  <c r="F55" i="4" s="1"/>
  <c r="D18" i="3" l="1"/>
  <c r="F19" i="3" s="1"/>
  <c r="D19" i="3" s="1"/>
  <c r="D10" i="3"/>
  <c r="D9" i="3"/>
  <c r="D13" i="3" s="1"/>
  <c r="D22" i="3" l="1"/>
  <c r="D24" i="3" l="1"/>
  <c r="D30" i="3"/>
  <c r="F28" i="3" s="1"/>
  <c r="D33" i="3" l="1"/>
  <c r="F24" i="3"/>
  <c r="F29" i="3" l="1"/>
  <c r="F33" i="3"/>
  <c r="F34" i="3" s="1"/>
  <c r="F36" i="3" s="1"/>
  <c r="G56" i="2" s="1"/>
  <c r="H66" i="2" l="1"/>
  <c r="J36" i="2"/>
  <c r="P36" i="2" l="1"/>
  <c r="E36" i="2" s="1"/>
  <c r="P37" i="2" s="1"/>
  <c r="G31" i="2"/>
  <c r="E31" i="2"/>
  <c r="E40" i="2" s="1"/>
  <c r="E44" i="2" s="1"/>
  <c r="E42" i="2" l="1"/>
  <c r="G37" i="2"/>
  <c r="O37" i="2"/>
  <c r="L37" i="2"/>
  <c r="K37" i="2"/>
  <c r="H37" i="2"/>
  <c r="J37" i="2"/>
  <c r="N37" i="2"/>
  <c r="I37" i="2"/>
  <c r="M37" i="2"/>
  <c r="G42" i="2" l="1"/>
  <c r="E43" i="2"/>
  <c r="E45" i="2"/>
  <c r="E46" i="2" s="1"/>
  <c r="E37" i="2"/>
  <c r="E49" i="2" l="1"/>
  <c r="G47" i="2"/>
  <c r="E52" i="2" l="1"/>
  <c r="G48" i="2"/>
  <c r="G52" i="2" s="1"/>
  <c r="G53" i="2" l="1"/>
  <c r="G55" i="2" s="1"/>
  <c r="G57" i="2" s="1"/>
  <c r="G69" i="2" s="1"/>
  <c r="P59" i="2" l="1"/>
  <c r="P63" i="2" s="1"/>
  <c r="J59" i="2"/>
  <c r="J63" i="2" s="1"/>
  <c r="N59" i="2"/>
  <c r="N63" i="2" s="1"/>
  <c r="L59" i="2"/>
  <c r="L63" i="2" s="1"/>
  <c r="O59" i="2"/>
  <c r="O63" i="2" s="1"/>
  <c r="I59" i="2"/>
  <c r="G59" i="2"/>
  <c r="G63" i="2" s="1"/>
  <c r="H59" i="2"/>
  <c r="M59" i="2"/>
  <c r="M63" i="2" s="1"/>
  <c r="K59" i="2"/>
  <c r="K63" i="2" s="1"/>
  <c r="H65" i="2" l="1"/>
  <c r="H67" i="2" s="1"/>
  <c r="H63" i="2"/>
</calcChain>
</file>

<file path=xl/sharedStrings.xml><?xml version="1.0" encoding="utf-8"?>
<sst xmlns="http://schemas.openxmlformats.org/spreadsheetml/2006/main" count="254" uniqueCount="164">
  <si>
    <t>Longview Bare Steel Replacement - Phase II</t>
  </si>
  <si>
    <t>Anacortes Bare Steel Replacement - Phase II</t>
  </si>
  <si>
    <t>Shelton Bare Steel Replacement - Phase I</t>
  </si>
  <si>
    <t>Anacortes Bare Steel Replacement - Phase I</t>
  </si>
  <si>
    <t>Kelso Main Street Relocate</t>
  </si>
  <si>
    <t>Wenatchee Bridge Crossing</t>
  </si>
  <si>
    <t>Meyers Road Bridge</t>
  </si>
  <si>
    <t>Project</t>
  </si>
  <si>
    <t>Estimtimated Cost</t>
  </si>
  <si>
    <t>Actual Cost</t>
  </si>
  <si>
    <t>Percentage</t>
  </si>
  <si>
    <t>Total Investment</t>
  </si>
  <si>
    <t>Depreciation Expense  -  Rate 2.58%</t>
  </si>
  <si>
    <t>Deferred Tax</t>
  </si>
  <si>
    <t xml:space="preserve">   Accumulated Depr. (Avg)</t>
  </si>
  <si>
    <t xml:space="preserve">   Accum Def Tax (Avg)</t>
  </si>
  <si>
    <t>Rate Bate</t>
  </si>
  <si>
    <t>Authorized ROR from UG-060256</t>
  </si>
  <si>
    <t>NOI</t>
  </si>
  <si>
    <t>FIT</t>
  </si>
  <si>
    <t>Total NOI</t>
  </si>
  <si>
    <t>Revenue Requirement</t>
  </si>
  <si>
    <t>Schedule</t>
  </si>
  <si>
    <t>Rate Base Allocation from UG-060256 Company COS</t>
  </si>
  <si>
    <t>Ln 11* 2.58%</t>
  </si>
  <si>
    <t>Ln 12 * .35</t>
  </si>
  <si>
    <t>Ln 21 / Ln 22</t>
  </si>
  <si>
    <t>Combined 502 and 503 Rate Schedule</t>
  </si>
  <si>
    <t>Total Estimated Replacement Cost</t>
  </si>
  <si>
    <t>Allocation Rev Req to Schedules</t>
  </si>
  <si>
    <t>Percentage Increase in Revenue</t>
  </si>
  <si>
    <t>502 and 503 Combined Weather Norm. Vol.</t>
  </si>
  <si>
    <t>502 and 503 Combined Rev. Req.</t>
  </si>
  <si>
    <t>Conversion Factor from Company Testimony in UG-060256</t>
  </si>
  <si>
    <t>Approved Costs</t>
  </si>
  <si>
    <t>Revenue Requirement (Current Year Investment)</t>
  </si>
  <si>
    <t>Revenue Requirement (From Previous year Invest)</t>
  </si>
  <si>
    <t>Total Revenue Requirement</t>
  </si>
  <si>
    <t>UG-131359 Replacement Projects (Current year impacts)</t>
  </si>
  <si>
    <t>Longview Bare Steel Replacement - Phase III</t>
  </si>
  <si>
    <t>2" Richland IP Canal Crossing</t>
  </si>
  <si>
    <t>College Station Replacement (CARS Project)</t>
  </si>
  <si>
    <t>3" HP Replacement</t>
  </si>
  <si>
    <t>Wenatchee River Railroad Bridge Replacement</t>
  </si>
  <si>
    <t>Othello Replacement</t>
  </si>
  <si>
    <t>Sargison Loop Replacement</t>
  </si>
  <si>
    <t>Young Street Bridge</t>
  </si>
  <si>
    <t>Fry Creek Exposure</t>
  </si>
  <si>
    <t>James Street Relocate</t>
  </si>
  <si>
    <t>Location</t>
  </si>
  <si>
    <t>Kennewick</t>
  </si>
  <si>
    <t>Walla Walla</t>
  </si>
  <si>
    <t>Wenatchee</t>
  </si>
  <si>
    <t>"</t>
  </si>
  <si>
    <t>Aberdeen</t>
  </si>
  <si>
    <t>Bellingham</t>
  </si>
  <si>
    <t>Bremerton</t>
  </si>
  <si>
    <t>Longview</t>
  </si>
  <si>
    <t>Mt Vernon</t>
  </si>
  <si>
    <t>James Street Relocate - IP</t>
  </si>
  <si>
    <t>8" Bellingham HP Line #1 Replacement</t>
  </si>
  <si>
    <t>2" Steel Main Replacement - James Street</t>
  </si>
  <si>
    <t>4" Steel Main Replacement - Magnolia &amp; State Street</t>
  </si>
  <si>
    <t>2" Steel Main Replacement - Magnolia &amp; State Street</t>
  </si>
  <si>
    <t>SR 3 - Belfair Relocate</t>
  </si>
  <si>
    <t>R-146 (associated Piping)</t>
  </si>
  <si>
    <t>Ocean Beach Highway</t>
  </si>
  <si>
    <t>Fir Street Replacement</t>
  </si>
  <si>
    <t>LaConner Bridge</t>
  </si>
  <si>
    <t>Kelso</t>
  </si>
  <si>
    <t>Ln 25</t>
  </si>
  <si>
    <t>Ln 28* 2.58%</t>
  </si>
  <si>
    <t>Ln 29 / 2</t>
  </si>
  <si>
    <t>(Ln 31 - Ln 29) * .35</t>
  </si>
  <si>
    <t>Ln 33 / 2</t>
  </si>
  <si>
    <t>Ln 29 * .35</t>
  </si>
  <si>
    <t>Sum Ln 37</t>
  </si>
  <si>
    <t>Ln 37 / Ln 38</t>
  </si>
  <si>
    <t>Ln 40 + Ln 41</t>
  </si>
  <si>
    <t>Rate Charge</t>
  </si>
  <si>
    <t>Ln 42 * Ln 27</t>
  </si>
  <si>
    <t>Ln 43 / Ln 44</t>
  </si>
  <si>
    <t>Ln 46 / Ln 47</t>
  </si>
  <si>
    <t>UG-141202 Replacement Projects (Current year impacts)</t>
  </si>
  <si>
    <t>Zillah Replacement at Meyers Bridge</t>
  </si>
  <si>
    <t>Ln 29 / 2 + 1st yr depr</t>
  </si>
  <si>
    <t>Ln 8</t>
  </si>
  <si>
    <t>Ln 12 / 2 + 1st and 2nd yr depr</t>
  </si>
  <si>
    <t>Ln 23 from "UG-131359" and Ln 40 from "UG-141202" tabs)</t>
  </si>
  <si>
    <t>2014 Commission Basis Total Revenue</t>
  </si>
  <si>
    <t>(Ln 42 - UG-141202 filing (ln 42) / Ln 49</t>
  </si>
  <si>
    <t>Replacement Projects 11-1-14 to 10-31-15</t>
  </si>
  <si>
    <t>CRM RPL  ANACORTES BARE STEEL</t>
  </si>
  <si>
    <t>MT. VERNON</t>
  </si>
  <si>
    <t>PHASE III OF BARE STEEL REPLACEMENT PROJECT</t>
  </si>
  <si>
    <t>BARE STEEL/PRE-CNG PIPE - IDENTIFIED HIGH (RED) RISK IN DIMP</t>
  </si>
  <si>
    <t>CRM 3" BURLINGTON HP LINE REPL</t>
  </si>
  <si>
    <t>ROW AND DESIGN - CONSTRUCTION IN 2016</t>
  </si>
  <si>
    <t>PRE-CNG PIPE - IDENTIFIED HIGH (RED) RISK IN DIMP</t>
  </si>
  <si>
    <t>CRM WENATCHEE RIV RR BRIDGE RPL</t>
  </si>
  <si>
    <t>WENATCHEE</t>
  </si>
  <si>
    <t>BORE TO REMOVE PIPE FROM RR BRIGDE</t>
  </si>
  <si>
    <t>CRM 4" GRANDVIEW HP LINE #3 RPL</t>
  </si>
  <si>
    <t>YAKIMA</t>
  </si>
  <si>
    <t>1 MILE OF 4" HP - PART OF MAOP VALIDATION</t>
  </si>
  <si>
    <t>CRM BELLINGHAM BRIDGE CROSSINGS RMV</t>
  </si>
  <si>
    <t>BELLINGHAM</t>
  </si>
  <si>
    <t>REMOVAL OF 2 BRDIGE CROSSINGS</t>
  </si>
  <si>
    <t>PRE-CNG PIPE - IDENTIFIED HIGH (RED) &amp; MODERATE (ORANGE) RISK IN DIMP</t>
  </si>
  <si>
    <t>CRM DAKOTA CREEK BRIDGE RELOCATE</t>
  </si>
  <si>
    <t>EXPOSED PIPE SUSCEPTIBLE TO CORROSION RISK - MODERATE (ORANGE)</t>
  </si>
  <si>
    <t>CRM SUNNYSIDE 2" IP MAIN RPL</t>
  </si>
  <si>
    <t>REPLACE HOUSE PIPING WITH CNG PIPING</t>
  </si>
  <si>
    <t>PROJECT WILL REPLACE HOUSE PIPING SERVING MULTIPLE BUILDINGS</t>
  </si>
  <si>
    <t>CRM RPL LONGVIEW BARE STEEL</t>
  </si>
  <si>
    <t>LONGVIEW</t>
  </si>
  <si>
    <t>PHASE IV OF BARE STEEL REPLACEMENT PROJECT</t>
  </si>
  <si>
    <t>CRM KELSO MILL STREET REPLACEMENT</t>
  </si>
  <si>
    <t>REPLACEMENT OF PIPELINE SECTION WITH MULTIPLE LEAKS</t>
  </si>
  <si>
    <t>CRM KELSO GRADE ST BRIDGE RELOCATE</t>
  </si>
  <si>
    <t>EXPOSED PIPE ON BRIDGE</t>
  </si>
  <si>
    <t>CRM BREMERTON HWY 3 CASING REMOVAL</t>
  </si>
  <si>
    <t>BREMERTON</t>
  </si>
  <si>
    <t>SHORTED CASING</t>
  </si>
  <si>
    <t>PIPE IN CASING - MODERATE (ORANGE) RISK IN DIMP</t>
  </si>
  <si>
    <t>CRM COLLEGE PLACE CARS PROJECT</t>
  </si>
  <si>
    <t>WALLA WALLA</t>
  </si>
  <si>
    <t>REPLACEMENT OF PRE-CNG PIPE</t>
  </si>
  <si>
    <t>MODERATE (ORANGE) RISK IN DIMP</t>
  </si>
  <si>
    <t>CRM SHELTON 4" IP BRIDGE REPLACE</t>
  </si>
  <si>
    <t>ABERDEEN</t>
  </si>
  <si>
    <t>EXPOSED PIPE (CORROSION) IN ADDITION TO MODERATE (ORANGE) RISK IN DIMP</t>
  </si>
  <si>
    <t>CRM VANCE CREEK EXPOSURE REPLACE</t>
  </si>
  <si>
    <t>EXPOSURE OVER CREEK</t>
  </si>
  <si>
    <t>CRM CAMP CREEK EXPOSURE REPLACEMENT</t>
  </si>
  <si>
    <t>CRM RP; 4"HP MAIN, LACONNER</t>
  </si>
  <si>
    <t>EXPOSURE OVER CREEK - WO# 213962</t>
  </si>
  <si>
    <t>CRM 8" BELLINGHAM LINE #1</t>
  </si>
  <si>
    <t>REPLACE SECTION OF HP PIPELINE</t>
  </si>
  <si>
    <t>PRE-CNG PIPE - IDENTIFIED MODERATE (ORANGE) RISK IN DIMP</t>
  </si>
  <si>
    <t>CRM 8" STL BORE, BURLINGTON</t>
  </si>
  <si>
    <t>Description</t>
  </si>
  <si>
    <t>Justification</t>
  </si>
  <si>
    <t>Accum Deferred Tax (Avg)</t>
  </si>
  <si>
    <t>(Ln 31 - Ln 30) * .35</t>
  </si>
  <si>
    <t>Accum Tax depreciation</t>
  </si>
  <si>
    <t>Ln 28 *3.75%</t>
  </si>
  <si>
    <t>Interest Coordination Adj (Rate Base x Weighted Cost of Debt (3.505%) x 35% FIT)</t>
  </si>
  <si>
    <t>(Ln 35 * Ln 36) and  (Ln 29 - Ln 34-Ln 34.5)</t>
  </si>
  <si>
    <t>Tax Depreciation</t>
  </si>
  <si>
    <t>Year 1</t>
  </si>
  <si>
    <t>Year 2</t>
  </si>
  <si>
    <t>Year 3</t>
  </si>
  <si>
    <t>Accum</t>
  </si>
  <si>
    <t>See Calc Below</t>
  </si>
  <si>
    <t>(Ln 14 - Ln 13) * .35</t>
  </si>
  <si>
    <t>Interest Coordination Adj (Rate Base x Weighted Cost of debt x FIT)</t>
  </si>
  <si>
    <t>(Ln 18 * Ln 19) + (Ln 12 - Ln 17 - Ln 16)</t>
  </si>
  <si>
    <t>Interest Coordination Adj (Rate Base x Weighted Cost of Debt x FIT)</t>
  </si>
  <si>
    <t>(Ln 35 * Ln 36) and (Ln 29 - Ln 34 - Ln 33)</t>
  </si>
  <si>
    <t>(Ln 35 * Ln 36) + (Ln 29 - Ln 34 - Ln 33)</t>
  </si>
  <si>
    <t xml:space="preserve">Accum Tax depreciation </t>
  </si>
  <si>
    <t>Weather Normalized 2014 Volumes</t>
  </si>
  <si>
    <t>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</si>
</sst>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"/>
    <numFmt numFmtId="165" formatCode="[$-409]d\-mmm\-yy;@"/>
    <numFmt numFmtId="166" formatCode="&quot;$&quot;#,##0"/>
    <numFmt numFmtId="167" formatCode="0.0"/>
    <numFmt numFmtId="168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1">
    <xf numFmtId="0" fontId="0" fillId="0" borderId="0" xfId="0"/>
    <xf numFmtId="43" fontId="0" fillId="0" borderId="0" xfId="1" applyFont="1"/>
    <xf numFmtId="43" fontId="1" fillId="0" borderId="0" xfId="1" applyFont="1" applyAlignment="1">
      <alignment horizontal="center"/>
    </xf>
    <xf numFmtId="43" fontId="1" fillId="0" borderId="0" xfId="1" applyFont="1"/>
    <xf numFmtId="10" fontId="0" fillId="0" borderId="0" xfId="2" applyNumberFormat="1" applyFont="1"/>
    <xf numFmtId="10" fontId="0" fillId="0" borderId="0" xfId="0" applyNumberFormat="1"/>
    <xf numFmtId="41" fontId="3" fillId="0" borderId="0" xfId="1" applyNumberFormat="1" applyFont="1" applyAlignment="1"/>
    <xf numFmtId="43" fontId="3" fillId="0" borderId="0" xfId="1" applyFont="1" applyAlignment="1">
      <alignment horizontal="right"/>
    </xf>
    <xf numFmtId="164" fontId="0" fillId="0" borderId="0" xfId="0" applyNumberFormat="1"/>
    <xf numFmtId="43" fontId="0" fillId="0" borderId="0" xfId="1" applyFont="1" applyAlignment="1">
      <alignment horizontal="left"/>
    </xf>
    <xf numFmtId="165" fontId="1" fillId="0" borderId="0" xfId="1" applyNumberFormat="1" applyFont="1" applyAlignment="1">
      <alignment horizontal="center"/>
    </xf>
    <xf numFmtId="166" fontId="0" fillId="0" borderId="0" xfId="1" applyNumberFormat="1" applyFont="1"/>
    <xf numFmtId="166" fontId="0" fillId="0" borderId="1" xfId="1" applyNumberFormat="1" applyFont="1" applyBorder="1"/>
    <xf numFmtId="37" fontId="0" fillId="0" borderId="0" xfId="0" applyNumberFormat="1"/>
    <xf numFmtId="3" fontId="0" fillId="0" borderId="0" xfId="0" applyNumberFormat="1"/>
    <xf numFmtId="166" fontId="0" fillId="0" borderId="0" xfId="0" applyNumberFormat="1"/>
    <xf numFmtId="166" fontId="1" fillId="0" borderId="2" xfId="0" applyNumberFormat="1" applyFont="1" applyBorder="1"/>
    <xf numFmtId="166" fontId="1" fillId="0" borderId="0" xfId="0" applyNumberFormat="1" applyFont="1" applyBorder="1"/>
    <xf numFmtId="166" fontId="1" fillId="0" borderId="3" xfId="0" applyNumberFormat="1" applyFont="1" applyBorder="1"/>
    <xf numFmtId="166" fontId="1" fillId="0" borderId="4" xfId="0" applyNumberFormat="1" applyFont="1" applyBorder="1"/>
    <xf numFmtId="43" fontId="0" fillId="0" borderId="5" xfId="1" applyFont="1" applyBorder="1"/>
    <xf numFmtId="166" fontId="0" fillId="0" borderId="0" xfId="1" applyNumberFormat="1" applyFont="1" applyFill="1"/>
    <xf numFmtId="166" fontId="0" fillId="0" borderId="5" xfId="1" applyNumberFormat="1" applyFont="1" applyFill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4" fontId="0" fillId="0" borderId="0" xfId="3" applyFont="1" applyBorder="1" applyAlignment="1">
      <alignment vertical="center"/>
    </xf>
    <xf numFmtId="0" fontId="0" fillId="0" borderId="0" xfId="0" applyBorder="1"/>
    <xf numFmtId="43" fontId="0" fillId="0" borderId="0" xfId="1" applyFont="1" applyBorder="1"/>
    <xf numFmtId="0" fontId="0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1" fillId="0" borderId="0" xfId="3" applyFont="1" applyBorder="1" applyAlignment="1">
      <alignment vertical="center"/>
    </xf>
    <xf numFmtId="6" fontId="0" fillId="0" borderId="0" xfId="0" applyNumberFormat="1" applyBorder="1"/>
    <xf numFmtId="6" fontId="0" fillId="0" borderId="0" xfId="1" applyNumberFormat="1" applyFont="1" applyBorder="1"/>
    <xf numFmtId="6" fontId="0" fillId="0" borderId="0" xfId="1" applyNumberFormat="1" applyFont="1"/>
    <xf numFmtId="6" fontId="0" fillId="0" borderId="5" xfId="1" applyNumberFormat="1" applyFont="1" applyBorder="1"/>
    <xf numFmtId="6" fontId="0" fillId="0" borderId="0" xfId="3" applyNumberFormat="1" applyFont="1" applyBorder="1" applyAlignment="1">
      <alignment vertical="center"/>
    </xf>
    <xf numFmtId="6" fontId="1" fillId="0" borderId="0" xfId="0" applyNumberFormat="1" applyFont="1" applyBorder="1" applyAlignment="1">
      <alignment vertical="center"/>
    </xf>
    <xf numFmtId="168" fontId="0" fillId="0" borderId="0" xfId="0" applyNumberFormat="1"/>
    <xf numFmtId="167" fontId="0" fillId="0" borderId="0" xfId="0" applyNumberFormat="1"/>
    <xf numFmtId="0" fontId="0" fillId="0" borderId="0" xfId="0"/>
    <xf numFmtId="3" fontId="0" fillId="0" borderId="0" xfId="0" applyNumberForma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2"/>
  <sheetViews>
    <sheetView tabSelected="1" workbookViewId="0">
      <selection activeCell="G71" sqref="G71"/>
    </sheetView>
  </sheetViews>
  <sheetFormatPr defaultRowHeight="15" x14ac:dyDescent="0.25"/>
  <cols>
    <col min="1" max="1" width="4.28515625" customWidth="1"/>
    <col min="2" max="2" width="53.28515625" bestFit="1" customWidth="1"/>
    <col min="3" max="3" width="13.85546875" bestFit="1" customWidth="1"/>
    <col min="4" max="4" width="37" customWidth="1"/>
    <col min="5" max="5" width="17.7109375" bestFit="1" customWidth="1"/>
    <col min="6" max="6" width="2.5703125" customWidth="1"/>
    <col min="7" max="7" width="15.28515625" bestFit="1" customWidth="1"/>
    <col min="8" max="8" width="13.28515625" customWidth="1"/>
    <col min="9" max="9" width="13.42578125" hidden="1" customWidth="1"/>
    <col min="10" max="10" width="13.28515625" customWidth="1"/>
    <col min="11" max="11" width="12.5703125" customWidth="1"/>
    <col min="12" max="13" width="13.28515625" bestFit="1" customWidth="1"/>
    <col min="14" max="15" width="11.5703125" bestFit="1" customWidth="1"/>
    <col min="16" max="16" width="12.85546875" customWidth="1"/>
    <col min="17" max="17" width="14.28515625" bestFit="1" customWidth="1"/>
  </cols>
  <sheetData>
    <row r="2" spans="1:18" x14ac:dyDescent="0.25">
      <c r="B2" t="s">
        <v>91</v>
      </c>
    </row>
    <row r="4" spans="1:18" x14ac:dyDescent="0.25">
      <c r="B4" s="1"/>
      <c r="C4" s="1"/>
      <c r="D4" s="1"/>
      <c r="E4" s="1"/>
      <c r="F4" s="1"/>
      <c r="G4" s="10">
        <v>42246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B5" s="2" t="s">
        <v>7</v>
      </c>
      <c r="C5" s="2" t="s">
        <v>49</v>
      </c>
      <c r="D5" s="1"/>
      <c r="E5" s="3" t="s">
        <v>8</v>
      </c>
      <c r="F5" s="1"/>
      <c r="G5" s="3" t="s">
        <v>9</v>
      </c>
      <c r="H5" s="1"/>
      <c r="I5" s="1"/>
      <c r="J5" s="3" t="s">
        <v>141</v>
      </c>
      <c r="K5" s="1"/>
      <c r="L5" s="1"/>
      <c r="M5" s="1"/>
      <c r="N5" s="3" t="s">
        <v>142</v>
      </c>
      <c r="O5" s="1"/>
      <c r="P5" s="1"/>
      <c r="Q5" s="1"/>
      <c r="R5" s="1"/>
    </row>
    <row r="6" spans="1:18" x14ac:dyDescent="0.25">
      <c r="B6" s="2"/>
      <c r="C6" s="2"/>
      <c r="D6" s="1"/>
      <c r="E6" s="3"/>
      <c r="F6" s="1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>
        <v>1</v>
      </c>
      <c r="B7" s="23" t="s">
        <v>92</v>
      </c>
      <c r="C7" s="24" t="s">
        <v>93</v>
      </c>
      <c r="D7" s="25"/>
      <c r="E7" s="35">
        <f>40196.45-452.52+1013074+173626+351093+312207</f>
        <v>1889743.93</v>
      </c>
      <c r="F7" s="26"/>
      <c r="G7" s="31">
        <f>40196.45-452.52+24076.55+65.04+367.79+64.28+176157.49</f>
        <v>240475.08</v>
      </c>
      <c r="H7" s="23" t="s">
        <v>94</v>
      </c>
      <c r="I7" s="27"/>
      <c r="L7" s="11"/>
      <c r="M7" s="23" t="s">
        <v>95</v>
      </c>
      <c r="P7" s="1"/>
      <c r="Q7" s="1"/>
      <c r="R7" s="1"/>
    </row>
    <row r="8" spans="1:18" x14ac:dyDescent="0.25">
      <c r="A8">
        <v>2</v>
      </c>
      <c r="B8" s="23" t="s">
        <v>96</v>
      </c>
      <c r="C8" s="24" t="s">
        <v>93</v>
      </c>
      <c r="D8" s="25"/>
      <c r="E8" s="35">
        <v>0</v>
      </c>
      <c r="F8" s="26"/>
      <c r="G8" s="31"/>
      <c r="H8" s="23" t="s">
        <v>97</v>
      </c>
      <c r="I8" s="27"/>
      <c r="L8" s="11"/>
      <c r="M8" s="23" t="s">
        <v>98</v>
      </c>
      <c r="P8" s="1"/>
      <c r="Q8" s="1"/>
      <c r="R8" s="1"/>
    </row>
    <row r="9" spans="1:18" x14ac:dyDescent="0.25">
      <c r="A9">
        <v>3</v>
      </c>
      <c r="B9" s="23" t="s">
        <v>99</v>
      </c>
      <c r="C9" s="24" t="s">
        <v>100</v>
      </c>
      <c r="D9" s="25"/>
      <c r="E9" s="35">
        <v>0</v>
      </c>
      <c r="F9" s="26"/>
      <c r="G9" s="31">
        <v>19532.91</v>
      </c>
      <c r="H9" s="23" t="s">
        <v>101</v>
      </c>
      <c r="I9" s="27"/>
      <c r="L9" s="11"/>
      <c r="M9" s="23" t="s">
        <v>98</v>
      </c>
      <c r="P9" s="1"/>
      <c r="Q9" s="1"/>
      <c r="R9" s="1"/>
    </row>
    <row r="10" spans="1:18" x14ac:dyDescent="0.25">
      <c r="A10">
        <v>4</v>
      </c>
      <c r="B10" s="23" t="s">
        <v>102</v>
      </c>
      <c r="C10" s="24" t="s">
        <v>103</v>
      </c>
      <c r="D10" s="25"/>
      <c r="E10" s="35">
        <v>0</v>
      </c>
      <c r="F10" s="26"/>
      <c r="G10" s="31">
        <v>42746</v>
      </c>
      <c r="H10" s="23" t="s">
        <v>104</v>
      </c>
      <c r="I10" s="27"/>
      <c r="L10" s="11"/>
      <c r="M10" s="23" t="s">
        <v>98</v>
      </c>
      <c r="P10" s="1"/>
      <c r="Q10" s="1"/>
      <c r="R10" s="1"/>
    </row>
    <row r="11" spans="1:18" x14ac:dyDescent="0.25">
      <c r="A11">
        <v>5</v>
      </c>
      <c r="B11" s="23" t="s">
        <v>105</v>
      </c>
      <c r="C11" s="24" t="s">
        <v>106</v>
      </c>
      <c r="D11" s="25"/>
      <c r="E11" s="35">
        <v>0</v>
      </c>
      <c r="F11" s="26"/>
      <c r="G11" s="31"/>
      <c r="H11" s="23" t="s">
        <v>107</v>
      </c>
      <c r="I11" s="27"/>
      <c r="L11" s="11"/>
      <c r="M11" s="23" t="s">
        <v>108</v>
      </c>
      <c r="P11" s="1"/>
      <c r="Q11" s="1"/>
      <c r="R11" s="1"/>
    </row>
    <row r="12" spans="1:18" x14ac:dyDescent="0.25">
      <c r="A12">
        <v>6</v>
      </c>
      <c r="B12" s="23" t="s">
        <v>109</v>
      </c>
      <c r="C12" s="24" t="s">
        <v>106</v>
      </c>
      <c r="D12" s="25"/>
      <c r="E12" s="35">
        <v>523455.88</v>
      </c>
      <c r="F12" s="26"/>
      <c r="G12" s="31">
        <v>523455.88</v>
      </c>
      <c r="H12" s="23" t="s">
        <v>101</v>
      </c>
      <c r="I12" s="27"/>
      <c r="L12" s="11"/>
      <c r="M12" s="23" t="s">
        <v>110</v>
      </c>
      <c r="P12" s="1"/>
      <c r="Q12" s="1"/>
      <c r="R12" s="1"/>
    </row>
    <row r="13" spans="1:18" x14ac:dyDescent="0.25">
      <c r="A13">
        <v>7</v>
      </c>
      <c r="B13" s="23" t="s">
        <v>111</v>
      </c>
      <c r="C13" s="24" t="s">
        <v>103</v>
      </c>
      <c r="D13" s="25"/>
      <c r="E13" s="35">
        <v>50227.12</v>
      </c>
      <c r="F13" s="26"/>
      <c r="G13" s="31"/>
      <c r="H13" s="28" t="s">
        <v>112</v>
      </c>
      <c r="I13" s="27"/>
      <c r="L13" s="11"/>
      <c r="M13" s="23" t="s">
        <v>113</v>
      </c>
      <c r="P13" s="1"/>
      <c r="Q13" s="1"/>
      <c r="R13" s="1"/>
    </row>
    <row r="14" spans="1:18" x14ac:dyDescent="0.25">
      <c r="A14">
        <v>8</v>
      </c>
      <c r="B14" s="23" t="s">
        <v>114</v>
      </c>
      <c r="C14" s="24" t="s">
        <v>115</v>
      </c>
      <c r="D14" s="25"/>
      <c r="E14" s="35">
        <f>313126.39+370464.68+751819.13+252752.74</f>
        <v>1688162.9400000002</v>
      </c>
      <c r="F14" s="26"/>
      <c r="G14" s="31">
        <f>313126.39+45736.25+670131.77+223539.03</f>
        <v>1252533.44</v>
      </c>
      <c r="H14" s="23" t="s">
        <v>116</v>
      </c>
      <c r="I14" s="27"/>
      <c r="L14" s="11"/>
      <c r="M14" s="23" t="s">
        <v>95</v>
      </c>
      <c r="P14" s="1"/>
      <c r="Q14" s="1"/>
      <c r="R14" s="1"/>
    </row>
    <row r="15" spans="1:18" x14ac:dyDescent="0.25">
      <c r="A15">
        <v>9</v>
      </c>
      <c r="B15" s="23" t="s">
        <v>117</v>
      </c>
      <c r="C15" s="24" t="s">
        <v>115</v>
      </c>
      <c r="D15" s="25"/>
      <c r="E15" s="35">
        <v>0</v>
      </c>
      <c r="F15" s="26"/>
      <c r="G15" s="31"/>
      <c r="H15" s="23" t="s">
        <v>118</v>
      </c>
      <c r="I15" s="27"/>
      <c r="L15" s="11"/>
      <c r="M15" s="23" t="s">
        <v>95</v>
      </c>
      <c r="P15" s="1"/>
      <c r="Q15" s="1"/>
      <c r="R15" s="1"/>
    </row>
    <row r="16" spans="1:18" x14ac:dyDescent="0.25">
      <c r="A16">
        <v>10</v>
      </c>
      <c r="B16" s="23" t="s">
        <v>119</v>
      </c>
      <c r="C16" s="24" t="s">
        <v>115</v>
      </c>
      <c r="D16" s="25"/>
      <c r="E16" s="35">
        <v>0</v>
      </c>
      <c r="F16" s="26"/>
      <c r="G16" s="31">
        <v>33752.32</v>
      </c>
      <c r="H16" s="29" t="s">
        <v>120</v>
      </c>
      <c r="I16" s="27"/>
      <c r="L16" s="11"/>
      <c r="M16" s="23" t="s">
        <v>110</v>
      </c>
      <c r="P16" s="1"/>
      <c r="Q16" s="1"/>
      <c r="R16" s="1"/>
    </row>
    <row r="17" spans="1:18" x14ac:dyDescent="0.25">
      <c r="A17">
        <v>11</v>
      </c>
      <c r="B17" s="23" t="s">
        <v>121</v>
      </c>
      <c r="C17" s="24" t="s">
        <v>122</v>
      </c>
      <c r="D17" s="25"/>
      <c r="E17" s="35">
        <v>475962.98</v>
      </c>
      <c r="F17" s="26"/>
      <c r="G17" s="31">
        <v>6123.97</v>
      </c>
      <c r="H17" s="23" t="s">
        <v>123</v>
      </c>
      <c r="I17" s="27"/>
      <c r="L17" s="11"/>
      <c r="M17" s="23" t="s">
        <v>124</v>
      </c>
      <c r="P17" s="1"/>
      <c r="Q17" s="1"/>
      <c r="R17" s="1"/>
    </row>
    <row r="18" spans="1:18" x14ac:dyDescent="0.25">
      <c r="A18">
        <v>12</v>
      </c>
      <c r="B18" s="23" t="s">
        <v>125</v>
      </c>
      <c r="C18" s="24" t="s">
        <v>126</v>
      </c>
      <c r="D18" s="25"/>
      <c r="E18" s="35">
        <v>1645523.98</v>
      </c>
      <c r="F18" s="26"/>
      <c r="G18" s="31">
        <v>922731.13</v>
      </c>
      <c r="H18" s="23" t="s">
        <v>127</v>
      </c>
      <c r="I18" s="27"/>
      <c r="L18" s="11"/>
      <c r="M18" s="23" t="s">
        <v>128</v>
      </c>
      <c r="P18" s="1"/>
      <c r="Q18" s="1"/>
      <c r="R18" s="1"/>
    </row>
    <row r="19" spans="1:18" x14ac:dyDescent="0.25">
      <c r="A19">
        <v>13</v>
      </c>
      <c r="B19" s="23" t="s">
        <v>129</v>
      </c>
      <c r="C19" s="24" t="s">
        <v>130</v>
      </c>
      <c r="D19" s="25"/>
      <c r="E19" s="35">
        <v>0</v>
      </c>
      <c r="F19" s="26"/>
      <c r="G19" s="31"/>
      <c r="H19" s="29" t="s">
        <v>120</v>
      </c>
      <c r="I19" s="27"/>
      <c r="L19" s="11"/>
      <c r="M19" s="23" t="s">
        <v>131</v>
      </c>
      <c r="P19" s="1"/>
      <c r="Q19" s="1"/>
      <c r="R19" s="1"/>
    </row>
    <row r="20" spans="1:18" x14ac:dyDescent="0.25">
      <c r="A20">
        <v>14</v>
      </c>
      <c r="B20" s="23" t="s">
        <v>132</v>
      </c>
      <c r="C20" s="24" t="s">
        <v>130</v>
      </c>
      <c r="D20" s="25"/>
      <c r="E20" s="35">
        <v>0</v>
      </c>
      <c r="F20" s="26"/>
      <c r="G20" s="31"/>
      <c r="H20" s="23" t="s">
        <v>133</v>
      </c>
      <c r="I20" s="27"/>
      <c r="L20" s="11"/>
      <c r="M20" s="23" t="s">
        <v>131</v>
      </c>
      <c r="P20" s="1"/>
      <c r="Q20" s="1"/>
      <c r="R20" s="1"/>
    </row>
    <row r="21" spans="1:18" x14ac:dyDescent="0.25">
      <c r="A21">
        <v>15</v>
      </c>
      <c r="B21" s="23" t="s">
        <v>134</v>
      </c>
      <c r="C21" s="24" t="s">
        <v>130</v>
      </c>
      <c r="D21" s="25"/>
      <c r="E21" s="35">
        <v>0</v>
      </c>
      <c r="F21" s="26"/>
      <c r="G21" s="31"/>
      <c r="H21" s="23" t="s">
        <v>133</v>
      </c>
      <c r="I21" s="27"/>
      <c r="L21" s="11"/>
      <c r="M21" s="23" t="s">
        <v>131</v>
      </c>
      <c r="P21" s="1"/>
      <c r="Q21" s="1"/>
      <c r="R21" s="1"/>
    </row>
    <row r="22" spans="1:18" x14ac:dyDescent="0.25">
      <c r="A22">
        <v>16</v>
      </c>
      <c r="B22" s="23" t="s">
        <v>135</v>
      </c>
      <c r="C22" s="24" t="s">
        <v>93</v>
      </c>
      <c r="D22" s="25"/>
      <c r="E22" s="35">
        <v>98607.7</v>
      </c>
      <c r="F22" s="26"/>
      <c r="G22" s="31">
        <f>91604.66+7003.04</f>
        <v>98607.7</v>
      </c>
      <c r="H22" s="23" t="s">
        <v>136</v>
      </c>
      <c r="I22" s="27"/>
      <c r="L22" s="11"/>
      <c r="M22" s="23" t="s">
        <v>131</v>
      </c>
      <c r="P22" s="1"/>
      <c r="Q22" s="1"/>
      <c r="R22" s="1"/>
    </row>
    <row r="23" spans="1:18" x14ac:dyDescent="0.25">
      <c r="A23">
        <v>17</v>
      </c>
      <c r="B23" s="23" t="s">
        <v>137</v>
      </c>
      <c r="C23" s="24" t="s">
        <v>106</v>
      </c>
      <c r="D23" s="25"/>
      <c r="E23" s="35">
        <v>106898.83</v>
      </c>
      <c r="F23" s="26"/>
      <c r="G23" s="31">
        <v>106898.83</v>
      </c>
      <c r="H23" s="23" t="s">
        <v>138</v>
      </c>
      <c r="I23" s="27"/>
      <c r="L23" s="11"/>
      <c r="M23" s="23" t="s">
        <v>139</v>
      </c>
      <c r="P23" s="1"/>
      <c r="Q23" s="1"/>
      <c r="R23" s="1"/>
    </row>
    <row r="24" spans="1:18" x14ac:dyDescent="0.25">
      <c r="A24">
        <v>18</v>
      </c>
      <c r="B24" s="23" t="s">
        <v>140</v>
      </c>
      <c r="C24" s="24" t="s">
        <v>93</v>
      </c>
      <c r="D24" s="25"/>
      <c r="E24" s="35">
        <v>626153.56000000006</v>
      </c>
      <c r="F24" s="26"/>
      <c r="G24" s="31">
        <v>626153.56000000006</v>
      </c>
      <c r="H24" s="23" t="s">
        <v>138</v>
      </c>
      <c r="I24" s="27"/>
      <c r="L24" s="11"/>
      <c r="M24" s="23" t="s">
        <v>98</v>
      </c>
      <c r="P24" s="1"/>
      <c r="Q24" s="1"/>
      <c r="R24" s="1"/>
    </row>
    <row r="25" spans="1:18" x14ac:dyDescent="0.25">
      <c r="A25">
        <v>19</v>
      </c>
      <c r="B25" s="23"/>
      <c r="C25" s="24"/>
      <c r="D25" s="30"/>
      <c r="E25" s="36"/>
      <c r="F25" s="23"/>
      <c r="G25" s="32"/>
      <c r="H25" s="27"/>
      <c r="I25" s="27"/>
      <c r="J25" s="27"/>
      <c r="K25" s="27"/>
      <c r="L25" s="1"/>
      <c r="M25" s="1"/>
      <c r="N25" s="1"/>
      <c r="O25" s="1"/>
      <c r="P25" s="1"/>
      <c r="Q25" s="1"/>
      <c r="R25" s="1"/>
    </row>
    <row r="26" spans="1:18" x14ac:dyDescent="0.25">
      <c r="A26">
        <v>20</v>
      </c>
      <c r="B26" s="1"/>
      <c r="C26" s="1"/>
      <c r="D26" s="1"/>
      <c r="E26" s="33"/>
      <c r="F26" s="1"/>
      <c r="G26" s="3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>
        <v>21</v>
      </c>
      <c r="B27" s="1"/>
      <c r="C27" s="1"/>
      <c r="D27" s="1"/>
      <c r="E27" s="33"/>
      <c r="F27" s="1"/>
      <c r="G27" s="3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>
        <v>22</v>
      </c>
      <c r="B28" s="1"/>
      <c r="C28" s="1"/>
      <c r="D28" s="1"/>
      <c r="E28" s="33"/>
      <c r="F28" s="1"/>
      <c r="G28" s="3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>
        <v>23</v>
      </c>
      <c r="B29" s="1"/>
      <c r="C29" s="1"/>
      <c r="D29" s="1"/>
      <c r="E29" s="33"/>
      <c r="F29" s="1"/>
      <c r="G29" s="3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thickBot="1" x14ac:dyDescent="0.3">
      <c r="A30">
        <v>24</v>
      </c>
      <c r="B30" s="1"/>
      <c r="C30" s="1"/>
      <c r="D30" s="1"/>
      <c r="E30" s="34"/>
      <c r="F30" s="20"/>
      <c r="G30" s="3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.75" thickTop="1" x14ac:dyDescent="0.25">
      <c r="A31">
        <v>25</v>
      </c>
      <c r="B31" s="1" t="s">
        <v>28</v>
      </c>
      <c r="C31" s="1"/>
      <c r="D31" s="1"/>
      <c r="E31" s="11">
        <f>SUM(E7:E30)</f>
        <v>7104736.9199999999</v>
      </c>
      <c r="F31" s="1"/>
      <c r="G31" s="11">
        <f>SUM(G7:G30)</f>
        <v>3873010.8200000003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B32" s="1"/>
      <c r="C32" s="1"/>
      <c r="D32" s="1"/>
      <c r="E32" s="1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8.75" x14ac:dyDescent="0.3">
      <c r="B33" s="1"/>
      <c r="C33" s="1"/>
      <c r="D33" s="1"/>
      <c r="E33" s="1"/>
      <c r="F33" s="1"/>
      <c r="G33" s="7" t="s">
        <v>22</v>
      </c>
      <c r="H33" s="7" t="s">
        <v>22</v>
      </c>
      <c r="I33" s="7" t="s">
        <v>22</v>
      </c>
      <c r="J33" s="7" t="s">
        <v>22</v>
      </c>
      <c r="K33" s="7" t="s">
        <v>22</v>
      </c>
      <c r="L33" s="7" t="s">
        <v>22</v>
      </c>
      <c r="M33" s="7" t="s">
        <v>22</v>
      </c>
      <c r="N33" s="7" t="s">
        <v>22</v>
      </c>
      <c r="O33" s="7" t="s">
        <v>22</v>
      </c>
      <c r="P33" s="7" t="s">
        <v>22</v>
      </c>
      <c r="Q33" s="1"/>
      <c r="R33" s="1"/>
    </row>
    <row r="34" spans="1:18" ht="18.75" x14ac:dyDescent="0.3">
      <c r="B34" s="1"/>
      <c r="C34" s="1"/>
      <c r="D34" s="1"/>
      <c r="E34" s="1"/>
      <c r="F34" s="1"/>
      <c r="G34" s="6">
        <v>503</v>
      </c>
      <c r="H34" s="6">
        <v>502</v>
      </c>
      <c r="I34" s="6">
        <v>541</v>
      </c>
      <c r="J34" s="6">
        <v>504</v>
      </c>
      <c r="K34" s="6">
        <v>512</v>
      </c>
      <c r="L34" s="6">
        <v>511</v>
      </c>
      <c r="M34" s="6">
        <v>505</v>
      </c>
      <c r="N34" s="6">
        <v>570</v>
      </c>
      <c r="O34" s="6">
        <v>577</v>
      </c>
      <c r="P34" s="6">
        <v>663</v>
      </c>
      <c r="Q34" s="1"/>
      <c r="R34" s="1"/>
    </row>
    <row r="35" spans="1:18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>
        <v>26</v>
      </c>
      <c r="B36" s="9" t="s">
        <v>23</v>
      </c>
      <c r="C36" s="9"/>
      <c r="D36" s="1"/>
      <c r="E36" s="11">
        <f>SUM(G36:Q36)</f>
        <v>218725267</v>
      </c>
      <c r="F36" s="11"/>
      <c r="G36" s="11">
        <v>101213281</v>
      </c>
      <c r="H36" s="11">
        <v>1206702</v>
      </c>
      <c r="I36" s="11"/>
      <c r="J36" s="11">
        <f>70419319+187520</f>
        <v>70606839</v>
      </c>
      <c r="K36" s="11">
        <v>26846</v>
      </c>
      <c r="L36" s="11">
        <v>4565375</v>
      </c>
      <c r="M36" s="11">
        <v>8230589</v>
      </c>
      <c r="N36" s="11">
        <v>541665</v>
      </c>
      <c r="O36" s="11">
        <v>103353</v>
      </c>
      <c r="P36" s="11">
        <f>14418479+17812138</f>
        <v>32230617</v>
      </c>
      <c r="Q36" s="1"/>
      <c r="R36" s="1"/>
    </row>
    <row r="37" spans="1:18" x14ac:dyDescent="0.25">
      <c r="A37">
        <v>27</v>
      </c>
      <c r="B37" t="s">
        <v>10</v>
      </c>
      <c r="E37" s="4">
        <f>SUM(G37:Q37)</f>
        <v>1</v>
      </c>
      <c r="G37" s="4">
        <f>+G36/$E$36</f>
        <v>0.46274160451704921</v>
      </c>
      <c r="H37" s="4">
        <f t="shared" ref="H37:P37" si="0">+H36/$E$36</f>
        <v>5.5169757776544403E-3</v>
      </c>
      <c r="I37" s="4">
        <f t="shared" si="0"/>
        <v>0</v>
      </c>
      <c r="J37" s="4">
        <f t="shared" si="0"/>
        <v>0.32281061977169745</v>
      </c>
      <c r="K37" s="4">
        <f t="shared" si="0"/>
        <v>1.2273844886882685E-4</v>
      </c>
      <c r="L37" s="4">
        <f t="shared" si="0"/>
        <v>2.0872645682951663E-2</v>
      </c>
      <c r="M37" s="4">
        <f t="shared" si="0"/>
        <v>3.7629804333488365E-2</v>
      </c>
      <c r="N37" s="4">
        <f t="shared" si="0"/>
        <v>2.4764628587697645E-3</v>
      </c>
      <c r="O37" s="4">
        <f t="shared" si="0"/>
        <v>4.7252428316843704E-4</v>
      </c>
      <c r="P37" s="4">
        <f t="shared" si="0"/>
        <v>0.14735662432635183</v>
      </c>
      <c r="Q37" s="4"/>
    </row>
    <row r="40" spans="1:18" x14ac:dyDescent="0.25">
      <c r="A40">
        <v>28</v>
      </c>
      <c r="B40" t="s">
        <v>11</v>
      </c>
      <c r="D40" t="s">
        <v>70</v>
      </c>
      <c r="E40" s="13">
        <f>+E31</f>
        <v>7104736.9199999999</v>
      </c>
    </row>
    <row r="42" spans="1:18" x14ac:dyDescent="0.25">
      <c r="A42">
        <v>29</v>
      </c>
      <c r="B42" t="s">
        <v>12</v>
      </c>
      <c r="D42" t="s">
        <v>71</v>
      </c>
      <c r="E42" s="14">
        <f>+E40*0.0258</f>
        <v>183302.21253600001</v>
      </c>
      <c r="F42" s="14"/>
      <c r="G42" s="14">
        <f>+E42</f>
        <v>183302.21253600001</v>
      </c>
    </row>
    <row r="43" spans="1:18" x14ac:dyDescent="0.25">
      <c r="A43">
        <v>30</v>
      </c>
      <c r="B43" t="s">
        <v>14</v>
      </c>
      <c r="D43" t="s">
        <v>72</v>
      </c>
      <c r="E43" s="14">
        <f>+E42/2</f>
        <v>91651.106268000003</v>
      </c>
      <c r="F43" s="14"/>
      <c r="G43" s="14"/>
    </row>
    <row r="44" spans="1:18" x14ac:dyDescent="0.25">
      <c r="A44">
        <v>31</v>
      </c>
      <c r="B44" t="s">
        <v>145</v>
      </c>
      <c r="D44" t="s">
        <v>146</v>
      </c>
      <c r="E44" s="14">
        <f>+E40*0.0375</f>
        <v>266427.63449999999</v>
      </c>
      <c r="F44" s="14"/>
      <c r="G44" s="14"/>
    </row>
    <row r="45" spans="1:18" x14ac:dyDescent="0.25">
      <c r="A45">
        <v>32</v>
      </c>
      <c r="B45" t="s">
        <v>13</v>
      </c>
      <c r="D45" t="s">
        <v>73</v>
      </c>
      <c r="E45" s="14">
        <f>(+E44-E42)*0.35</f>
        <v>29093.897687399989</v>
      </c>
      <c r="F45" s="14"/>
      <c r="G45" s="14"/>
    </row>
    <row r="46" spans="1:18" x14ac:dyDescent="0.25">
      <c r="A46">
        <v>33</v>
      </c>
      <c r="B46" t="s">
        <v>15</v>
      </c>
      <c r="D46" t="s">
        <v>74</v>
      </c>
      <c r="E46" s="14">
        <f>+E45/2</f>
        <v>14546.948843699995</v>
      </c>
      <c r="F46" s="14"/>
      <c r="G46" s="14"/>
    </row>
    <row r="47" spans="1:18" x14ac:dyDescent="0.25">
      <c r="A47">
        <v>34</v>
      </c>
      <c r="B47" t="s">
        <v>19</v>
      </c>
      <c r="D47" t="s">
        <v>75</v>
      </c>
      <c r="E47" s="14"/>
      <c r="F47" s="14"/>
      <c r="G47" s="14">
        <f>+G42*0.35</f>
        <v>64155.774387599995</v>
      </c>
    </row>
    <row r="48" spans="1:18" x14ac:dyDescent="0.25">
      <c r="A48" s="38">
        <v>34.5</v>
      </c>
      <c r="B48" s="39" t="s">
        <v>147</v>
      </c>
      <c r="C48" s="39"/>
      <c r="D48" s="39"/>
      <c r="E48" s="40"/>
      <c r="F48" s="40"/>
      <c r="G48" s="40">
        <f>+E49*0.03505*0.35</f>
        <v>85854.575525017208</v>
      </c>
    </row>
    <row r="49" spans="1:16" x14ac:dyDescent="0.25">
      <c r="A49">
        <v>35</v>
      </c>
      <c r="B49" t="s">
        <v>16</v>
      </c>
      <c r="E49" s="14">
        <f>+E31-E46-E43</f>
        <v>6998538.8648883002</v>
      </c>
      <c r="F49" s="14"/>
      <c r="G49" s="14"/>
    </row>
    <row r="50" spans="1:16" x14ac:dyDescent="0.25">
      <c r="A50">
        <v>36</v>
      </c>
      <c r="B50" t="s">
        <v>17</v>
      </c>
      <c r="E50" s="5">
        <v>8.8499999999999995E-2</v>
      </c>
    </row>
    <row r="52" spans="1:16" x14ac:dyDescent="0.25">
      <c r="A52">
        <v>37</v>
      </c>
      <c r="B52" t="s">
        <v>18</v>
      </c>
      <c r="D52" t="s">
        <v>148</v>
      </c>
      <c r="E52" s="15">
        <f>+E49*E50</f>
        <v>619370.68954261451</v>
      </c>
      <c r="F52" s="15"/>
      <c r="G52" s="15">
        <f>+G42-G47-G48</f>
        <v>33291.862623382811</v>
      </c>
    </row>
    <row r="53" spans="1:16" x14ac:dyDescent="0.25">
      <c r="A53">
        <v>38</v>
      </c>
      <c r="B53" t="s">
        <v>20</v>
      </c>
      <c r="D53" t="s">
        <v>76</v>
      </c>
      <c r="E53" s="15"/>
      <c r="F53" s="15"/>
      <c r="G53" s="15">
        <f>+G52+E52</f>
        <v>652662.55216599733</v>
      </c>
    </row>
    <row r="54" spans="1:16" x14ac:dyDescent="0.25">
      <c r="A54">
        <v>39</v>
      </c>
      <c r="B54" t="s">
        <v>33</v>
      </c>
      <c r="G54">
        <v>0.62180250000000004</v>
      </c>
    </row>
    <row r="55" spans="1:16" x14ac:dyDescent="0.25">
      <c r="A55">
        <v>40</v>
      </c>
      <c r="B55" t="s">
        <v>35</v>
      </c>
      <c r="D55" t="s">
        <v>77</v>
      </c>
      <c r="G55" s="17">
        <f>+G53/G54</f>
        <v>1049629.9904969782</v>
      </c>
      <c r="H55" s="15"/>
      <c r="I55" s="15"/>
      <c r="J55" s="15"/>
      <c r="K55" s="15"/>
      <c r="L55" s="15"/>
      <c r="M55" s="15"/>
      <c r="N55" s="15"/>
      <c r="O55" s="15"/>
      <c r="P55" s="15"/>
    </row>
    <row r="56" spans="1:16" x14ac:dyDescent="0.25">
      <c r="A56">
        <v>41</v>
      </c>
      <c r="B56" t="s">
        <v>36</v>
      </c>
      <c r="D56" t="s">
        <v>88</v>
      </c>
      <c r="G56" s="19">
        <f>+'UG-131359'!F36+'UG-141202'!F55</f>
        <v>1561215.3576629488</v>
      </c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15.75" thickBot="1" x14ac:dyDescent="0.3">
      <c r="A57">
        <v>42</v>
      </c>
      <c r="B57" t="s">
        <v>37</v>
      </c>
      <c r="D57" t="s">
        <v>78</v>
      </c>
      <c r="G57" s="18">
        <f>+G55+G56</f>
        <v>2610845.3481599269</v>
      </c>
      <c r="H57" s="15"/>
      <c r="I57" s="15"/>
      <c r="J57" s="15"/>
      <c r="K57" s="15"/>
      <c r="L57" s="15"/>
      <c r="M57" s="15"/>
      <c r="N57" s="15"/>
      <c r="O57" s="15"/>
      <c r="P57" s="15"/>
    </row>
    <row r="58" spans="1:16" ht="15.75" thickTop="1" x14ac:dyDescent="0.25"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x14ac:dyDescent="0.25">
      <c r="A59">
        <v>43</v>
      </c>
      <c r="B59" t="s">
        <v>29</v>
      </c>
      <c r="D59" t="s">
        <v>80</v>
      </c>
      <c r="G59" s="15">
        <f>+$G$57*G37</f>
        <v>1208146.7655533985</v>
      </c>
      <c r="H59" s="15">
        <f t="shared" ref="H59:P59" si="1">+$G$57*H37</f>
        <v>14403.970545000091</v>
      </c>
      <c r="I59" s="15">
        <f t="shared" si="1"/>
        <v>0</v>
      </c>
      <c r="J59" s="15">
        <f t="shared" si="1"/>
        <v>842808.60496755922</v>
      </c>
      <c r="K59" s="15">
        <f t="shared" si="1"/>
        <v>320.45110826954163</v>
      </c>
      <c r="L59" s="15">
        <f t="shared" si="1"/>
        <v>54495.249885124729</v>
      </c>
      <c r="M59" s="15">
        <f t="shared" si="1"/>
        <v>98245.599596256361</v>
      </c>
      <c r="N59" s="15">
        <f t="shared" si="1"/>
        <v>6465.6615347098741</v>
      </c>
      <c r="O59" s="15">
        <f t="shared" si="1"/>
        <v>1233.687826602918</v>
      </c>
      <c r="P59" s="15">
        <f t="shared" si="1"/>
        <v>384725.35714300559</v>
      </c>
    </row>
    <row r="60" spans="1:16" x14ac:dyDescent="0.25">
      <c r="A60">
        <v>44</v>
      </c>
      <c r="B60" t="s">
        <v>162</v>
      </c>
      <c r="G60" s="14">
        <f>111970307+365+6506006</f>
        <v>118476678</v>
      </c>
      <c r="H60" s="14">
        <f>359949+3094</f>
        <v>363043</v>
      </c>
      <c r="I60" s="14">
        <v>0</v>
      </c>
      <c r="J60" s="14">
        <f>78930326+3929115</f>
        <v>82859441</v>
      </c>
      <c r="K60" s="14">
        <v>45435</v>
      </c>
      <c r="L60" s="14">
        <f>858159+7569318</f>
        <v>8427477</v>
      </c>
      <c r="M60" s="14">
        <v>12020026</v>
      </c>
      <c r="N60" s="14">
        <f>136389+4046771</f>
        <v>4183160</v>
      </c>
      <c r="O60" s="14">
        <v>392533</v>
      </c>
      <c r="P60" s="14">
        <f>364963542+735059+70509909+10018192</f>
        <v>446226702</v>
      </c>
    </row>
    <row r="61" spans="1:16" x14ac:dyDescent="0.25"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1:16" x14ac:dyDescent="0.25"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1:16" x14ac:dyDescent="0.25">
      <c r="A63">
        <v>45</v>
      </c>
      <c r="B63" t="s">
        <v>79</v>
      </c>
      <c r="D63" t="s">
        <v>81</v>
      </c>
      <c r="G63" s="8">
        <f>+G59/G60</f>
        <v>1.0197338294321508E-2</v>
      </c>
      <c r="H63" s="8">
        <f>+H59/H60</f>
        <v>3.9675659756558013E-2</v>
      </c>
      <c r="I63" s="8"/>
      <c r="J63" s="8">
        <f>+J59/J60</f>
        <v>1.0171545870887051E-2</v>
      </c>
      <c r="K63" s="8">
        <f t="shared" ref="K63:P63" si="2">+K59/K60</f>
        <v>7.0529571535059236E-3</v>
      </c>
      <c r="L63" s="8">
        <f t="shared" si="2"/>
        <v>6.4663777646767505E-3</v>
      </c>
      <c r="M63" s="8">
        <f t="shared" si="2"/>
        <v>8.1734931019497269E-3</v>
      </c>
      <c r="N63" s="8">
        <f t="shared" si="2"/>
        <v>1.5456405049555538E-3</v>
      </c>
      <c r="O63" s="8">
        <f t="shared" si="2"/>
        <v>3.1428894554162783E-3</v>
      </c>
      <c r="P63" s="8">
        <f t="shared" si="2"/>
        <v>8.6217466462373555E-4</v>
      </c>
    </row>
    <row r="65" spans="1:8" x14ac:dyDescent="0.25">
      <c r="A65">
        <v>46</v>
      </c>
      <c r="B65" t="s">
        <v>32</v>
      </c>
      <c r="H65" s="15">
        <f>+H59+G59</f>
        <v>1222550.7360983987</v>
      </c>
    </row>
    <row r="66" spans="1:8" x14ac:dyDescent="0.25">
      <c r="A66">
        <v>47</v>
      </c>
      <c r="B66" t="s">
        <v>31</v>
      </c>
      <c r="H66" s="14">
        <f>+H60+G60</f>
        <v>118839721</v>
      </c>
    </row>
    <row r="67" spans="1:8" x14ac:dyDescent="0.25">
      <c r="A67">
        <v>48</v>
      </c>
      <c r="B67" t="s">
        <v>27</v>
      </c>
      <c r="D67" t="s">
        <v>82</v>
      </c>
      <c r="H67" s="8">
        <f>+H65/H66</f>
        <v>1.028739150353945E-2</v>
      </c>
    </row>
    <row r="68" spans="1:8" x14ac:dyDescent="0.25">
      <c r="A68">
        <v>49</v>
      </c>
      <c r="B68" t="s">
        <v>89</v>
      </c>
      <c r="G68" s="15">
        <v>247453357</v>
      </c>
    </row>
    <row r="69" spans="1:8" x14ac:dyDescent="0.25">
      <c r="A69">
        <v>50</v>
      </c>
      <c r="B69" t="s">
        <v>30</v>
      </c>
      <c r="D69" t="s">
        <v>90</v>
      </c>
      <c r="G69" s="5">
        <f>(+G57-1983424.261)/G68</f>
        <v>2.5355125295791685E-3</v>
      </c>
    </row>
    <row r="72" spans="1:8" x14ac:dyDescent="0.25">
      <c r="G72" s="13"/>
    </row>
  </sheetData>
  <pageMargins left="0.45" right="0.45" top="0.25" bottom="0.25" header="0" footer="0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7"/>
  <sheetViews>
    <sheetView topLeftCell="A29" workbookViewId="0">
      <selection activeCell="G65" sqref="G65"/>
    </sheetView>
  </sheetViews>
  <sheetFormatPr defaultRowHeight="15" x14ac:dyDescent="0.25"/>
  <cols>
    <col min="1" max="1" width="4" customWidth="1"/>
    <col min="2" max="2" width="53.28515625" bestFit="1" customWidth="1"/>
    <col min="3" max="3" width="37" customWidth="1"/>
    <col min="4" max="4" width="16.85546875" bestFit="1" customWidth="1"/>
    <col min="5" max="5" width="4.28515625" customWidth="1"/>
    <col min="6" max="6" width="13.42578125" bestFit="1" customWidth="1"/>
  </cols>
  <sheetData>
    <row r="2" spans="1:6" x14ac:dyDescent="0.25">
      <c r="B2" t="s">
        <v>83</v>
      </c>
    </row>
    <row r="4" spans="1:6" x14ac:dyDescent="0.25">
      <c r="B4" s="1"/>
      <c r="C4" s="1"/>
      <c r="D4" s="1"/>
      <c r="E4" s="1"/>
      <c r="F4" s="10"/>
    </row>
    <row r="5" spans="1:6" x14ac:dyDescent="0.25">
      <c r="B5" s="2" t="s">
        <v>7</v>
      </c>
      <c r="C5" s="1"/>
      <c r="D5" s="3" t="s">
        <v>34</v>
      </c>
      <c r="E5" s="1"/>
      <c r="F5" s="3"/>
    </row>
    <row r="6" spans="1:6" x14ac:dyDescent="0.25">
      <c r="B6" s="1"/>
      <c r="C6" s="1"/>
      <c r="D6" s="11"/>
      <c r="E6" s="1"/>
      <c r="F6" s="11"/>
    </row>
    <row r="7" spans="1:6" x14ac:dyDescent="0.25">
      <c r="A7">
        <v>1</v>
      </c>
      <c r="B7" s="1" t="s">
        <v>40</v>
      </c>
      <c r="C7" s="1" t="s">
        <v>50</v>
      </c>
      <c r="D7" s="21">
        <v>0</v>
      </c>
      <c r="E7" s="21"/>
      <c r="F7" s="11"/>
    </row>
    <row r="8" spans="1:6" x14ac:dyDescent="0.25">
      <c r="A8">
        <v>2</v>
      </c>
      <c r="B8" s="1" t="s">
        <v>41</v>
      </c>
      <c r="C8" s="1" t="s">
        <v>51</v>
      </c>
      <c r="D8" s="21">
        <v>0</v>
      </c>
      <c r="E8" s="21"/>
      <c r="F8" s="11"/>
    </row>
    <row r="9" spans="1:6" x14ac:dyDescent="0.25">
      <c r="A9">
        <v>3</v>
      </c>
      <c r="B9" s="1" t="s">
        <v>42</v>
      </c>
      <c r="C9" s="1" t="s">
        <v>53</v>
      </c>
      <c r="D9" s="21">
        <v>0</v>
      </c>
      <c r="E9" s="21"/>
      <c r="F9" s="11"/>
    </row>
    <row r="10" spans="1:6" x14ac:dyDescent="0.25">
      <c r="A10">
        <v>4</v>
      </c>
      <c r="B10" s="1" t="s">
        <v>43</v>
      </c>
      <c r="C10" s="1" t="s">
        <v>52</v>
      </c>
      <c r="D10" s="21">
        <v>28362.3</v>
      </c>
      <c r="E10" s="21"/>
      <c r="F10" s="11"/>
    </row>
    <row r="11" spans="1:6" x14ac:dyDescent="0.25">
      <c r="A11">
        <v>5</v>
      </c>
      <c r="B11" s="1" t="s">
        <v>44</v>
      </c>
      <c r="C11" s="1" t="s">
        <v>53</v>
      </c>
      <c r="D11" s="21">
        <v>64512.56</v>
      </c>
      <c r="E11" s="21"/>
      <c r="F11" s="11"/>
    </row>
    <row r="12" spans="1:6" x14ac:dyDescent="0.25">
      <c r="A12">
        <v>6</v>
      </c>
      <c r="B12" s="1" t="s">
        <v>45</v>
      </c>
      <c r="C12" s="1" t="s">
        <v>54</v>
      </c>
      <c r="D12" s="21">
        <v>120852.47</v>
      </c>
      <c r="E12" s="21"/>
      <c r="F12" s="11"/>
    </row>
    <row r="13" spans="1:6" x14ac:dyDescent="0.25">
      <c r="A13">
        <v>7</v>
      </c>
      <c r="B13" s="1" t="s">
        <v>46</v>
      </c>
      <c r="C13" s="1" t="s">
        <v>53</v>
      </c>
      <c r="D13" s="21">
        <v>41063.300000000003</v>
      </c>
      <c r="E13" s="21"/>
      <c r="F13" s="11"/>
    </row>
    <row r="14" spans="1:6" x14ac:dyDescent="0.25">
      <c r="A14">
        <v>8</v>
      </c>
      <c r="B14" s="1" t="s">
        <v>47</v>
      </c>
      <c r="C14" s="1" t="s">
        <v>53</v>
      </c>
      <c r="D14" s="21">
        <v>61713.68</v>
      </c>
      <c r="E14" s="21"/>
      <c r="F14" s="11"/>
    </row>
    <row r="15" spans="1:6" x14ac:dyDescent="0.25">
      <c r="A15">
        <v>9</v>
      </c>
      <c r="B15" s="1" t="s">
        <v>48</v>
      </c>
      <c r="C15" s="1" t="s">
        <v>55</v>
      </c>
      <c r="D15" s="21">
        <v>366683.31</v>
      </c>
      <c r="E15" s="21"/>
      <c r="F15" s="11"/>
    </row>
    <row r="16" spans="1:6" x14ac:dyDescent="0.25">
      <c r="A16">
        <v>10</v>
      </c>
      <c r="B16" s="1" t="s">
        <v>59</v>
      </c>
      <c r="C16" s="1" t="s">
        <v>53</v>
      </c>
      <c r="D16" s="21">
        <v>39888.14</v>
      </c>
      <c r="E16" s="21"/>
      <c r="F16" s="11"/>
    </row>
    <row r="17" spans="1:6" x14ac:dyDescent="0.25">
      <c r="A17">
        <v>11</v>
      </c>
      <c r="B17" s="1" t="s">
        <v>60</v>
      </c>
      <c r="C17" s="1" t="s">
        <v>53</v>
      </c>
      <c r="D17" s="21">
        <v>0</v>
      </c>
      <c r="E17" s="21"/>
      <c r="F17" s="11"/>
    </row>
    <row r="18" spans="1:6" x14ac:dyDescent="0.25">
      <c r="A18">
        <v>12</v>
      </c>
      <c r="B18" s="1" t="s">
        <v>61</v>
      </c>
      <c r="C18" s="1" t="s">
        <v>53</v>
      </c>
      <c r="D18" s="21">
        <v>15020.19</v>
      </c>
      <c r="E18" s="21"/>
      <c r="F18" s="11"/>
    </row>
    <row r="19" spans="1:6" x14ac:dyDescent="0.25">
      <c r="A19">
        <v>13</v>
      </c>
      <c r="B19" s="1" t="s">
        <v>62</v>
      </c>
      <c r="C19" s="1" t="s">
        <v>53</v>
      </c>
      <c r="D19" s="21">
        <v>17719.39</v>
      </c>
      <c r="E19" s="21"/>
      <c r="F19" s="11"/>
    </row>
    <row r="20" spans="1:6" x14ac:dyDescent="0.25">
      <c r="A20">
        <v>14</v>
      </c>
      <c r="B20" s="1" t="s">
        <v>63</v>
      </c>
      <c r="C20" s="1" t="s">
        <v>53</v>
      </c>
      <c r="D20" s="21">
        <v>4573.78</v>
      </c>
      <c r="E20" s="21"/>
      <c r="F20" s="11"/>
    </row>
    <row r="21" spans="1:6" x14ac:dyDescent="0.25">
      <c r="A21">
        <v>15</v>
      </c>
      <c r="B21" s="1" t="s">
        <v>64</v>
      </c>
      <c r="C21" s="1" t="s">
        <v>56</v>
      </c>
      <c r="D21" s="21">
        <v>1796130.66</v>
      </c>
      <c r="E21" s="21"/>
      <c r="F21" s="11"/>
    </row>
    <row r="22" spans="1:6" x14ac:dyDescent="0.25">
      <c r="A22">
        <v>16</v>
      </c>
      <c r="B22" s="1" t="s">
        <v>65</v>
      </c>
      <c r="C22" s="1" t="s">
        <v>53</v>
      </c>
      <c r="D22" s="21">
        <v>0</v>
      </c>
      <c r="E22" s="21"/>
      <c r="F22" s="11"/>
    </row>
    <row r="23" spans="1:6" x14ac:dyDescent="0.25">
      <c r="A23">
        <v>17</v>
      </c>
      <c r="B23" s="1" t="s">
        <v>0</v>
      </c>
      <c r="C23" s="1"/>
      <c r="D23" s="21">
        <v>323528.02</v>
      </c>
      <c r="E23" s="21"/>
      <c r="F23" s="11"/>
    </row>
    <row r="24" spans="1:6" x14ac:dyDescent="0.25">
      <c r="A24">
        <v>18</v>
      </c>
      <c r="B24" s="1" t="s">
        <v>39</v>
      </c>
      <c r="C24" s="1" t="s">
        <v>57</v>
      </c>
      <c r="D24" s="21">
        <v>1004091.89</v>
      </c>
      <c r="E24" s="21"/>
      <c r="F24" s="11"/>
    </row>
    <row r="25" spans="1:6" x14ac:dyDescent="0.25">
      <c r="A25">
        <v>19</v>
      </c>
      <c r="B25" s="1" t="s">
        <v>66</v>
      </c>
      <c r="C25" s="1" t="s">
        <v>53</v>
      </c>
      <c r="D25" s="21">
        <v>335377.13</v>
      </c>
      <c r="E25" s="21"/>
      <c r="F25" s="11"/>
    </row>
    <row r="26" spans="1:6" x14ac:dyDescent="0.25">
      <c r="A26">
        <v>20</v>
      </c>
      <c r="B26" s="1" t="s">
        <v>4</v>
      </c>
      <c r="C26" s="1" t="s">
        <v>69</v>
      </c>
      <c r="D26" s="21">
        <v>540696.11</v>
      </c>
      <c r="E26" s="21"/>
      <c r="F26" s="11"/>
    </row>
    <row r="27" spans="1:6" x14ac:dyDescent="0.25">
      <c r="A27">
        <v>21</v>
      </c>
      <c r="B27" s="1" t="s">
        <v>3</v>
      </c>
      <c r="C27" s="1" t="s">
        <v>58</v>
      </c>
      <c r="D27" s="21">
        <v>-28539</v>
      </c>
      <c r="E27" s="21"/>
      <c r="F27" s="11"/>
    </row>
    <row r="28" spans="1:6" x14ac:dyDescent="0.25">
      <c r="A28">
        <v>22</v>
      </c>
      <c r="B28" s="1" t="s">
        <v>1</v>
      </c>
      <c r="C28" s="1" t="s">
        <v>53</v>
      </c>
      <c r="D28" s="21">
        <v>984154.13</v>
      </c>
      <c r="E28" s="21"/>
      <c r="F28" s="11"/>
    </row>
    <row r="29" spans="1:6" x14ac:dyDescent="0.25">
      <c r="A29">
        <v>23</v>
      </c>
      <c r="B29" s="1" t="s">
        <v>67</v>
      </c>
      <c r="C29" s="1" t="s">
        <v>53</v>
      </c>
      <c r="D29" s="21">
        <v>104492.2</v>
      </c>
      <c r="E29" s="21"/>
      <c r="F29" s="11"/>
    </row>
    <row r="30" spans="1:6" x14ac:dyDescent="0.25">
      <c r="B30" s="1" t="s">
        <v>84</v>
      </c>
      <c r="C30" s="1"/>
      <c r="D30" s="21">
        <v>0</v>
      </c>
      <c r="E30" s="21"/>
      <c r="F30" s="11"/>
    </row>
    <row r="31" spans="1:6" ht="15.75" thickBot="1" x14ac:dyDescent="0.3">
      <c r="A31">
        <v>24</v>
      </c>
      <c r="B31" s="1" t="s">
        <v>68</v>
      </c>
      <c r="C31" s="1" t="s">
        <v>53</v>
      </c>
      <c r="D31" s="22">
        <v>0</v>
      </c>
      <c r="E31" s="22"/>
      <c r="F31" s="12"/>
    </row>
    <row r="32" spans="1:6" ht="15.75" thickTop="1" x14ac:dyDescent="0.25">
      <c r="A32">
        <v>25</v>
      </c>
      <c r="B32" s="1" t="s">
        <v>28</v>
      </c>
      <c r="C32" s="1"/>
      <c r="D32" s="11">
        <f>SUM(D7:D31)</f>
        <v>5820320.2600000007</v>
      </c>
      <c r="E32" s="11"/>
      <c r="F32" s="11"/>
    </row>
    <row r="33" spans="1:6" x14ac:dyDescent="0.25">
      <c r="B33" s="1"/>
      <c r="C33" s="1"/>
      <c r="D33" s="11"/>
      <c r="E33" s="1"/>
      <c r="F33" s="1"/>
    </row>
    <row r="34" spans="1:6" ht="18.75" x14ac:dyDescent="0.3">
      <c r="B34" s="1"/>
      <c r="C34" s="1"/>
      <c r="D34" s="1"/>
      <c r="E34" s="1"/>
      <c r="F34" s="7"/>
    </row>
    <row r="35" spans="1:6" ht="18.75" x14ac:dyDescent="0.3">
      <c r="B35" s="1"/>
      <c r="C35" s="1"/>
      <c r="D35" s="1"/>
      <c r="E35" s="1"/>
      <c r="F35" s="6"/>
    </row>
    <row r="36" spans="1:6" x14ac:dyDescent="0.25">
      <c r="B36" s="1"/>
      <c r="C36" s="1"/>
      <c r="D36" s="1"/>
      <c r="E36" s="1"/>
      <c r="F36" s="1"/>
    </row>
    <row r="37" spans="1:6" x14ac:dyDescent="0.25">
      <c r="A37">
        <v>26</v>
      </c>
      <c r="B37" s="9" t="s">
        <v>23</v>
      </c>
      <c r="C37" s="1"/>
      <c r="D37" s="11">
        <f>SUM(F37:P37)</f>
        <v>101213281</v>
      </c>
      <c r="E37" s="11"/>
      <c r="F37" s="11">
        <v>101213281</v>
      </c>
    </row>
    <row r="38" spans="1:6" x14ac:dyDescent="0.25">
      <c r="A38">
        <v>27</v>
      </c>
      <c r="B38" t="s">
        <v>10</v>
      </c>
      <c r="D38" s="4">
        <f>SUM(F38:P38)</f>
        <v>1</v>
      </c>
      <c r="F38" s="4">
        <f>+F37/$D$37</f>
        <v>1</v>
      </c>
    </row>
    <row r="41" spans="1:6" x14ac:dyDescent="0.25">
      <c r="A41">
        <v>28</v>
      </c>
      <c r="B41" t="s">
        <v>11</v>
      </c>
      <c r="C41" t="s">
        <v>70</v>
      </c>
      <c r="D41" s="13">
        <f>+D32</f>
        <v>5820320.2600000007</v>
      </c>
    </row>
    <row r="43" spans="1:6" x14ac:dyDescent="0.25">
      <c r="A43">
        <v>29</v>
      </c>
      <c r="B43" t="s">
        <v>12</v>
      </c>
      <c r="C43" t="s">
        <v>71</v>
      </c>
      <c r="D43" s="14">
        <f>+D41*0.0258</f>
        <v>150164.26270800002</v>
      </c>
      <c r="E43" s="14"/>
      <c r="F43" s="14">
        <f>+D43</f>
        <v>150164.26270800002</v>
      </c>
    </row>
    <row r="44" spans="1:6" x14ac:dyDescent="0.25">
      <c r="A44">
        <v>30</v>
      </c>
      <c r="B44" t="s">
        <v>14</v>
      </c>
      <c r="C44" t="s">
        <v>85</v>
      </c>
      <c r="D44" s="14">
        <f>+D43/2+D43</f>
        <v>225246.39406200004</v>
      </c>
      <c r="E44" s="14"/>
      <c r="F44" s="14"/>
    </row>
    <row r="45" spans="1:6" x14ac:dyDescent="0.25">
      <c r="A45">
        <v>31</v>
      </c>
      <c r="B45" t="s">
        <v>161</v>
      </c>
      <c r="C45" t="s">
        <v>154</v>
      </c>
      <c r="D45" s="14">
        <f>+G65</f>
        <v>3124333.3647673503</v>
      </c>
      <c r="E45" s="14"/>
      <c r="F45" s="14"/>
    </row>
    <row r="46" spans="1:6" x14ac:dyDescent="0.25">
      <c r="A46">
        <v>32</v>
      </c>
      <c r="B46" t="s">
        <v>143</v>
      </c>
      <c r="C46" t="s">
        <v>144</v>
      </c>
      <c r="D46" s="14">
        <f>(+D45-D44)*0.35</f>
        <v>1014680.4397468725</v>
      </c>
      <c r="E46" s="14"/>
      <c r="F46" s="14"/>
    </row>
    <row r="47" spans="1:6" x14ac:dyDescent="0.25">
      <c r="A47">
        <v>33</v>
      </c>
      <c r="B47" t="s">
        <v>158</v>
      </c>
      <c r="D47" s="14"/>
      <c r="E47" s="14"/>
      <c r="F47" s="14">
        <f>+D49*0.03505*0.35</f>
        <v>56189.976355799656</v>
      </c>
    </row>
    <row r="48" spans="1:6" x14ac:dyDescent="0.25">
      <c r="A48">
        <v>34</v>
      </c>
      <c r="B48" t="s">
        <v>19</v>
      </c>
      <c r="C48" t="s">
        <v>75</v>
      </c>
      <c r="D48" s="14"/>
      <c r="E48" s="14"/>
      <c r="F48" s="14">
        <f>+F43*0.35</f>
        <v>52557.491947800008</v>
      </c>
    </row>
    <row r="49" spans="1:7" x14ac:dyDescent="0.25">
      <c r="A49">
        <v>35</v>
      </c>
      <c r="B49" t="s">
        <v>16</v>
      </c>
      <c r="D49" s="14">
        <f>+D32-D46-D44</f>
        <v>4580393.4261911279</v>
      </c>
      <c r="E49" s="14"/>
      <c r="F49" s="14"/>
    </row>
    <row r="50" spans="1:7" x14ac:dyDescent="0.25">
      <c r="A50">
        <v>36</v>
      </c>
      <c r="B50" t="s">
        <v>17</v>
      </c>
      <c r="D50" s="5">
        <v>8.8499999999999995E-2</v>
      </c>
    </row>
    <row r="52" spans="1:7" x14ac:dyDescent="0.25">
      <c r="A52">
        <v>37</v>
      </c>
      <c r="B52" t="s">
        <v>18</v>
      </c>
      <c r="C52" t="s">
        <v>159</v>
      </c>
      <c r="D52" s="15">
        <f>+D49*D50</f>
        <v>405364.81821791478</v>
      </c>
      <c r="E52" s="15"/>
      <c r="F52" s="15">
        <f>+F43-F48-F47</f>
        <v>41416.79440440036</v>
      </c>
    </row>
    <row r="53" spans="1:7" x14ac:dyDescent="0.25">
      <c r="A53">
        <v>38</v>
      </c>
      <c r="B53" t="s">
        <v>20</v>
      </c>
      <c r="C53" t="s">
        <v>160</v>
      </c>
      <c r="D53" s="15"/>
      <c r="E53" s="15"/>
      <c r="F53" s="15">
        <f>+F52+D52</f>
        <v>446781.61262231512</v>
      </c>
    </row>
    <row r="54" spans="1:7" x14ac:dyDescent="0.25">
      <c r="A54">
        <v>39</v>
      </c>
      <c r="B54" t="s">
        <v>33</v>
      </c>
      <c r="F54">
        <v>0.62180250000000004</v>
      </c>
    </row>
    <row r="55" spans="1:7" x14ac:dyDescent="0.25">
      <c r="A55">
        <v>40</v>
      </c>
      <c r="B55" t="s">
        <v>21</v>
      </c>
      <c r="C55" t="s">
        <v>26</v>
      </c>
      <c r="F55" s="16">
        <f>+F53/F54</f>
        <v>718526.56208734296</v>
      </c>
    </row>
    <row r="56" spans="1:7" x14ac:dyDescent="0.25">
      <c r="F56" s="15"/>
    </row>
    <row r="57" spans="1:7" x14ac:dyDescent="0.25">
      <c r="F57" s="15"/>
    </row>
    <row r="58" spans="1:7" x14ac:dyDescent="0.25">
      <c r="F58" s="14"/>
    </row>
    <row r="59" spans="1:7" x14ac:dyDescent="0.25">
      <c r="F59" s="14"/>
      <c r="G59" s="39" t="s">
        <v>153</v>
      </c>
    </row>
    <row r="60" spans="1:7" x14ac:dyDescent="0.25">
      <c r="F60" s="14"/>
    </row>
    <row r="61" spans="1:7" x14ac:dyDescent="0.25">
      <c r="B61" s="39"/>
      <c r="C61" s="39" t="s">
        <v>163</v>
      </c>
      <c r="D61" s="39"/>
      <c r="E61" s="39"/>
      <c r="F61" s="40">
        <f>+D41/2</f>
        <v>2910160.1300000004</v>
      </c>
      <c r="G61" s="40">
        <f>+F61</f>
        <v>2910160.1300000004</v>
      </c>
    </row>
    <row r="62" spans="1:7" x14ac:dyDescent="0.25">
      <c r="B62" s="39" t="s">
        <v>149</v>
      </c>
      <c r="C62" s="39" t="s">
        <v>150</v>
      </c>
      <c r="D62" s="37">
        <v>3.7499999999999999E-2</v>
      </c>
      <c r="E62" s="39"/>
      <c r="F62" s="40">
        <f>+F61*D62</f>
        <v>109131.00487500001</v>
      </c>
      <c r="G62" s="40">
        <f>+F62</f>
        <v>109131.00487500001</v>
      </c>
    </row>
    <row r="63" spans="1:7" x14ac:dyDescent="0.25">
      <c r="B63" s="39"/>
      <c r="C63" s="39" t="s">
        <v>151</v>
      </c>
      <c r="D63" s="37">
        <v>7.2190000000000004E-2</v>
      </c>
      <c r="E63" s="39"/>
      <c r="F63" s="40">
        <f>+F61*D63</f>
        <v>210084.45978470004</v>
      </c>
      <c r="G63" s="40">
        <f>+F63/2</f>
        <v>105042.22989235002</v>
      </c>
    </row>
    <row r="64" spans="1:7" x14ac:dyDescent="0.25">
      <c r="B64" s="39"/>
      <c r="C64" s="39"/>
      <c r="D64" s="39"/>
      <c r="E64" s="39"/>
      <c r="F64" s="40"/>
      <c r="G64" s="40"/>
    </row>
    <row r="65" spans="2:7" x14ac:dyDescent="0.25">
      <c r="B65" s="39"/>
      <c r="C65" s="39"/>
      <c r="D65" s="39"/>
      <c r="E65" s="39"/>
      <c r="F65" s="40"/>
      <c r="G65" s="40">
        <f>+G62+G63+G61</f>
        <v>3124333.3647673503</v>
      </c>
    </row>
    <row r="66" spans="2:7" x14ac:dyDescent="0.25">
      <c r="B66" s="39"/>
      <c r="C66" s="39"/>
      <c r="D66" s="39"/>
      <c r="E66" s="39"/>
      <c r="F66" s="39"/>
      <c r="G66" s="39"/>
    </row>
    <row r="67" spans="2:7" x14ac:dyDescent="0.25">
      <c r="F67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5"/>
  <sheetViews>
    <sheetView topLeftCell="A17" workbookViewId="0">
      <selection activeCell="F51" sqref="F51:G51"/>
    </sheetView>
  </sheetViews>
  <sheetFormatPr defaultRowHeight="15" x14ac:dyDescent="0.25"/>
  <cols>
    <col min="1" max="1" width="3" bestFit="1" customWidth="1"/>
    <col min="2" max="2" width="53.28515625" bestFit="1" customWidth="1"/>
    <col min="3" max="3" width="36" bestFit="1" customWidth="1"/>
    <col min="4" max="4" width="18.85546875" bestFit="1" customWidth="1"/>
    <col min="5" max="5" width="4.42578125" customWidth="1"/>
    <col min="6" max="6" width="13.42578125" bestFit="1" customWidth="1"/>
  </cols>
  <sheetData>
    <row r="2" spans="1:6" x14ac:dyDescent="0.25">
      <c r="B2" t="s">
        <v>38</v>
      </c>
    </row>
    <row r="4" spans="1:6" x14ac:dyDescent="0.25">
      <c r="B4" s="1"/>
      <c r="C4" s="1"/>
      <c r="D4" s="1"/>
      <c r="E4" s="1"/>
      <c r="F4" s="10"/>
    </row>
    <row r="5" spans="1:6" x14ac:dyDescent="0.25">
      <c r="B5" s="2" t="s">
        <v>7</v>
      </c>
      <c r="C5" s="1"/>
      <c r="D5" s="3" t="s">
        <v>34</v>
      </c>
      <c r="E5" s="1"/>
      <c r="F5" s="3"/>
    </row>
    <row r="6" spans="1:6" x14ac:dyDescent="0.25">
      <c r="A6">
        <v>1</v>
      </c>
      <c r="B6" s="1" t="s">
        <v>0</v>
      </c>
      <c r="C6" s="1"/>
      <c r="D6" s="11">
        <v>1346902.43</v>
      </c>
      <c r="E6" s="1"/>
      <c r="F6" s="11"/>
    </row>
    <row r="7" spans="1:6" x14ac:dyDescent="0.25">
      <c r="A7">
        <v>2</v>
      </c>
      <c r="B7" s="1" t="s">
        <v>1</v>
      </c>
      <c r="C7" s="1"/>
      <c r="D7" s="11">
        <v>0</v>
      </c>
      <c r="E7" s="1"/>
      <c r="F7" s="11"/>
    </row>
    <row r="8" spans="1:6" x14ac:dyDescent="0.25">
      <c r="A8">
        <v>3</v>
      </c>
      <c r="B8" s="1" t="s">
        <v>2</v>
      </c>
      <c r="C8" s="1"/>
      <c r="D8" s="11">
        <v>0</v>
      </c>
      <c r="E8" s="1"/>
      <c r="F8" s="11"/>
    </row>
    <row r="9" spans="1:6" x14ac:dyDescent="0.25">
      <c r="A9">
        <v>4</v>
      </c>
      <c r="B9" s="1" t="s">
        <v>3</v>
      </c>
      <c r="C9" s="1"/>
      <c r="D9" s="11">
        <f>1366043.56+638066.62+145589.16+19228.1+18744.2+70576.59+447260.75+18892.54+73928.65+4637.67+1887.71+5663.1+24852.56</f>
        <v>2835371.2100000004</v>
      </c>
      <c r="E9" s="1"/>
      <c r="F9" s="11"/>
    </row>
    <row r="10" spans="1:6" x14ac:dyDescent="0.25">
      <c r="A10">
        <v>5</v>
      </c>
      <c r="B10" s="1" t="s">
        <v>4</v>
      </c>
      <c r="C10" s="1"/>
      <c r="D10" s="11">
        <f>1170380.26+25511.06+276752.14</f>
        <v>1472643.46</v>
      </c>
      <c r="E10" s="1"/>
      <c r="F10" s="11"/>
    </row>
    <row r="11" spans="1:6" x14ac:dyDescent="0.25">
      <c r="A11">
        <v>6</v>
      </c>
      <c r="B11" s="1" t="s">
        <v>5</v>
      </c>
      <c r="C11" s="1"/>
      <c r="D11" s="11">
        <v>594240.48</v>
      </c>
      <c r="E11" s="1"/>
      <c r="F11" s="11"/>
    </row>
    <row r="12" spans="1:6" ht="15.75" thickBot="1" x14ac:dyDescent="0.3">
      <c r="A12">
        <v>7</v>
      </c>
      <c r="B12" s="1" t="s">
        <v>6</v>
      </c>
      <c r="C12" s="1"/>
      <c r="D12" s="12">
        <v>0</v>
      </c>
      <c r="E12" s="1"/>
      <c r="F12" s="12"/>
    </row>
    <row r="13" spans="1:6" x14ac:dyDescent="0.25">
      <c r="A13">
        <v>8</v>
      </c>
      <c r="B13" s="1" t="s">
        <v>28</v>
      </c>
      <c r="C13" s="1"/>
      <c r="D13" s="11">
        <f>SUM(D6:D12)</f>
        <v>6249157.5800000001</v>
      </c>
      <c r="E13" s="1"/>
      <c r="F13" s="11"/>
    </row>
    <row r="14" spans="1:6" x14ac:dyDescent="0.25">
      <c r="B14" s="1"/>
      <c r="C14" s="1"/>
      <c r="D14" s="11"/>
      <c r="E14" s="1"/>
      <c r="F14" s="1"/>
    </row>
    <row r="15" spans="1:6" ht="18.75" x14ac:dyDescent="0.3">
      <c r="B15" s="1"/>
      <c r="C15" s="1"/>
      <c r="D15" s="1"/>
      <c r="E15" s="1"/>
      <c r="F15" s="7"/>
    </row>
    <row r="16" spans="1:6" ht="18.75" x14ac:dyDescent="0.3">
      <c r="B16" s="1"/>
      <c r="C16" s="1"/>
      <c r="D16" s="1"/>
      <c r="E16" s="1"/>
      <c r="F16" s="6"/>
    </row>
    <row r="17" spans="1:6" x14ac:dyDescent="0.25">
      <c r="B17" s="1"/>
      <c r="C17" s="1"/>
      <c r="D17" s="1"/>
      <c r="E17" s="1"/>
      <c r="F17" s="1"/>
    </row>
    <row r="18" spans="1:6" x14ac:dyDescent="0.25">
      <c r="A18">
        <v>9</v>
      </c>
      <c r="B18" s="9" t="s">
        <v>23</v>
      </c>
      <c r="C18" s="1"/>
      <c r="D18" s="11">
        <f>SUM(F18:P18)</f>
        <v>101213281</v>
      </c>
      <c r="E18" s="11"/>
      <c r="F18" s="11">
        <v>101213281</v>
      </c>
    </row>
    <row r="19" spans="1:6" x14ac:dyDescent="0.25">
      <c r="A19">
        <v>10</v>
      </c>
      <c r="B19" t="s">
        <v>10</v>
      </c>
      <c r="D19" s="4">
        <f>SUM(F19:P19)</f>
        <v>1</v>
      </c>
      <c r="F19" s="4">
        <f>+F18/$D$18</f>
        <v>1</v>
      </c>
    </row>
    <row r="22" spans="1:6" x14ac:dyDescent="0.25">
      <c r="A22">
        <v>11</v>
      </c>
      <c r="B22" t="s">
        <v>11</v>
      </c>
      <c r="C22" t="s">
        <v>86</v>
      </c>
      <c r="D22" s="13">
        <f>+D13</f>
        <v>6249157.5800000001</v>
      </c>
    </row>
    <row r="24" spans="1:6" x14ac:dyDescent="0.25">
      <c r="A24">
        <v>12</v>
      </c>
      <c r="B24" t="s">
        <v>12</v>
      </c>
      <c r="C24" t="s">
        <v>24</v>
      </c>
      <c r="D24" s="14">
        <f>+D22*0.0258</f>
        <v>161228.265564</v>
      </c>
      <c r="E24" s="14"/>
      <c r="F24" s="14">
        <f>+D24</f>
        <v>161228.265564</v>
      </c>
    </row>
    <row r="25" spans="1:6" x14ac:dyDescent="0.25">
      <c r="A25">
        <v>13</v>
      </c>
      <c r="B25" t="s">
        <v>14</v>
      </c>
      <c r="C25" t="s">
        <v>87</v>
      </c>
      <c r="D25" s="14">
        <f>+D24/2+D24+D24</f>
        <v>403070.66391</v>
      </c>
      <c r="E25" s="14"/>
      <c r="F25" s="14"/>
    </row>
    <row r="26" spans="1:6" x14ac:dyDescent="0.25">
      <c r="A26">
        <v>14</v>
      </c>
      <c r="B26" t="s">
        <v>145</v>
      </c>
      <c r="C26" t="s">
        <v>154</v>
      </c>
      <c r="D26" s="14">
        <f>+G55</f>
        <v>3573080.8295165999</v>
      </c>
      <c r="E26" s="14"/>
      <c r="F26" s="14"/>
    </row>
    <row r="27" spans="1:6" x14ac:dyDescent="0.25">
      <c r="A27">
        <v>15</v>
      </c>
      <c r="B27" t="s">
        <v>13</v>
      </c>
      <c r="C27" t="s">
        <v>155</v>
      </c>
      <c r="D27" s="14">
        <f>(+D26-D25)*0.35</f>
        <v>1109503.5579623098</v>
      </c>
      <c r="E27" s="14"/>
      <c r="F27" s="14"/>
    </row>
    <row r="28" spans="1:6" x14ac:dyDescent="0.25">
      <c r="A28">
        <v>16</v>
      </c>
      <c r="B28" t="s">
        <v>156</v>
      </c>
      <c r="D28" s="14"/>
      <c r="E28" s="14"/>
      <c r="F28" s="14">
        <f>+D30*0.03505*0.35</f>
        <v>58106.036345831439</v>
      </c>
    </row>
    <row r="29" spans="1:6" x14ac:dyDescent="0.25">
      <c r="A29">
        <v>17</v>
      </c>
      <c r="B29" t="s">
        <v>19</v>
      </c>
      <c r="C29" t="s">
        <v>25</v>
      </c>
      <c r="D29" s="14"/>
      <c r="E29" s="14"/>
      <c r="F29" s="14">
        <f>+F24*0.35</f>
        <v>56429.892947399996</v>
      </c>
    </row>
    <row r="30" spans="1:6" x14ac:dyDescent="0.25">
      <c r="A30">
        <v>18</v>
      </c>
      <c r="B30" t="s">
        <v>16</v>
      </c>
      <c r="D30" s="14">
        <f>+D13-D27-D25</f>
        <v>4736583.3581276909</v>
      </c>
      <c r="E30" s="14"/>
      <c r="F30" s="14"/>
    </row>
    <row r="31" spans="1:6" x14ac:dyDescent="0.25">
      <c r="A31">
        <v>19</v>
      </c>
      <c r="B31" t="s">
        <v>17</v>
      </c>
      <c r="D31" s="5">
        <v>8.8499999999999995E-2</v>
      </c>
    </row>
    <row r="33" spans="1:6" x14ac:dyDescent="0.25">
      <c r="A33">
        <v>20</v>
      </c>
      <c r="B33" t="s">
        <v>18</v>
      </c>
      <c r="C33" t="s">
        <v>157</v>
      </c>
      <c r="D33" s="15">
        <f>+D30*D31</f>
        <v>419187.62719430064</v>
      </c>
      <c r="E33" s="15"/>
      <c r="F33" s="15">
        <f>+F24-F29</f>
        <v>104798.37261660001</v>
      </c>
    </row>
    <row r="34" spans="1:6" x14ac:dyDescent="0.25">
      <c r="A34">
        <v>21</v>
      </c>
      <c r="B34" t="s">
        <v>20</v>
      </c>
      <c r="C34" t="s">
        <v>157</v>
      </c>
      <c r="D34" s="15"/>
      <c r="E34" s="15"/>
      <c r="F34" s="15">
        <f>+F33+D33</f>
        <v>523985.99981090066</v>
      </c>
    </row>
    <row r="35" spans="1:6" x14ac:dyDescent="0.25">
      <c r="A35">
        <v>22</v>
      </c>
      <c r="B35" t="s">
        <v>33</v>
      </c>
      <c r="F35">
        <v>0.62180250000000004</v>
      </c>
    </row>
    <row r="36" spans="1:6" x14ac:dyDescent="0.25">
      <c r="A36">
        <v>23</v>
      </c>
      <c r="B36" t="s">
        <v>21</v>
      </c>
      <c r="C36" t="s">
        <v>26</v>
      </c>
      <c r="F36" s="16">
        <f>+F34/F35</f>
        <v>842688.79557560582</v>
      </c>
    </row>
    <row r="37" spans="1:6" x14ac:dyDescent="0.25">
      <c r="F37" s="15"/>
    </row>
    <row r="38" spans="1:6" x14ac:dyDescent="0.25">
      <c r="F38" s="15"/>
    </row>
    <row r="39" spans="1:6" x14ac:dyDescent="0.25">
      <c r="F39" s="14"/>
    </row>
    <row r="40" spans="1:6" x14ac:dyDescent="0.25">
      <c r="F40" s="14"/>
    </row>
    <row r="41" spans="1:6" x14ac:dyDescent="0.25">
      <c r="F41" s="14"/>
    </row>
    <row r="42" spans="1:6" x14ac:dyDescent="0.25">
      <c r="F42" s="8"/>
    </row>
    <row r="47" spans="1:6" x14ac:dyDescent="0.25">
      <c r="F47" s="15"/>
    </row>
    <row r="48" spans="1:6" x14ac:dyDescent="0.25">
      <c r="F48" s="5"/>
    </row>
    <row r="49" spans="2:7" x14ac:dyDescent="0.25">
      <c r="G49" t="s">
        <v>153</v>
      </c>
    </row>
    <row r="51" spans="2:7" x14ac:dyDescent="0.25">
      <c r="D51" t="s">
        <v>163</v>
      </c>
      <c r="F51" s="40">
        <f>+D22/2</f>
        <v>3124578.79</v>
      </c>
      <c r="G51" s="40">
        <f>+F51</f>
        <v>3124578.79</v>
      </c>
    </row>
    <row r="52" spans="2:7" x14ac:dyDescent="0.25">
      <c r="B52" t="s">
        <v>149</v>
      </c>
      <c r="C52" t="s">
        <v>150</v>
      </c>
      <c r="D52" s="37">
        <v>3.7499999999999999E-2</v>
      </c>
      <c r="F52" s="40">
        <f>+F51*D52</f>
        <v>117171.704625</v>
      </c>
      <c r="G52" s="40">
        <f>+F52</f>
        <v>117171.704625</v>
      </c>
    </row>
    <row r="53" spans="2:7" x14ac:dyDescent="0.25">
      <c r="C53" t="s">
        <v>151</v>
      </c>
      <c r="D53" s="37">
        <v>7.2190000000000004E-2</v>
      </c>
      <c r="F53" s="40">
        <f>+F51*D53</f>
        <v>225563.34285010002</v>
      </c>
      <c r="G53" s="40">
        <f>+F53</f>
        <v>225563.34285010002</v>
      </c>
    </row>
    <row r="54" spans="2:7" x14ac:dyDescent="0.25">
      <c r="C54" t="s">
        <v>152</v>
      </c>
      <c r="D54" s="37">
        <v>6.7699999999999996E-2</v>
      </c>
      <c r="F54" s="40">
        <f>+F51*D54</f>
        <v>211533.98408299999</v>
      </c>
      <c r="G54" s="40">
        <f>+F54/2</f>
        <v>105766.99204149999</v>
      </c>
    </row>
    <row r="55" spans="2:7" x14ac:dyDescent="0.25">
      <c r="F55" s="40"/>
      <c r="G55" s="40">
        <f>+G52+G53+G54+G51</f>
        <v>3573080.8295165999</v>
      </c>
    </row>
  </sheetData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2015-05-29T07:00:00+00:00</OpenedDate>
    <Date1 xmlns="dc463f71-b30c-4ab2-9473-d307f9d35888">2015-10-15T07:00:00+00:00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151155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6FF62A26C6DB044AD96927F5678FBB9" ma:contentTypeVersion="119" ma:contentTypeDescription="" ma:contentTypeScope="" ma:versionID="8bd990422a45317b31f5cc8c9151f39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1DB2CA-0421-4239-A977-D8EBD72F636D}"/>
</file>

<file path=customXml/itemProps2.xml><?xml version="1.0" encoding="utf-8"?>
<ds:datastoreItem xmlns:ds="http://schemas.openxmlformats.org/officeDocument/2006/customXml" ds:itemID="{FA16FE33-D097-4DF9-ADF7-47AB9802D01E}"/>
</file>

<file path=customXml/itemProps3.xml><?xml version="1.0" encoding="utf-8"?>
<ds:datastoreItem xmlns:ds="http://schemas.openxmlformats.org/officeDocument/2006/customXml" ds:itemID="{B30354EE-BA4B-4F23-8332-354DE27FC60E}"/>
</file>

<file path=customXml/itemProps4.xml><?xml version="1.0" encoding="utf-8"?>
<ds:datastoreItem xmlns:ds="http://schemas.openxmlformats.org/officeDocument/2006/customXml" ds:itemID="{96B95393-E296-4396-BFDB-E342EA2828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 Rate Calculation</vt:lpstr>
      <vt:lpstr>UG-141202</vt:lpstr>
      <vt:lpstr>UG-131359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michael.parvinen</dc:creator>
  <cp:lastModifiedBy>Cascade Natural Gas</cp:lastModifiedBy>
  <cp:lastPrinted>2015-05-29T18:26:07Z</cp:lastPrinted>
  <dcterms:created xsi:type="dcterms:W3CDTF">2013-05-14T16:54:39Z</dcterms:created>
  <dcterms:modified xsi:type="dcterms:W3CDTF">2015-10-14T18:14:33Z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0x0101006E56B4D1795A2E4DB2F0B01679ED314A0046FF62A26C6DB044AD96927F5678FBB9</vt:lpwstr>
  </property>
  <property fmtid="{D5CDD505-2E9C-101B-9397-08002B2CF9AE}" pid="3" name="_docset_NoMedatataSyncRequired">
    <vt:lpwstr>False</vt:lpwstr>
  </property>
</Properties>
</file>