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1560" windowWidth="15480" windowHeight="11640" firstSheet="13" activeTab="13"/>
  </bookViews>
  <sheets>
    <sheet name="Norm-Detail 2-28" sheetId="86" r:id="rId1"/>
    <sheet name="Norm 2-28 50% Refund" sheetId="87" r:id="rId2"/>
    <sheet name="Norm-Detail 3-31" sheetId="88" r:id="rId3"/>
    <sheet name="Norm 3-31 50% Refund" sheetId="89" r:id="rId4"/>
    <sheet name="Norm-Detail 4-30" sheetId="8" r:id="rId5"/>
    <sheet name="Norm 4-30 50% Refund" sheetId="9" r:id="rId6"/>
    <sheet name="Norm-Detail 8-31" sheetId="90" r:id="rId7"/>
    <sheet name="Norm 8-31 50% Refund" sheetId="91" r:id="rId8"/>
    <sheet name="Norm-Detail 10-31" sheetId="69" r:id="rId9"/>
    <sheet name="Norm 10-31 50% Refund" sheetId="70" r:id="rId10"/>
    <sheet name="Norm-Detail 11-30" sheetId="94" r:id="rId11"/>
    <sheet name="Norm 11-30 50% Refund" sheetId="95" r:id="rId12"/>
    <sheet name="Norm-Detail 12-31" sheetId="92" r:id="rId13"/>
    <sheet name="Norm 12-31 50% Refund" sheetId="93" r:id="rId14"/>
    <sheet name="Rate Calculation" sheetId="61" r:id="rId15"/>
    <sheet name="Norm Corp Allocation 2014" sheetId="77" r:id="rId16"/>
    <sheet name="Norm 12-31 P&amp;L" sheetId="68" r:id="rId17"/>
    <sheet name="Richland Corp Allocation" sheetId="32" r:id="rId18"/>
    <sheet name="LLRW Richland 12-31 P&amp;L" sheetId="6" r:id="rId19"/>
  </sheets>
  <calcPr calcId="145621"/>
</workbook>
</file>

<file path=xl/calcChain.xml><?xml version="1.0" encoding="utf-8"?>
<calcChain xmlns="http://schemas.openxmlformats.org/spreadsheetml/2006/main">
  <c r="F13" i="61" l="1"/>
  <c r="B47" i="92"/>
  <c r="B19" i="77"/>
  <c r="B42" i="92"/>
  <c r="B41" i="92" l="1"/>
  <c r="B35" i="92"/>
  <c r="B21" i="92"/>
  <c r="B42" i="94"/>
  <c r="D42" i="94" s="1"/>
  <c r="B38" i="94"/>
  <c r="B37" i="94"/>
  <c r="B36" i="94"/>
  <c r="B30" i="94"/>
  <c r="B26" i="94"/>
  <c r="D25" i="94"/>
  <c r="B20" i="94"/>
  <c r="D20" i="94" s="1"/>
  <c r="B16" i="94"/>
  <c r="B14" i="94"/>
  <c r="B24" i="94" s="1"/>
  <c r="D24" i="94" s="1"/>
  <c r="D6" i="94"/>
  <c r="D14" i="94" s="1"/>
  <c r="D16" i="94" s="1"/>
  <c r="D37" i="94" l="1"/>
  <c r="C37" i="94"/>
  <c r="C35" i="94"/>
  <c r="D35" i="94" s="1"/>
  <c r="C34" i="94"/>
  <c r="D34" i="94" s="1"/>
  <c r="C33" i="94"/>
  <c r="D33" i="94" s="1"/>
  <c r="C32" i="94"/>
  <c r="D32" i="94" s="1"/>
  <c r="C31" i="94"/>
  <c r="D31" i="94" s="1"/>
  <c r="C30" i="94"/>
  <c r="D30" i="94" s="1"/>
  <c r="C26" i="94"/>
  <c r="C21" i="94"/>
  <c r="D21" i="94" s="1"/>
  <c r="C39" i="94"/>
  <c r="D39" i="94" s="1"/>
  <c r="C38" i="94"/>
  <c r="D38" i="94" s="1"/>
  <c r="C36" i="94"/>
  <c r="C29" i="94"/>
  <c r="D29" i="94" s="1"/>
  <c r="D26" i="94"/>
  <c r="D36" i="94"/>
  <c r="B22" i="94"/>
  <c r="D22" i="94" s="1"/>
  <c r="B23" i="94"/>
  <c r="D23" i="94" s="1"/>
  <c r="D47" i="92"/>
  <c r="F19" i="93" s="1"/>
  <c r="F19" i="68" s="1"/>
  <c r="B31" i="92"/>
  <c r="D30" i="92"/>
  <c r="B25" i="92"/>
  <c r="D25" i="92" s="1"/>
  <c r="B19" i="92"/>
  <c r="B29" i="92" s="1"/>
  <c r="D29" i="92" s="1"/>
  <c r="D6" i="92"/>
  <c r="D19" i="92" s="1"/>
  <c r="D21" i="92" s="1"/>
  <c r="D27" i="94" l="1"/>
  <c r="D40" i="94"/>
  <c r="F8" i="93"/>
  <c r="F8" i="68" s="1"/>
  <c r="C41" i="92"/>
  <c r="D41" i="92" s="1"/>
  <c r="C26" i="92"/>
  <c r="D26" i="92" s="1"/>
  <c r="C44" i="92"/>
  <c r="D44" i="92" s="1"/>
  <c r="C43" i="92"/>
  <c r="D43" i="92" s="1"/>
  <c r="C42" i="92"/>
  <c r="D42" i="92" s="1"/>
  <c r="C40" i="92"/>
  <c r="D40" i="92" s="1"/>
  <c r="C39" i="92"/>
  <c r="D39" i="92" s="1"/>
  <c r="C38" i="92"/>
  <c r="D38" i="92" s="1"/>
  <c r="C37" i="92"/>
  <c r="D37" i="92" s="1"/>
  <c r="C36" i="92"/>
  <c r="D36" i="92" s="1"/>
  <c r="C35" i="92"/>
  <c r="D35" i="92" s="1"/>
  <c r="C34" i="92"/>
  <c r="D34" i="92" s="1"/>
  <c r="C31" i="92"/>
  <c r="D31" i="92" s="1"/>
  <c r="B27" i="92"/>
  <c r="D27" i="92" s="1"/>
  <c r="B28" i="92"/>
  <c r="D28" i="92" s="1"/>
  <c r="B37" i="69"/>
  <c r="B42" i="69"/>
  <c r="B36" i="69"/>
  <c r="B16" i="69"/>
  <c r="F12" i="91"/>
  <c r="F16" i="91" s="1"/>
  <c r="F21" i="91" s="1"/>
  <c r="F23" i="91" s="1"/>
  <c r="B42" i="90"/>
  <c r="D42" i="90" s="1"/>
  <c r="B37" i="90"/>
  <c r="B36" i="90"/>
  <c r="B26" i="90"/>
  <c r="D25" i="90"/>
  <c r="B20" i="90"/>
  <c r="D20" i="90" s="1"/>
  <c r="B16" i="90"/>
  <c r="B14" i="90"/>
  <c r="B24" i="90" s="1"/>
  <c r="D24" i="90" s="1"/>
  <c r="D6" i="90"/>
  <c r="D14" i="90" s="1"/>
  <c r="D16" i="90" s="1"/>
  <c r="B26" i="69"/>
  <c r="B26" i="8"/>
  <c r="B20" i="69"/>
  <c r="D6" i="69"/>
  <c r="B37" i="8"/>
  <c r="D32" i="92" l="1"/>
  <c r="F10" i="93" s="1"/>
  <c r="D45" i="92"/>
  <c r="F14" i="93" s="1"/>
  <c r="F14" i="68" s="1"/>
  <c r="E36" i="91"/>
  <c r="C36" i="91"/>
  <c r="F37" i="91"/>
  <c r="D36" i="91"/>
  <c r="B36" i="91"/>
  <c r="C36" i="90"/>
  <c r="D36" i="90" s="1"/>
  <c r="C26" i="90"/>
  <c r="D26" i="90" s="1"/>
  <c r="C21" i="90"/>
  <c r="D21" i="90" s="1"/>
  <c r="C39" i="90"/>
  <c r="D39" i="90" s="1"/>
  <c r="C38" i="90"/>
  <c r="D38" i="90" s="1"/>
  <c r="C37" i="90"/>
  <c r="C35" i="90"/>
  <c r="D35" i="90" s="1"/>
  <c r="C34" i="90"/>
  <c r="D34" i="90" s="1"/>
  <c r="C33" i="90"/>
  <c r="D33" i="90" s="1"/>
  <c r="C32" i="90"/>
  <c r="D32" i="90" s="1"/>
  <c r="C31" i="90"/>
  <c r="D31" i="90" s="1"/>
  <c r="C30" i="90"/>
  <c r="D30" i="90" s="1"/>
  <c r="C29" i="90"/>
  <c r="D29" i="90" s="1"/>
  <c r="D37" i="90"/>
  <c r="B22" i="90"/>
  <c r="D22" i="90" s="1"/>
  <c r="B23" i="90"/>
  <c r="D23" i="90" s="1"/>
  <c r="B42" i="8"/>
  <c r="B30" i="8"/>
  <c r="D27" i="90" l="1"/>
  <c r="F12" i="93"/>
  <c r="F10" i="68"/>
  <c r="F12" i="68" s="1"/>
  <c r="F16" i="93"/>
  <c r="F41" i="91"/>
  <c r="F24" i="91"/>
  <c r="F29" i="91" s="1"/>
  <c r="F39" i="91"/>
  <c r="D40" i="90"/>
  <c r="B36" i="8"/>
  <c r="B20" i="8"/>
  <c r="F21" i="93" l="1"/>
  <c r="F23" i="93" s="1"/>
  <c r="B16" i="8"/>
  <c r="F37" i="89"/>
  <c r="F32" i="89"/>
  <c r="B40" i="88"/>
  <c r="D40" i="88" s="1"/>
  <c r="B35" i="88"/>
  <c r="B34" i="88"/>
  <c r="B24" i="88"/>
  <c r="D23" i="88"/>
  <c r="D18" i="88"/>
  <c r="B14" i="88"/>
  <c r="B12" i="88"/>
  <c r="B22" i="88" s="1"/>
  <c r="D22" i="88" s="1"/>
  <c r="D6" i="88"/>
  <c r="D12" i="88" s="1"/>
  <c r="D14" i="88" l="1"/>
  <c r="E36" i="93"/>
  <c r="F36" i="93"/>
  <c r="D37" i="93"/>
  <c r="B37" i="93"/>
  <c r="C36" i="93"/>
  <c r="E32" i="89"/>
  <c r="C32" i="89"/>
  <c r="D32" i="89"/>
  <c r="B32" i="89"/>
  <c r="C34" i="88"/>
  <c r="D34" i="88" s="1"/>
  <c r="C24" i="88"/>
  <c r="C19" i="88"/>
  <c r="D19" i="88" s="1"/>
  <c r="C37" i="88"/>
  <c r="D37" i="88" s="1"/>
  <c r="C36" i="88"/>
  <c r="D36" i="88" s="1"/>
  <c r="C35" i="88"/>
  <c r="D35" i="88" s="1"/>
  <c r="C33" i="88"/>
  <c r="D33" i="88" s="1"/>
  <c r="C32" i="88"/>
  <c r="D32" i="88" s="1"/>
  <c r="C31" i="88"/>
  <c r="D31" i="88" s="1"/>
  <c r="C30" i="88"/>
  <c r="D30" i="88" s="1"/>
  <c r="C29" i="88"/>
  <c r="D29" i="88" s="1"/>
  <c r="C28" i="88"/>
  <c r="D28" i="88" s="1"/>
  <c r="C27" i="88"/>
  <c r="D27" i="88" s="1"/>
  <c r="D24" i="88"/>
  <c r="B20" i="88"/>
  <c r="D20" i="88" s="1"/>
  <c r="B21" i="88"/>
  <c r="D21" i="88" s="1"/>
  <c r="B36" i="86"/>
  <c r="D36" i="86" s="1"/>
  <c r="B31" i="86"/>
  <c r="B30" i="86"/>
  <c r="B20" i="86"/>
  <c r="D19" i="86"/>
  <c r="D14" i="86"/>
  <c r="B10" i="86"/>
  <c r="B8" i="86"/>
  <c r="B18" i="86" s="1"/>
  <c r="D18" i="86" s="1"/>
  <c r="D6" i="86"/>
  <c r="D8" i="86" s="1"/>
  <c r="D6" i="8"/>
  <c r="D10" i="86" l="1"/>
  <c r="B16" i="86"/>
  <c r="D16" i="86" s="1"/>
  <c r="F35" i="89"/>
  <c r="F39" i="93"/>
  <c r="D25" i="88"/>
  <c r="F41" i="93"/>
  <c r="F24" i="93" s="1"/>
  <c r="F25" i="93" s="1"/>
  <c r="F31" i="93" s="1"/>
  <c r="D38" i="88"/>
  <c r="D30" i="87"/>
  <c r="B30" i="87"/>
  <c r="E30" i="87"/>
  <c r="C30" i="87"/>
  <c r="C30" i="86"/>
  <c r="D30" i="86" s="1"/>
  <c r="C20" i="86"/>
  <c r="C15" i="86"/>
  <c r="D15" i="86" s="1"/>
  <c r="C33" i="86"/>
  <c r="D33" i="86" s="1"/>
  <c r="C32" i="86"/>
  <c r="D32" i="86" s="1"/>
  <c r="C31" i="86"/>
  <c r="C29" i="86"/>
  <c r="D29" i="86" s="1"/>
  <c r="C28" i="86"/>
  <c r="D28" i="86" s="1"/>
  <c r="C27" i="86"/>
  <c r="D27" i="86" s="1"/>
  <c r="C26" i="86"/>
  <c r="D26" i="86" s="1"/>
  <c r="C25" i="86"/>
  <c r="D25" i="86" s="1"/>
  <c r="C24" i="86"/>
  <c r="D24" i="86" s="1"/>
  <c r="C23" i="86"/>
  <c r="D23" i="86" s="1"/>
  <c r="D20" i="86"/>
  <c r="D31" i="86"/>
  <c r="B17" i="86"/>
  <c r="D17" i="86" s="1"/>
  <c r="F16" i="68"/>
  <c r="F21" i="68" s="1"/>
  <c r="D21" i="86" l="1"/>
  <c r="D34" i="86"/>
  <c r="D42" i="69" l="1"/>
  <c r="F19" i="70" s="1"/>
  <c r="D25" i="69"/>
  <c r="D20" i="69"/>
  <c r="D14" i="69"/>
  <c r="D16" i="69" s="1"/>
  <c r="B14" i="69"/>
  <c r="B22" i="69" l="1"/>
  <c r="B24" i="69"/>
  <c r="D24" i="69" s="1"/>
  <c r="B23" i="69"/>
  <c r="D23" i="69" s="1"/>
  <c r="C39" i="69"/>
  <c r="D39" i="69" s="1"/>
  <c r="C37" i="69"/>
  <c r="C36" i="69"/>
  <c r="C35" i="69"/>
  <c r="D35" i="69" s="1"/>
  <c r="C33" i="69"/>
  <c r="C31" i="69"/>
  <c r="C26" i="69"/>
  <c r="C38" i="69"/>
  <c r="C34" i="69"/>
  <c r="C32" i="69"/>
  <c r="C30" i="69"/>
  <c r="C29" i="69"/>
  <c r="C21" i="69"/>
  <c r="D21" i="69" s="1"/>
  <c r="F8" i="70"/>
  <c r="D26" i="69"/>
  <c r="D38" i="69"/>
  <c r="D37" i="69"/>
  <c r="D34" i="69"/>
  <c r="D33" i="69"/>
  <c r="D32" i="69"/>
  <c r="D31" i="69"/>
  <c r="D30" i="69"/>
  <c r="D29" i="69"/>
  <c r="D36" i="69"/>
  <c r="D22" i="69"/>
  <c r="D27" i="69" l="1"/>
  <c r="F10" i="70" s="1"/>
  <c r="F12" i="70" s="1"/>
  <c r="D40" i="69"/>
  <c r="F14" i="70" s="1"/>
  <c r="B20" i="77"/>
  <c r="B22" i="77" s="1"/>
  <c r="B7" i="77" s="1"/>
  <c r="B8" i="77" s="1"/>
  <c r="N16" i="61"/>
  <c r="F14" i="61"/>
  <c r="F15" i="61" s="1"/>
  <c r="H9" i="61"/>
  <c r="H10" i="61" s="1"/>
  <c r="L9" i="61"/>
  <c r="L10" i="61" s="1"/>
  <c r="K9" i="61"/>
  <c r="K10" i="61" s="1"/>
  <c r="J9" i="61"/>
  <c r="J10" i="61" s="1"/>
  <c r="I9" i="61"/>
  <c r="N7" i="61"/>
  <c r="N6" i="61"/>
  <c r="A6" i="61"/>
  <c r="N5" i="61"/>
  <c r="D42" i="8"/>
  <c r="F19" i="9" s="1"/>
  <c r="E18" i="6"/>
  <c r="E20" i="6" s="1"/>
  <c r="E24" i="6" s="1"/>
  <c r="E28" i="6" s="1"/>
  <c r="B18" i="32"/>
  <c r="B19" i="32" s="1"/>
  <c r="B21" i="32" s="1"/>
  <c r="B7" i="32" s="1"/>
  <c r="B8" i="32" s="1"/>
  <c r="E32" i="6" s="1"/>
  <c r="E34" i="6" s="1"/>
  <c r="E36" i="6" s="1"/>
  <c r="D14" i="8"/>
  <c r="D16" i="8" s="1"/>
  <c r="B14" i="8"/>
  <c r="B22" i="8" s="1"/>
  <c r="D22" i="8" s="1"/>
  <c r="D20" i="8"/>
  <c r="D25" i="8"/>
  <c r="F38" i="9"/>
  <c r="G15" i="6"/>
  <c r="G10" i="6"/>
  <c r="G18" i="6" s="1"/>
  <c r="G11" i="6"/>
  <c r="G12" i="6"/>
  <c r="G13" i="6"/>
  <c r="G14" i="6"/>
  <c r="I10" i="61"/>
  <c r="A7" i="61"/>
  <c r="A8" i="61"/>
  <c r="A9" i="61" s="1"/>
  <c r="N8" i="61"/>
  <c r="D10" i="61" l="1"/>
  <c r="A10" i="61"/>
  <c r="D9" i="61"/>
  <c r="F16" i="70"/>
  <c r="F21" i="70" s="1"/>
  <c r="J17" i="61"/>
  <c r="J19" i="61" s="1"/>
  <c r="K17" i="61"/>
  <c r="K19" i="61" s="1"/>
  <c r="L17" i="61"/>
  <c r="L19" i="61" s="1"/>
  <c r="H17" i="61"/>
  <c r="H18" i="61" s="1"/>
  <c r="I17" i="61"/>
  <c r="K18" i="61"/>
  <c r="N9" i="61"/>
  <c r="J18" i="61"/>
  <c r="N10" i="61"/>
  <c r="F8" i="9"/>
  <c r="C29" i="8"/>
  <c r="D29" i="8" s="1"/>
  <c r="C31" i="8"/>
  <c r="D31" i="8" s="1"/>
  <c r="C33" i="8"/>
  <c r="D33" i="8" s="1"/>
  <c r="C35" i="8"/>
  <c r="D35" i="8" s="1"/>
  <c r="C38" i="8"/>
  <c r="D38" i="8" s="1"/>
  <c r="C21" i="8"/>
  <c r="D21" i="8" s="1"/>
  <c r="C26" i="8"/>
  <c r="D26" i="8" s="1"/>
  <c r="C39" i="8"/>
  <c r="D39" i="8" s="1"/>
  <c r="C36" i="8"/>
  <c r="D36" i="8" s="1"/>
  <c r="C34" i="8"/>
  <c r="D34" i="8" s="1"/>
  <c r="C32" i="8"/>
  <c r="D32" i="8" s="1"/>
  <c r="C30" i="8"/>
  <c r="D30" i="8" s="1"/>
  <c r="C37" i="8"/>
  <c r="D37" i="8" s="1"/>
  <c r="B23" i="8"/>
  <c r="D23" i="8" s="1"/>
  <c r="B24" i="8"/>
  <c r="D24" i="8" s="1"/>
  <c r="L18" i="61" l="1"/>
  <c r="A11" i="61"/>
  <c r="A12" i="61" s="1"/>
  <c r="H19" i="61"/>
  <c r="D27" i="8"/>
  <c r="F10" i="9" s="1"/>
  <c r="F12" i="9" s="1"/>
  <c r="I18" i="61"/>
  <c r="N18" i="61" s="1"/>
  <c r="I19" i="61"/>
  <c r="N17" i="61"/>
  <c r="F23" i="70"/>
  <c r="D40" i="8"/>
  <c r="F14" i="9" s="1"/>
  <c r="D14" i="61" l="1"/>
  <c r="A13" i="61"/>
  <c r="A14" i="61" s="1"/>
  <c r="N19" i="61"/>
  <c r="E36" i="70"/>
  <c r="B37" i="70"/>
  <c r="D37" i="70"/>
  <c r="F16" i="9"/>
  <c r="F21" i="9" s="1"/>
  <c r="F37" i="70"/>
  <c r="C36" i="70"/>
  <c r="D15" i="61" l="1"/>
  <c r="A15" i="61"/>
  <c r="A16" i="61" s="1"/>
  <c r="F41" i="70"/>
  <c r="F24" i="70" s="1"/>
  <c r="F29" i="70" s="1"/>
  <c r="F23" i="9"/>
  <c r="F28" i="9" s="1"/>
  <c r="F39" i="70"/>
  <c r="A17" i="61" l="1"/>
  <c r="D17" i="61"/>
  <c r="F33" i="9"/>
  <c r="B33" i="9"/>
  <c r="D33" i="9"/>
  <c r="C33" i="9"/>
  <c r="E33" i="9"/>
  <c r="A18" i="61" l="1"/>
  <c r="A19" i="61" s="1"/>
  <c r="D18" i="61"/>
  <c r="D19" i="61"/>
  <c r="F36" i="9"/>
</calcChain>
</file>

<file path=xl/sharedStrings.xml><?xml version="1.0" encoding="utf-8"?>
<sst xmlns="http://schemas.openxmlformats.org/spreadsheetml/2006/main" count="655" uniqueCount="179">
  <si>
    <t>NORM/NARM REVENUE:</t>
  </si>
  <si>
    <t>Volume</t>
  </si>
  <si>
    <t>Invoice #</t>
  </si>
  <si>
    <t>Amount</t>
  </si>
  <si>
    <t>Comments</t>
  </si>
  <si>
    <t>Calculation of Revenue %:</t>
  </si>
  <si>
    <t>Total of all Revenue:</t>
  </si>
  <si>
    <t>NORM/NARM EXPENSES:</t>
  </si>
  <si>
    <t>DIRECT COSTS</t>
  </si>
  <si>
    <t>Perpetual Care &amp; Maint. (per cu. ft.)</t>
  </si>
  <si>
    <t>Site Surveillance (per cu. ft.)</t>
  </si>
  <si>
    <t>County Surcharge (per cu. ft.)</t>
  </si>
  <si>
    <t>OPERATING EXPENSES</t>
  </si>
  <si>
    <t>Labor</t>
  </si>
  <si>
    <t>Utilities</t>
  </si>
  <si>
    <t>Office Supplies &amp; Expense</t>
  </si>
  <si>
    <t>Postage/ Overnight/ Freight</t>
  </si>
  <si>
    <t>Communications</t>
  </si>
  <si>
    <t>Building Lease/Rent</t>
  </si>
  <si>
    <t>OTHER EXPENSES</t>
  </si>
  <si>
    <t>Allocated G &amp; A</t>
  </si>
  <si>
    <t>NORM/NARM INCOME STATEMENT</t>
  </si>
  <si>
    <t>REVENUE</t>
  </si>
  <si>
    <t>DIRECT COST</t>
  </si>
  <si>
    <t>GROSS PROFIT</t>
  </si>
  <si>
    <t>NET OPERATING INCOME</t>
  </si>
  <si>
    <t>OTHER INCOME AND EXPENSES</t>
  </si>
  <si>
    <t>ALLOCATED G &amp; A</t>
  </si>
  <si>
    <t>NET INCOME</t>
  </si>
  <si>
    <t>Generator/Broker</t>
  </si>
  <si>
    <t>Permits/ Licenses/ Fees &amp; Taxes</t>
  </si>
  <si>
    <t>Janitorial and Security</t>
  </si>
  <si>
    <t>US ECOLOGY WASHINGTON, INC.</t>
  </si>
  <si>
    <t>Bank Fees, Interest, and Penalties</t>
  </si>
  <si>
    <t>Generators' Share of Norm/Narm Net Revenue (50%)</t>
  </si>
  <si>
    <t>Site Availability</t>
  </si>
  <si>
    <t>Shipment</t>
  </si>
  <si>
    <t>Container</t>
  </si>
  <si>
    <t>Exposure</t>
  </si>
  <si>
    <t>Refund</t>
  </si>
  <si>
    <t>Red. Rev.Req.</t>
  </si>
  <si>
    <t>Total to be refunded directly to generators (components over revenue req.)</t>
  </si>
  <si>
    <t>Tools &amp; Supplies - Other</t>
  </si>
  <si>
    <t>RICHLAND SITE REVENUE AND EXPENSE REPORT</t>
  </si>
  <si>
    <t>TOTAL</t>
  </si>
  <si>
    <t>SUBJECT TO FEE</t>
  </si>
  <si>
    <t>REVENUE - EXTERNAL</t>
  </si>
  <si>
    <t>SITE AVAILABILITY</t>
  </si>
  <si>
    <t>VOLUME</t>
  </si>
  <si>
    <t>SHIPMENTS</t>
  </si>
  <si>
    <t>CONTAINERS</t>
  </si>
  <si>
    <t>EXPOSURE</t>
  </si>
  <si>
    <t>ENGINEERED CONCRETE BARRIER</t>
  </si>
  <si>
    <t>REVENUE - OTHERS</t>
  </si>
  <si>
    <t>TOTAL EXTERNAL REVENUE</t>
  </si>
  <si>
    <t>TOTAL GROSS REVENUE</t>
  </si>
  <si>
    <t>INTEREST</t>
  </si>
  <si>
    <t>TOTAL OTHER INCOME AND EXPENSES</t>
  </si>
  <si>
    <t>Permits/ Licenses/ Fees &amp; Taxes-Norm</t>
  </si>
  <si>
    <t>Less amount recognized in March:</t>
  </si>
  <si>
    <t>Bad Debt</t>
  </si>
  <si>
    <t>American Ecology Corporation</t>
  </si>
  <si>
    <t>Corporate G&amp;A Allocation</t>
  </si>
  <si>
    <t>Norm's % used for 12/31 financials</t>
  </si>
  <si>
    <t>The % used is based on the % of Norm Direct revenue compared to the total corporate</t>
  </si>
  <si>
    <t>revenue less estimated transportation and other non-treatment and disposal revenue.</t>
  </si>
  <si>
    <t>Norm/Narm Revenue</t>
  </si>
  <si>
    <t>Total Corporate Revenue</t>
  </si>
  <si>
    <t xml:space="preserve">Less Transportation and Other Non-Treatment and </t>
  </si>
  <si>
    <t>Non-Disposal Revenue on preliminary 12/31 financials</t>
  </si>
  <si>
    <t>Calculated %</t>
  </si>
  <si>
    <t>Richland's %</t>
  </si>
  <si>
    <t>Richland's Corporate G&amp;A Allocation</t>
  </si>
  <si>
    <t>The % used is based on the % of Richland's Direct revenue compared to the total corporate</t>
  </si>
  <si>
    <t>Richland's Direct Revenue</t>
  </si>
  <si>
    <t>Miscellaneous</t>
  </si>
  <si>
    <t>Environmental Management &amp; Controls</t>
  </si>
  <si>
    <t>Tools &amp; Supplies-ECBs, Etc. (Norm)</t>
  </si>
  <si>
    <t>For the Period 01/01/2010 Through 12/31/2010</t>
  </si>
  <si>
    <t>For the year ended December 31, 2010</t>
  </si>
  <si>
    <t>2010 Corporate G&amp;A Expenses</t>
  </si>
  <si>
    <t>US Ecology Washington, Inc.</t>
  </si>
  <si>
    <t>Calculation Sheet 1</t>
  </si>
  <si>
    <t>Rate Components</t>
  </si>
  <si>
    <t>Source or Reference*</t>
  </si>
  <si>
    <t>Preliminary Calculations</t>
  </si>
  <si>
    <t>Site Availability Charge (SAC)</t>
  </si>
  <si>
    <t>Shipments</t>
  </si>
  <si>
    <t>Containers</t>
  </si>
  <si>
    <t>Dose Rate</t>
  </si>
  <si>
    <t>Actual</t>
  </si>
  <si>
    <t>Estimated net end-of-year collection/(refund) due to SAC true-up</t>
  </si>
  <si>
    <t>SAC True-Up</t>
  </si>
  <si>
    <t>Settlement § 4(a)</t>
  </si>
  <si>
    <t>Revenue</t>
  </si>
  <si>
    <t>Expenses</t>
  </si>
  <si>
    <t>Net revenue</t>
  </si>
  <si>
    <t>Generators’ share of NORM/NARM net revenue</t>
  </si>
  <si>
    <t>Settlement § 2(a)</t>
  </si>
  <si>
    <t>Generators’ share of net revenue, by rate component</t>
  </si>
  <si>
    <t>Amount to be refunded to generators</t>
  </si>
  <si>
    <t xml:space="preserve">   “Settlement” refers to the Settlement Agreement executed as of April 30, 2007 between US Ecology Washington, Inc., and the Settling Parties, accepted by the Washington</t>
  </si>
  <si>
    <t xml:space="preserve">        Utilities and Transportation Commission in Docket No. TL-070848</t>
  </si>
  <si>
    <t xml:space="preserve">   “Results of Operations” refers to the spreadsheet entitled “US Ecology Washington, Inc. / Results of Operations,” filed with the Washington Utilities and Transportation Commission in Docket No. TL-070848</t>
  </si>
  <si>
    <t>US Ecology Corporation</t>
  </si>
  <si>
    <t xml:space="preserve">   Norm's Corporate G&amp;A Allocation</t>
  </si>
  <si>
    <t>Office Maintenance Expense</t>
  </si>
  <si>
    <t>Amount to recognize in February:</t>
  </si>
  <si>
    <t>Amount to recognize in March:</t>
  </si>
  <si>
    <t>Less amount recognized in February:</t>
  </si>
  <si>
    <t>(Note: Can't use # of employees since no employee is fully devoted to just NORM)</t>
  </si>
  <si>
    <t>Exhibit 3</t>
  </si>
  <si>
    <t>Allocators for 2013:</t>
  </si>
  <si>
    <t>Total to reduce the 2014 Revenue Requirement (components under revenue req.)</t>
  </si>
  <si>
    <t>Northwest NARM Services (Dow Chemical)</t>
  </si>
  <si>
    <t>Amount to recognize in August:</t>
  </si>
  <si>
    <t>Adjustment for Exposure Not Expected to be over Rev. Req.</t>
  </si>
  <si>
    <t>Adjustment for Components Not Expected to be over Rev. Req.</t>
  </si>
  <si>
    <t>Amount to recognize in October:</t>
  </si>
  <si>
    <t>Northwest NARM Services (WR Grace)</t>
  </si>
  <si>
    <t>$186.16 B&amp;O not incl.</t>
  </si>
  <si>
    <t>Amount to recognize in December:</t>
  </si>
  <si>
    <t>Total Consolidated Revenue</t>
  </si>
  <si>
    <t>Northwest NARM Services (Seadrift Pipeline)</t>
  </si>
  <si>
    <t>N000882</t>
  </si>
  <si>
    <t>$2,426.60 B&amp;O not incl.</t>
  </si>
  <si>
    <t>N000883</t>
  </si>
  <si>
    <t>$1,975.13 Exempt and $1.812.44 B&amp;O not incl.</t>
  </si>
  <si>
    <t>For the Period 01/01/2014 Through 2/28/2014</t>
  </si>
  <si>
    <t>Allocators for 2014:</t>
  </si>
  <si>
    <t>Total to reduce the 2015 Revenue Requirement (components under revenue req.)</t>
  </si>
  <si>
    <t>EQM, Inc.</t>
  </si>
  <si>
    <t>N000885</t>
  </si>
  <si>
    <t>N000886</t>
  </si>
  <si>
    <t>$198.58 B&amp;O not incl.</t>
  </si>
  <si>
    <t>N000887</t>
  </si>
  <si>
    <t>$323.55 B&amp;O not incl.</t>
  </si>
  <si>
    <t>Northwest NARM Services (Chevron Phillips)</t>
  </si>
  <si>
    <t>N000888</t>
  </si>
  <si>
    <t>$139.62 B&amp;O not incl.</t>
  </si>
  <si>
    <t>$3,633.15 Trans., $3,239.41 Brokerage, $840.11 B&amp;O not incl.</t>
  </si>
  <si>
    <t>For the Period 01/01/2014 Through 3/31/2014</t>
  </si>
  <si>
    <t>Northwest NARM Services (GSA Global)</t>
  </si>
  <si>
    <t>N000890</t>
  </si>
  <si>
    <t>$3,355.29 Exempt and $99.38 B&amp;O not incl.</t>
  </si>
  <si>
    <t>For the Period 01/01/2014 Through 4/30/2014</t>
  </si>
  <si>
    <t>Amount to recognize in April:</t>
  </si>
  <si>
    <t>N000892</t>
  </si>
  <si>
    <t>For the Period 01/01/2014 Through 8/31/2014</t>
  </si>
  <si>
    <t>$403.36 B&amp;O not incl.</t>
  </si>
  <si>
    <t>For the Period 01/01/2014 Through 10/31/2014</t>
  </si>
  <si>
    <t>Container may be under by only $3,500, adj. in Dec.?</t>
  </si>
  <si>
    <t>For the Period 01/01/2014 Through 11/30/2014</t>
  </si>
  <si>
    <t>Plus adjustment recognized in October:</t>
  </si>
  <si>
    <t>Amount to recognize in November:</t>
  </si>
  <si>
    <t>RAD Solutions LLC</t>
  </si>
  <si>
    <t>N000897</t>
  </si>
  <si>
    <t>$87.61 B&amp;O not incl.</t>
  </si>
  <si>
    <t>N000898</t>
  </si>
  <si>
    <t>N000899</t>
  </si>
  <si>
    <t>$63.45 B&amp;O not incl.</t>
  </si>
  <si>
    <t>N000901</t>
  </si>
  <si>
    <t>N000903</t>
  </si>
  <si>
    <t>$222.17 B&amp;O not incl.</t>
  </si>
  <si>
    <t>For the Period 01/01/2014 Through 12/31/2014</t>
  </si>
  <si>
    <t>Adjustment for Components Not Over Rev. Req.</t>
  </si>
  <si>
    <t>Plus adjustment recognized in November:</t>
  </si>
  <si>
    <t>For the year ended December 31, 2014</t>
  </si>
  <si>
    <t>2014 Corporate G&amp;A Expenses</t>
  </si>
  <si>
    <t>Preliminary Calculation of 2015 Rates</t>
  </si>
  <si>
    <t>Revenue requirement by rate component for 2014</t>
  </si>
  <si>
    <t>2014 FCS 1, line 37</t>
  </si>
  <si>
    <t>Revenue collected 2014</t>
  </si>
  <si>
    <t>Final revenue for 2014</t>
  </si>
  <si>
    <t>Projected revenue surplus/(deficit) for 2014</t>
  </si>
  <si>
    <t>Calculation of 2014 NORM/NARM net revenue</t>
  </si>
  <si>
    <t>Allocators for 2014</t>
  </si>
  <si>
    <t>Amount to be added to 2015 revenue requirement</t>
  </si>
  <si>
    <t>* “2014 FCS” refers to US Ecology Washington, Inc., “Final Calculation of 2013 Rates, Calculation Sheet,” filed with the Washington Utilities and Transportation Commission in Docket No. TL-130377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</si>
</sst>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0000%"/>
    <numFmt numFmtId="166" formatCode="_(* #,##0_);_(* \(#,##0\);_(* &quot;-&quot;??_);_(@_)"/>
    <numFmt numFmtId="167" formatCode="_(&quot;$&quot;* #,##0_);_(&quot;$&quot;* \(#,##0\);_(&quot;$&quot;* &quot;-&quot;??_);_(@_)"/>
    <numFmt numFmtId="168" formatCode="0.\ 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10"/>
      <color indexed="12"/>
      <name val="Arial"/>
      <family val="2"/>
    </font>
    <font>
      <sz val="12"/>
      <color indexed="10"/>
      <name val="Arial"/>
      <family val="2"/>
    </font>
    <font>
      <sz val="7"/>
      <color indexed="12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 val="singleAccounting"/>
      <sz val="10"/>
      <name val="Times New Roman"/>
      <family val="1"/>
    </font>
    <font>
      <sz val="10"/>
      <name val="Helv"/>
    </font>
    <font>
      <i/>
      <sz val="8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/>
    <xf numFmtId="43" fontId="1" fillId="0" borderId="0" xfId="1"/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44" fontId="1" fillId="0" borderId="0" xfId="2"/>
    <xf numFmtId="0" fontId="2" fillId="0" borderId="0" xfId="0" applyFont="1"/>
    <xf numFmtId="43" fontId="1" fillId="0" borderId="0" xfId="1" applyBorder="1"/>
    <xf numFmtId="43" fontId="3" fillId="0" borderId="1" xfId="1" applyFont="1" applyBorder="1"/>
    <xf numFmtId="0" fontId="0" fillId="0" borderId="0" xfId="0" applyAlignment="1">
      <alignment horizontal="right"/>
    </xf>
    <xf numFmtId="10" fontId="3" fillId="0" borderId="0" xfId="4" applyNumberFormat="1" applyFont="1"/>
    <xf numFmtId="10" fontId="1" fillId="0" borderId="0" xfId="4" applyNumberFormat="1"/>
    <xf numFmtId="43" fontId="1" fillId="0" borderId="1" xfId="1" applyBorder="1"/>
    <xf numFmtId="0" fontId="5" fillId="0" borderId="0" xfId="0" applyFont="1"/>
    <xf numFmtId="44" fontId="5" fillId="0" borderId="0" xfId="2" applyFont="1"/>
    <xf numFmtId="43" fontId="5" fillId="0" borderId="0" xfId="1" applyFont="1"/>
    <xf numFmtId="0" fontId="6" fillId="0" borderId="0" xfId="0" applyFont="1" applyAlignment="1">
      <alignment horizontal="center"/>
    </xf>
    <xf numFmtId="0" fontId="7" fillId="0" borderId="0" xfId="0" applyFont="1"/>
    <xf numFmtId="166" fontId="6" fillId="0" borderId="0" xfId="1" applyNumberFormat="1" applyFont="1"/>
    <xf numFmtId="165" fontId="5" fillId="0" borderId="0" xfId="4" applyNumberFormat="1" applyFont="1"/>
    <xf numFmtId="0" fontId="6" fillId="0" borderId="0" xfId="0" applyFont="1"/>
    <xf numFmtId="166" fontId="6" fillId="0" borderId="2" xfId="1" applyNumberFormat="1" applyFont="1" applyBorder="1"/>
    <xf numFmtId="44" fontId="1" fillId="0" borderId="0" xfId="2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6" fillId="0" borderId="3" xfId="1" applyNumberFormat="1" applyFont="1" applyBorder="1"/>
    <xf numFmtId="0" fontId="11" fillId="0" borderId="0" xfId="0" applyFont="1"/>
    <xf numFmtId="43" fontId="10" fillId="0" borderId="0" xfId="1" applyFont="1"/>
    <xf numFmtId="166" fontId="6" fillId="0" borderId="0" xfId="1" applyNumberFormat="1" applyFont="1" applyBorder="1"/>
    <xf numFmtId="0" fontId="10" fillId="0" borderId="0" xfId="0" applyFont="1" applyAlignment="1">
      <alignment horizontal="center"/>
    </xf>
    <xf numFmtId="44" fontId="10" fillId="0" borderId="0" xfId="2" applyFont="1" applyAlignment="1">
      <alignment horizontal="center"/>
    </xf>
    <xf numFmtId="43" fontId="10" fillId="0" borderId="0" xfId="1" applyFont="1" applyAlignment="1">
      <alignment horizontal="center"/>
    </xf>
    <xf numFmtId="164" fontId="10" fillId="0" borderId="0" xfId="4" applyNumberFormat="1" applyFont="1" applyAlignment="1">
      <alignment horizontal="center"/>
    </xf>
    <xf numFmtId="0" fontId="13" fillId="0" borderId="0" xfId="0" applyFont="1"/>
    <xf numFmtId="44" fontId="10" fillId="0" borderId="0" xfId="2" applyFont="1"/>
    <xf numFmtId="0" fontId="14" fillId="0" borderId="0" xfId="0" applyFont="1"/>
    <xf numFmtId="44" fontId="12" fillId="0" borderId="0" xfId="2" applyFont="1"/>
    <xf numFmtId="44" fontId="10" fillId="0" borderId="0" xfId="0" applyNumberFormat="1" applyFont="1"/>
    <xf numFmtId="44" fontId="12" fillId="0" borderId="0" xfId="0" applyNumberFormat="1" applyFont="1"/>
    <xf numFmtId="43" fontId="1" fillId="0" borderId="0" xfId="1" applyFont="1"/>
    <xf numFmtId="43" fontId="0" fillId="0" borderId="0" xfId="0" applyNumberForma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4" fontId="3" fillId="0" borderId="0" xfId="0" applyNumberFormat="1" applyFont="1" applyAlignment="1">
      <alignment horizontal="center"/>
    </xf>
    <xf numFmtId="4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44" fontId="4" fillId="0" borderId="0" xfId="2" applyNumberFormat="1" applyFont="1"/>
    <xf numFmtId="43" fontId="4" fillId="0" borderId="0" xfId="1" applyFont="1"/>
    <xf numFmtId="166" fontId="15" fillId="0" borderId="0" xfId="1" applyNumberFormat="1" applyFont="1"/>
    <xf numFmtId="44" fontId="4" fillId="0" borderId="0" xfId="1" applyNumberFormat="1" applyFont="1"/>
    <xf numFmtId="44" fontId="4" fillId="0" borderId="3" xfId="1" applyNumberFormat="1" applyFont="1" applyBorder="1"/>
    <xf numFmtId="166" fontId="3" fillId="0" borderId="0" xfId="1" applyNumberFormat="1" applyFont="1"/>
    <xf numFmtId="44" fontId="3" fillId="0" borderId="0" xfId="2" applyNumberFormat="1" applyFont="1"/>
    <xf numFmtId="44" fontId="3" fillId="0" borderId="0" xfId="2" applyNumberFormat="1" applyFont="1" applyBorder="1"/>
    <xf numFmtId="43" fontId="4" fillId="0" borderId="0" xfId="1" applyFont="1" applyBorder="1"/>
    <xf numFmtId="44" fontId="3" fillId="0" borderId="3" xfId="2" applyNumberFormat="1" applyFont="1" applyBorder="1"/>
    <xf numFmtId="166" fontId="3" fillId="0" borderId="0" xfId="1" applyNumberFormat="1" applyFont="1" applyBorder="1"/>
    <xf numFmtId="44" fontId="4" fillId="0" borderId="0" xfId="1" applyNumberFormat="1" applyFont="1" applyBorder="1"/>
    <xf numFmtId="44" fontId="3" fillId="0" borderId="2" xfId="2" applyNumberFormat="1" applyFont="1" applyBorder="1"/>
    <xf numFmtId="44" fontId="1" fillId="0" borderId="0" xfId="2" applyNumberFormat="1"/>
    <xf numFmtId="0" fontId="1" fillId="0" borderId="0" xfId="0" applyFont="1"/>
    <xf numFmtId="0" fontId="17" fillId="0" borderId="0" xfId="0" applyFont="1"/>
    <xf numFmtId="0" fontId="18" fillId="0" borderId="0" xfId="0" applyFont="1"/>
    <xf numFmtId="0" fontId="17" fillId="0" borderId="0" xfId="0" quotePrefix="1" applyFont="1" applyAlignment="1">
      <alignment horizontal="left"/>
    </xf>
    <xf numFmtId="43" fontId="18" fillId="0" borderId="0" xfId="0" applyNumberFormat="1" applyFont="1"/>
    <xf numFmtId="0" fontId="18" fillId="0" borderId="0" xfId="0" applyFont="1" applyBorder="1"/>
    <xf numFmtId="43" fontId="18" fillId="0" borderId="0" xfId="1" applyFont="1"/>
    <xf numFmtId="0" fontId="18" fillId="0" borderId="0" xfId="0" quotePrefix="1" applyFont="1" applyAlignment="1">
      <alignment horizontal="left"/>
    </xf>
    <xf numFmtId="44" fontId="18" fillId="0" borderId="0" xfId="2" applyFont="1"/>
    <xf numFmtId="43" fontId="18" fillId="0" borderId="0" xfId="1" applyFont="1" applyBorder="1"/>
    <xf numFmtId="10" fontId="18" fillId="0" borderId="0" xfId="0" applyNumberFormat="1" applyFont="1"/>
    <xf numFmtId="164" fontId="18" fillId="0" borderId="0" xfId="0" applyNumberFormat="1" applyFont="1" applyBorder="1"/>
    <xf numFmtId="44" fontId="18" fillId="0" borderId="1" xfId="2" applyFont="1" applyBorder="1"/>
    <xf numFmtId="43" fontId="19" fillId="0" borderId="0" xfId="1" applyFont="1"/>
    <xf numFmtId="10" fontId="18" fillId="0" borderId="0" xfId="4" applyNumberFormat="1" applyFont="1"/>
    <xf numFmtId="44" fontId="8" fillId="0" borderId="0" xfId="1" applyNumberFormat="1" applyFont="1"/>
    <xf numFmtId="43" fontId="1" fillId="0" borderId="0" xfId="1" applyNumberFormat="1" applyFont="1"/>
    <xf numFmtId="0" fontId="6" fillId="0" borderId="0" xfId="3" applyFont="1"/>
    <xf numFmtId="0" fontId="1" fillId="0" borderId="0" xfId="3" applyFont="1"/>
    <xf numFmtId="0" fontId="6" fillId="0" borderId="0" xfId="3" applyFont="1" applyAlignment="1">
      <alignment horizontal="right"/>
    </xf>
    <xf numFmtId="0" fontId="1" fillId="0" borderId="4" xfId="3" applyFont="1" applyBorder="1"/>
    <xf numFmtId="0" fontId="1" fillId="0" borderId="0" xfId="3" quotePrefix="1" applyFont="1" applyAlignment="1">
      <alignment horizontal="left"/>
    </xf>
    <xf numFmtId="0" fontId="15" fillId="0" borderId="5" xfId="3" applyFont="1" applyBorder="1" applyAlignment="1">
      <alignment horizontal="centerContinuous" wrapText="1"/>
    </xf>
    <xf numFmtId="0" fontId="1" fillId="0" borderId="5" xfId="3" applyFont="1" applyBorder="1" applyAlignment="1">
      <alignment horizontal="centerContinuous"/>
    </xf>
    <xf numFmtId="0" fontId="21" fillId="0" borderId="5" xfId="3" applyFont="1" applyBorder="1" applyAlignment="1">
      <alignment horizontal="centerContinuous"/>
    </xf>
    <xf numFmtId="0" fontId="15" fillId="0" borderId="3" xfId="3" quotePrefix="1" applyFont="1" applyBorder="1" applyAlignment="1">
      <alignment horizontal="center" wrapText="1"/>
    </xf>
    <xf numFmtId="0" fontId="15" fillId="0" borderId="3" xfId="3" applyFont="1" applyBorder="1" applyAlignment="1">
      <alignment horizontal="center" wrapText="1"/>
    </xf>
    <xf numFmtId="167" fontId="1" fillId="0" borderId="0" xfId="2" applyNumberFormat="1" applyFont="1"/>
    <xf numFmtId="166" fontId="1" fillId="0" borderId="0" xfId="1" applyNumberFormat="1" applyFont="1"/>
    <xf numFmtId="44" fontId="22" fillId="0" borderId="0" xfId="2" applyFont="1"/>
    <xf numFmtId="0" fontId="18" fillId="0" borderId="0" xfId="0" applyFont="1" applyAlignment="1">
      <alignment horizontal="left"/>
    </xf>
    <xf numFmtId="0" fontId="6" fillId="0" borderId="4" xfId="0" quotePrefix="1" applyFont="1" applyBorder="1" applyAlignment="1">
      <alignment horizontal="left"/>
    </xf>
    <xf numFmtId="168" fontId="1" fillId="0" borderId="0" xfId="0" applyNumberFormat="1" applyFont="1"/>
    <xf numFmtId="0" fontId="1" fillId="0" borderId="0" xfId="0" quotePrefix="1" applyFont="1" applyAlignment="1">
      <alignment horizontal="left"/>
    </xf>
    <xf numFmtId="0" fontId="1" fillId="0" borderId="0" xfId="0" quotePrefix="1" applyFont="1" applyAlignment="1"/>
    <xf numFmtId="166" fontId="1" fillId="0" borderId="0" xfId="0" applyNumberFormat="1" applyFont="1"/>
    <xf numFmtId="166" fontId="1" fillId="0" borderId="5" xfId="0" applyNumberFormat="1" applyFont="1" applyBorder="1"/>
    <xf numFmtId="166" fontId="1" fillId="0" borderId="0" xfId="0" applyNumberFormat="1" applyFont="1" applyBorder="1"/>
    <xf numFmtId="164" fontId="1" fillId="0" borderId="0" xfId="0" applyNumberFormat="1" applyFont="1"/>
    <xf numFmtId="167" fontId="1" fillId="0" borderId="0" xfId="0" applyNumberFormat="1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0" fontId="1" fillId="0" borderId="0" xfId="4" applyNumberFormat="1" applyFont="1"/>
    <xf numFmtId="43" fontId="6" fillId="0" borderId="0" xfId="1" applyNumberFormat="1" applyFont="1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4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23" fillId="0" borderId="0" xfId="1" applyFont="1"/>
    <xf numFmtId="43" fontId="1" fillId="0" borderId="0" xfId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6" fillId="0" borderId="0" xfId="1" applyFont="1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_2011PrelimCalcSheets-NORM Rev Share" xfId="3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zoomScaleNormal="100" workbookViewId="0">
      <selection activeCell="D14" sqref="D14"/>
    </sheetView>
  </sheetViews>
  <sheetFormatPr defaultRowHeight="12.75" x14ac:dyDescent="0.2"/>
  <cols>
    <col min="1" max="1" width="34" customWidth="1"/>
    <col min="2" max="2" width="14" style="2" bestFit="1" customWidth="1"/>
    <col min="3" max="3" width="9.28515625" bestFit="1" customWidth="1"/>
    <col min="4" max="4" width="12.7109375" style="2" customWidth="1"/>
    <col min="5" max="5" width="32" customWidth="1"/>
    <col min="6" max="6" width="10.28515625" bestFit="1" customWidth="1"/>
    <col min="7" max="7" width="9.28515625" bestFit="1" customWidth="1"/>
  </cols>
  <sheetData>
    <row r="1" spans="1:6" x14ac:dyDescent="0.2">
      <c r="A1" s="1" t="s">
        <v>0</v>
      </c>
    </row>
    <row r="2" spans="1:6" x14ac:dyDescent="0.2">
      <c r="A2" s="25"/>
    </row>
    <row r="3" spans="1:6" x14ac:dyDescent="0.2">
      <c r="A3" s="1" t="s">
        <v>29</v>
      </c>
      <c r="B3" s="3" t="s">
        <v>1</v>
      </c>
      <c r="C3" s="108" t="s">
        <v>2</v>
      </c>
      <c r="D3" s="3" t="s">
        <v>3</v>
      </c>
      <c r="E3" s="108" t="s">
        <v>4</v>
      </c>
    </row>
    <row r="4" spans="1:6" x14ac:dyDescent="0.2">
      <c r="A4" s="1"/>
      <c r="B4" s="3"/>
      <c r="C4" s="108"/>
      <c r="D4" s="3"/>
      <c r="E4" s="108"/>
    </row>
    <row r="5" spans="1:6" x14ac:dyDescent="0.2">
      <c r="A5" s="63" t="s">
        <v>123</v>
      </c>
      <c r="B5" s="2">
        <v>1440</v>
      </c>
      <c r="C5" s="63" t="s">
        <v>124</v>
      </c>
      <c r="D5" s="23">
        <v>122853.4</v>
      </c>
      <c r="E5" s="63" t="s">
        <v>125</v>
      </c>
    </row>
    <row r="6" spans="1:6" x14ac:dyDescent="0.2">
      <c r="A6" s="5" t="s">
        <v>76</v>
      </c>
      <c r="B6" s="2">
        <v>487.5</v>
      </c>
      <c r="C6" s="63" t="s">
        <v>126</v>
      </c>
      <c r="D6" s="23">
        <f>71017.11</f>
        <v>71017.11</v>
      </c>
      <c r="E6" s="7" t="s">
        <v>127</v>
      </c>
    </row>
    <row r="7" spans="1:6" x14ac:dyDescent="0.2">
      <c r="A7" s="5"/>
      <c r="D7" s="8"/>
      <c r="E7" s="7"/>
    </row>
    <row r="8" spans="1:6" ht="13.5" thickBot="1" x14ac:dyDescent="0.25">
      <c r="B8" s="9">
        <f>SUM(B5:B7)</f>
        <v>1927.5</v>
      </c>
      <c r="D8" s="9">
        <f>SUM(D5:D7)</f>
        <v>193870.51</v>
      </c>
    </row>
    <row r="9" spans="1:6" ht="13.5" thickTop="1" x14ac:dyDescent="0.2">
      <c r="A9" t="s">
        <v>5</v>
      </c>
    </row>
    <row r="10" spans="1:6" x14ac:dyDescent="0.2">
      <c r="A10" s="10" t="s">
        <v>6</v>
      </c>
      <c r="B10" s="41">
        <f>193870.51+4930.79</f>
        <v>198801.30000000002</v>
      </c>
      <c r="C10" s="26"/>
      <c r="D10" s="11">
        <f>D8/B10</f>
        <v>0.97519739559047147</v>
      </c>
    </row>
    <row r="11" spans="1:6" x14ac:dyDescent="0.2">
      <c r="A11" s="10"/>
      <c r="B11" s="41"/>
    </row>
    <row r="12" spans="1:6" x14ac:dyDescent="0.2">
      <c r="A12" s="1" t="s">
        <v>7</v>
      </c>
    </row>
    <row r="13" spans="1:6" x14ac:dyDescent="0.2">
      <c r="A13" s="1" t="s">
        <v>8</v>
      </c>
      <c r="B13" s="29"/>
      <c r="E13" s="24"/>
    </row>
    <row r="14" spans="1:6" x14ac:dyDescent="0.2">
      <c r="A14" t="s">
        <v>77</v>
      </c>
      <c r="B14" s="2">
        <v>9151.36</v>
      </c>
      <c r="C14" s="12">
        <v>1</v>
      </c>
      <c r="D14" s="2">
        <f t="shared" ref="D14:D20" si="0">B14*C14</f>
        <v>9151.36</v>
      </c>
      <c r="E14" s="26"/>
    </row>
    <row r="15" spans="1:6" x14ac:dyDescent="0.2">
      <c r="A15" t="s">
        <v>42</v>
      </c>
      <c r="C15" s="12">
        <f>$D$10</f>
        <v>0.97519739559047147</v>
      </c>
      <c r="D15" s="2">
        <f t="shared" si="0"/>
        <v>0</v>
      </c>
      <c r="E15" s="26"/>
    </row>
    <row r="16" spans="1:6" x14ac:dyDescent="0.2">
      <c r="A16" t="s">
        <v>9</v>
      </c>
      <c r="B16" s="2">
        <f>$B$8</f>
        <v>1927.5</v>
      </c>
      <c r="C16" s="2">
        <v>1.75</v>
      </c>
      <c r="D16" s="2">
        <f t="shared" si="0"/>
        <v>3373.125</v>
      </c>
      <c r="F16" s="2"/>
    </row>
    <row r="17" spans="1:7" x14ac:dyDescent="0.2">
      <c r="A17" t="s">
        <v>10</v>
      </c>
      <c r="B17" s="2">
        <f>$B$8</f>
        <v>1927.5</v>
      </c>
      <c r="C17" s="2">
        <v>26</v>
      </c>
      <c r="D17" s="2">
        <f t="shared" si="0"/>
        <v>50115</v>
      </c>
    </row>
    <row r="18" spans="1:7" x14ac:dyDescent="0.2">
      <c r="A18" t="s">
        <v>11</v>
      </c>
      <c r="B18" s="2">
        <f>$B$8</f>
        <v>1927.5</v>
      </c>
      <c r="C18" s="2">
        <v>6.5</v>
      </c>
      <c r="D18" s="2">
        <f t="shared" si="0"/>
        <v>12528.75</v>
      </c>
    </row>
    <row r="19" spans="1:7" x14ac:dyDescent="0.2">
      <c r="A19" t="s">
        <v>58</v>
      </c>
      <c r="C19" s="12">
        <v>1</v>
      </c>
      <c r="D19" s="2">
        <f t="shared" si="0"/>
        <v>0</v>
      </c>
    </row>
    <row r="20" spans="1:7" x14ac:dyDescent="0.2">
      <c r="A20" t="s">
        <v>30</v>
      </c>
      <c r="B20" s="41">
        <f>1000</f>
        <v>1000</v>
      </c>
      <c r="C20" s="12">
        <f>$D$10</f>
        <v>0.97519739559047147</v>
      </c>
      <c r="D20" s="2">
        <f t="shared" si="0"/>
        <v>975.1973955904715</v>
      </c>
      <c r="E20" s="28"/>
    </row>
    <row r="21" spans="1:7" ht="13.5" thickBot="1" x14ac:dyDescent="0.25">
      <c r="A21" s="1"/>
      <c r="D21" s="13">
        <f>SUM(D14:D20)</f>
        <v>76143.432395590469</v>
      </c>
    </row>
    <row r="22" spans="1:7" ht="13.5" thickTop="1" x14ac:dyDescent="0.2">
      <c r="A22" s="1" t="s">
        <v>12</v>
      </c>
      <c r="B22" s="29"/>
    </row>
    <row r="23" spans="1:7" x14ac:dyDescent="0.2">
      <c r="A23" t="s">
        <v>13</v>
      </c>
      <c r="B23" s="41"/>
      <c r="C23" s="12">
        <f t="shared" ref="C23:C33" si="1">$D$10</f>
        <v>0.97519739559047147</v>
      </c>
      <c r="D23" s="2">
        <f t="shared" ref="D23:D33" si="2">B23*C23</f>
        <v>0</v>
      </c>
    </row>
    <row r="24" spans="1:7" x14ac:dyDescent="0.2">
      <c r="A24" t="s">
        <v>14</v>
      </c>
      <c r="B24" s="41">
        <v>88.62</v>
      </c>
      <c r="C24" s="12">
        <f t="shared" si="1"/>
        <v>0.97519739559047147</v>
      </c>
      <c r="D24" s="2">
        <f t="shared" si="2"/>
        <v>86.421993197227593</v>
      </c>
    </row>
    <row r="25" spans="1:7" x14ac:dyDescent="0.2">
      <c r="A25" t="s">
        <v>106</v>
      </c>
      <c r="B25" s="41">
        <v>60</v>
      </c>
      <c r="C25" s="12">
        <f t="shared" si="1"/>
        <v>0.97519739559047147</v>
      </c>
      <c r="D25" s="2">
        <f t="shared" si="2"/>
        <v>58.511843735428286</v>
      </c>
    </row>
    <row r="26" spans="1:7" x14ac:dyDescent="0.2">
      <c r="A26" t="s">
        <v>15</v>
      </c>
      <c r="B26" s="41"/>
      <c r="C26" s="12">
        <f t="shared" si="1"/>
        <v>0.97519739559047147</v>
      </c>
      <c r="D26" s="2">
        <f t="shared" si="2"/>
        <v>0</v>
      </c>
    </row>
    <row r="27" spans="1:7" x14ac:dyDescent="0.2">
      <c r="A27" t="s">
        <v>16</v>
      </c>
      <c r="B27" s="41"/>
      <c r="C27" s="12">
        <f t="shared" si="1"/>
        <v>0.97519739559047147</v>
      </c>
      <c r="D27" s="2">
        <f t="shared" si="2"/>
        <v>0</v>
      </c>
    </row>
    <row r="28" spans="1:7" x14ac:dyDescent="0.2">
      <c r="A28" t="s">
        <v>17</v>
      </c>
      <c r="B28" s="41">
        <v>96.31</v>
      </c>
      <c r="C28" s="12">
        <f t="shared" si="1"/>
        <v>0.97519739559047147</v>
      </c>
      <c r="D28" s="2">
        <f t="shared" si="2"/>
        <v>93.921261169318313</v>
      </c>
      <c r="F28" s="2"/>
      <c r="G28" s="42"/>
    </row>
    <row r="29" spans="1:7" x14ac:dyDescent="0.2">
      <c r="A29" t="s">
        <v>18</v>
      </c>
      <c r="B29" s="41">
        <v>805.92</v>
      </c>
      <c r="C29" s="12">
        <f t="shared" si="1"/>
        <v>0.97519739559047147</v>
      </c>
      <c r="D29" s="2">
        <f t="shared" si="2"/>
        <v>785.93108505427278</v>
      </c>
    </row>
    <row r="30" spans="1:7" x14ac:dyDescent="0.2">
      <c r="A30" t="s">
        <v>31</v>
      </c>
      <c r="B30" s="41">
        <f>12.9+91.68</f>
        <v>104.58000000000001</v>
      </c>
      <c r="C30" s="12">
        <f t="shared" si="1"/>
        <v>0.97519739559047147</v>
      </c>
      <c r="D30" s="2">
        <f t="shared" si="2"/>
        <v>101.98614363085152</v>
      </c>
      <c r="F30" s="2"/>
    </row>
    <row r="31" spans="1:7" x14ac:dyDescent="0.2">
      <c r="A31" t="s">
        <v>75</v>
      </c>
      <c r="B31" s="41">
        <f>6.25-24.73</f>
        <v>-18.48</v>
      </c>
      <c r="C31" s="12">
        <f t="shared" si="1"/>
        <v>0.97519739559047147</v>
      </c>
      <c r="D31" s="2">
        <f t="shared" si="2"/>
        <v>-18.021647870511913</v>
      </c>
    </row>
    <row r="32" spans="1:7" x14ac:dyDescent="0.2">
      <c r="A32" t="s">
        <v>60</v>
      </c>
      <c r="C32" s="12">
        <f t="shared" si="1"/>
        <v>0.97519739559047147</v>
      </c>
      <c r="D32" s="2">
        <f t="shared" si="2"/>
        <v>0</v>
      </c>
    </row>
    <row r="33" spans="1:6" x14ac:dyDescent="0.2">
      <c r="A33" t="s">
        <v>33</v>
      </c>
      <c r="C33" s="12">
        <f t="shared" si="1"/>
        <v>0.97519739559047147</v>
      </c>
      <c r="D33" s="2">
        <f t="shared" si="2"/>
        <v>0</v>
      </c>
    </row>
    <row r="34" spans="1:6" ht="13.5" thickBot="1" x14ac:dyDescent="0.25">
      <c r="D34" s="13">
        <f>SUM(D23:D33)</f>
        <v>1108.7506789165866</v>
      </c>
      <c r="F34" s="2"/>
    </row>
    <row r="35" spans="1:6" ht="13.5" thickTop="1" x14ac:dyDescent="0.2">
      <c r="A35" s="1" t="s">
        <v>19</v>
      </c>
    </row>
    <row r="36" spans="1:6" ht="13.5" thickBot="1" x14ac:dyDescent="0.25">
      <c r="A36" t="s">
        <v>20</v>
      </c>
      <c r="B36" s="79">
        <f>14173268.9/12*2</f>
        <v>2362211.4833333334</v>
      </c>
      <c r="C36" s="105">
        <v>1.6000000000000001E-3</v>
      </c>
      <c r="D36" s="13">
        <f>B36*C36</f>
        <v>3779.5383733333338</v>
      </c>
    </row>
    <row r="37" spans="1:6" ht="13.5" thickTop="1" x14ac:dyDescent="0.2"/>
  </sheetData>
  <printOptions horizontalCentered="1"/>
  <pageMargins left="0.5" right="0.5" top="0.5" bottom="0.5" header="0.5" footer="0.5"/>
  <pageSetup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41"/>
  <sheetViews>
    <sheetView workbookViewId="0">
      <selection activeCell="E40" sqref="E40"/>
    </sheetView>
  </sheetViews>
  <sheetFormatPr defaultColWidth="9.140625" defaultRowHeight="12.75" x14ac:dyDescent="0.2"/>
  <cols>
    <col min="2" max="2" width="13.7109375" customWidth="1"/>
    <col min="3" max="3" width="15.7109375" customWidth="1"/>
    <col min="4" max="4" width="16.7109375" style="6" customWidth="1"/>
    <col min="5" max="5" width="15.7109375" style="2" customWidth="1"/>
    <col min="6" max="6" width="14.7109375" customWidth="1"/>
  </cols>
  <sheetData>
    <row r="1" spans="1:6" ht="15" x14ac:dyDescent="0.2">
      <c r="A1" s="14"/>
      <c r="B1" s="14"/>
      <c r="C1" s="14"/>
      <c r="D1" s="15"/>
      <c r="E1" s="16"/>
      <c r="F1" s="14"/>
    </row>
    <row r="2" spans="1:6" ht="15.75" x14ac:dyDescent="0.25">
      <c r="A2" s="121" t="s">
        <v>32</v>
      </c>
      <c r="B2" s="121"/>
      <c r="C2" s="121"/>
      <c r="D2" s="121"/>
      <c r="E2" s="121"/>
      <c r="F2" s="121"/>
    </row>
    <row r="3" spans="1:6" ht="15.75" x14ac:dyDescent="0.25">
      <c r="A3" s="121" t="s">
        <v>21</v>
      </c>
      <c r="B3" s="121"/>
      <c r="C3" s="121"/>
      <c r="D3" s="121"/>
      <c r="E3" s="121"/>
      <c r="F3" s="121"/>
    </row>
    <row r="4" spans="1:6" ht="15.75" x14ac:dyDescent="0.25">
      <c r="A4" s="121" t="s">
        <v>150</v>
      </c>
      <c r="B4" s="121"/>
      <c r="C4" s="121"/>
      <c r="D4" s="121"/>
      <c r="E4" s="121"/>
      <c r="F4" s="121"/>
    </row>
    <row r="5" spans="1:6" ht="15.75" x14ac:dyDescent="0.25">
      <c r="A5" s="103"/>
      <c r="B5" s="103"/>
      <c r="C5" s="103"/>
      <c r="D5" s="103"/>
      <c r="E5" s="103"/>
      <c r="F5" s="103"/>
    </row>
    <row r="6" spans="1:6" ht="15.75" x14ac:dyDescent="0.25">
      <c r="A6" s="103"/>
      <c r="B6" s="103"/>
      <c r="C6" s="103"/>
      <c r="D6" s="103"/>
      <c r="E6" s="103"/>
      <c r="F6" s="103"/>
    </row>
    <row r="7" spans="1:6" ht="15" x14ac:dyDescent="0.2">
      <c r="A7" s="14"/>
      <c r="B7" s="14"/>
      <c r="C7" s="14"/>
      <c r="D7" s="15"/>
      <c r="E7" s="16"/>
      <c r="F7" s="14"/>
    </row>
    <row r="8" spans="1:6" ht="15.75" x14ac:dyDescent="0.25">
      <c r="A8" s="18" t="s">
        <v>22</v>
      </c>
      <c r="B8" s="14"/>
      <c r="C8" s="14"/>
      <c r="D8" s="15"/>
      <c r="E8" s="16"/>
      <c r="F8" s="19">
        <f>'Norm-Detail 10-31'!D14</f>
        <v>282966.12000000005</v>
      </c>
    </row>
    <row r="9" spans="1:6" ht="15" x14ac:dyDescent="0.2">
      <c r="A9" s="14"/>
      <c r="B9" s="14"/>
      <c r="C9" s="14"/>
      <c r="D9" s="15"/>
      <c r="E9" s="16"/>
      <c r="F9" s="16"/>
    </row>
    <row r="10" spans="1:6" ht="16.5" thickBot="1" x14ac:dyDescent="0.3">
      <c r="A10" s="18" t="s">
        <v>23</v>
      </c>
      <c r="B10" s="14"/>
      <c r="C10" s="16"/>
      <c r="D10" s="20"/>
      <c r="E10" s="16"/>
      <c r="F10" s="27">
        <f>'Norm-Detail 10-31'!D27</f>
        <v>112721.479488071</v>
      </c>
    </row>
    <row r="11" spans="1:6" ht="15" x14ac:dyDescent="0.2">
      <c r="A11" s="14"/>
      <c r="B11" s="14"/>
      <c r="C11" s="14"/>
      <c r="D11" s="15"/>
      <c r="E11" s="16"/>
      <c r="F11" s="16"/>
    </row>
    <row r="12" spans="1:6" ht="15.75" x14ac:dyDescent="0.25">
      <c r="A12" s="21" t="s">
        <v>24</v>
      </c>
      <c r="B12" s="14"/>
      <c r="C12" s="14"/>
      <c r="D12" s="15"/>
      <c r="E12" s="16"/>
      <c r="F12" s="19">
        <f>F8-F10</f>
        <v>170244.64051192906</v>
      </c>
    </row>
    <row r="13" spans="1:6" ht="15" x14ac:dyDescent="0.2">
      <c r="A13" s="14"/>
      <c r="B13" s="14"/>
      <c r="C13" s="14"/>
      <c r="D13" s="15"/>
      <c r="E13" s="16"/>
      <c r="F13" s="16"/>
    </row>
    <row r="14" spans="1:6" ht="16.5" thickBot="1" x14ac:dyDescent="0.3">
      <c r="A14" s="18" t="s">
        <v>12</v>
      </c>
      <c r="B14" s="14"/>
      <c r="C14" s="16"/>
      <c r="D14" s="20"/>
      <c r="E14" s="16"/>
      <c r="F14" s="27">
        <f>'Norm-Detail 10-31'!D40</f>
        <v>3912.7339560365858</v>
      </c>
    </row>
    <row r="15" spans="1:6" ht="15" x14ac:dyDescent="0.2">
      <c r="A15" s="14"/>
      <c r="B15" s="14"/>
      <c r="C15" s="14"/>
      <c r="D15" s="15"/>
      <c r="E15" s="16"/>
      <c r="F15" s="16"/>
    </row>
    <row r="16" spans="1:6" ht="15.75" x14ac:dyDescent="0.25">
      <c r="A16" s="21" t="s">
        <v>25</v>
      </c>
      <c r="B16" s="14"/>
      <c r="C16" s="14"/>
      <c r="D16" s="15"/>
      <c r="E16" s="16"/>
      <c r="F16" s="19">
        <f>F12-F14</f>
        <v>166331.90655589246</v>
      </c>
    </row>
    <row r="17" spans="1:6" ht="15" x14ac:dyDescent="0.2">
      <c r="A17" s="14"/>
      <c r="B17" s="14"/>
      <c r="C17" s="14"/>
      <c r="D17" s="15"/>
      <c r="E17" s="16"/>
      <c r="F17" s="16"/>
    </row>
    <row r="18" spans="1:6" ht="15.75" x14ac:dyDescent="0.25">
      <c r="A18" s="18" t="s">
        <v>26</v>
      </c>
      <c r="B18" s="14"/>
      <c r="C18" s="14"/>
      <c r="D18" s="15"/>
      <c r="E18" s="16"/>
      <c r="F18" s="16"/>
    </row>
    <row r="19" spans="1:6" ht="16.5" thickBot="1" x14ac:dyDescent="0.3">
      <c r="A19" s="14" t="s">
        <v>27</v>
      </c>
      <c r="B19" s="14"/>
      <c r="C19" s="16"/>
      <c r="D19" s="20"/>
      <c r="E19" s="16"/>
      <c r="F19" s="27">
        <f>'Norm-Detail 10-31'!D42</f>
        <v>18897.691866666668</v>
      </c>
    </row>
    <row r="20" spans="1:6" ht="15" x14ac:dyDescent="0.2">
      <c r="A20" s="14"/>
      <c r="B20" s="14"/>
      <c r="C20" s="14"/>
      <c r="D20" s="15"/>
      <c r="E20" s="16"/>
      <c r="F20" s="16"/>
    </row>
    <row r="21" spans="1:6" ht="16.5" thickBot="1" x14ac:dyDescent="0.3">
      <c r="A21" s="21" t="s">
        <v>28</v>
      </c>
      <c r="B21" s="14"/>
      <c r="C21" s="14"/>
      <c r="D21" s="15"/>
      <c r="E21" s="16"/>
      <c r="F21" s="22">
        <f>F16-F19</f>
        <v>147434.2146892258</v>
      </c>
    </row>
    <row r="22" spans="1:6" ht="15.75" thickTop="1" x14ac:dyDescent="0.2">
      <c r="A22" s="14"/>
      <c r="B22" s="14"/>
      <c r="C22" s="14"/>
      <c r="D22" s="15"/>
      <c r="E22" s="16"/>
      <c r="F22" s="16"/>
    </row>
    <row r="23" spans="1:6" ht="15.75" x14ac:dyDescent="0.25">
      <c r="A23" s="21" t="s">
        <v>34</v>
      </c>
      <c r="F23" s="30">
        <f>ROUND(F21*50%,0)</f>
        <v>73717</v>
      </c>
    </row>
    <row r="24" spans="1:6" ht="15.75" x14ac:dyDescent="0.25">
      <c r="A24" s="21" t="s">
        <v>117</v>
      </c>
      <c r="F24" s="30">
        <f>-F41</f>
        <v>-34573.273000000001</v>
      </c>
    </row>
    <row r="25" spans="1:6" ht="15.75" x14ac:dyDescent="0.25">
      <c r="A25" s="21"/>
      <c r="F25" s="30"/>
    </row>
    <row r="26" spans="1:6" ht="15.75" x14ac:dyDescent="0.25">
      <c r="A26" s="21" t="s">
        <v>109</v>
      </c>
      <c r="F26" s="30">
        <v>-56420</v>
      </c>
    </row>
    <row r="27" spans="1:6" ht="15.75" x14ac:dyDescent="0.25">
      <c r="A27" s="21" t="s">
        <v>59</v>
      </c>
      <c r="F27" s="30">
        <v>-21193</v>
      </c>
    </row>
    <row r="28" spans="1:6" ht="15.75" x14ac:dyDescent="0.25">
      <c r="A28" s="21"/>
      <c r="F28" s="30"/>
    </row>
    <row r="29" spans="1:6" ht="15.75" x14ac:dyDescent="0.25">
      <c r="A29" s="21" t="s">
        <v>118</v>
      </c>
      <c r="F29" s="30">
        <f>SUM(F22:F27)</f>
        <v>-38469.273000000001</v>
      </c>
    </row>
    <row r="31" spans="1:6" ht="15.75" x14ac:dyDescent="0.25">
      <c r="A31" s="21"/>
      <c r="F31" s="30"/>
    </row>
    <row r="33" spans="1:6" ht="15.75" x14ac:dyDescent="0.25">
      <c r="A33" s="21" t="s">
        <v>129</v>
      </c>
    </row>
    <row r="34" spans="1:6" ht="15" x14ac:dyDescent="0.2">
      <c r="A34" s="14"/>
      <c r="B34" s="31" t="s">
        <v>35</v>
      </c>
      <c r="C34" s="31" t="s">
        <v>1</v>
      </c>
      <c r="D34" s="32" t="s">
        <v>36</v>
      </c>
      <c r="E34" s="33" t="s">
        <v>37</v>
      </c>
      <c r="F34" s="31" t="s">
        <v>38</v>
      </c>
    </row>
    <row r="35" spans="1:6" ht="15" x14ac:dyDescent="0.2">
      <c r="A35" s="14"/>
      <c r="B35" s="34">
        <v>0.22</v>
      </c>
      <c r="C35" s="34">
        <v>0.316</v>
      </c>
      <c r="D35" s="34">
        <v>0.107</v>
      </c>
      <c r="E35" s="34">
        <v>0.215</v>
      </c>
      <c r="F35" s="34">
        <v>0.14199999999999999</v>
      </c>
    </row>
    <row r="36" spans="1:6" ht="15" x14ac:dyDescent="0.2">
      <c r="A36" s="35" t="s">
        <v>39</v>
      </c>
      <c r="B36" s="36">
        <v>0</v>
      </c>
      <c r="C36" s="36">
        <f>F23*C35</f>
        <v>23294.572</v>
      </c>
      <c r="D36" s="36">
        <v>0</v>
      </c>
      <c r="E36" s="36">
        <f>F23*E35</f>
        <v>15849.155000000001</v>
      </c>
      <c r="F36" s="36">
        <v>0</v>
      </c>
    </row>
    <row r="37" spans="1:6" x14ac:dyDescent="0.2">
      <c r="A37" s="37" t="s">
        <v>40</v>
      </c>
      <c r="B37" s="92">
        <f>F23*B35</f>
        <v>16217.74</v>
      </c>
      <c r="C37" s="92"/>
      <c r="D37" s="92">
        <f>F23*D35</f>
        <v>7887.7190000000001</v>
      </c>
      <c r="E37" s="92">
        <v>0</v>
      </c>
      <c r="F37" s="92">
        <f>F23*F35</f>
        <v>10467.813999999998</v>
      </c>
    </row>
    <row r="38" spans="1:6" x14ac:dyDescent="0.2">
      <c r="E38" s="115" t="s">
        <v>151</v>
      </c>
    </row>
    <row r="39" spans="1:6" x14ac:dyDescent="0.2">
      <c r="A39" t="s">
        <v>41</v>
      </c>
      <c r="F39" s="39">
        <f>B36+C36+D36+E36+F36</f>
        <v>39143.726999999999</v>
      </c>
    </row>
    <row r="41" spans="1:6" x14ac:dyDescent="0.2">
      <c r="A41" s="63" t="s">
        <v>113</v>
      </c>
      <c r="F41" s="40">
        <f>B37+D37+E37+F37</f>
        <v>34573.273000000001</v>
      </c>
    </row>
  </sheetData>
  <mergeCells count="3">
    <mergeCell ref="A2:F2"/>
    <mergeCell ref="A3:F3"/>
    <mergeCell ref="A4:F4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zoomScaleNormal="100" workbookViewId="0">
      <selection activeCell="D42" sqref="D42"/>
    </sheetView>
  </sheetViews>
  <sheetFormatPr defaultRowHeight="12.75" x14ac:dyDescent="0.2"/>
  <cols>
    <col min="1" max="1" width="34" customWidth="1"/>
    <col min="2" max="2" width="14" style="2" bestFit="1" customWidth="1"/>
    <col min="3" max="3" width="9.28515625" bestFit="1" customWidth="1"/>
    <col min="4" max="4" width="12.7109375" style="2" customWidth="1"/>
    <col min="5" max="5" width="32" customWidth="1"/>
    <col min="6" max="6" width="10.28515625" bestFit="1" customWidth="1"/>
    <col min="7" max="7" width="9.28515625" bestFit="1" customWidth="1"/>
  </cols>
  <sheetData>
    <row r="1" spans="1:5" x14ac:dyDescent="0.2">
      <c r="A1" s="1" t="s">
        <v>0</v>
      </c>
    </row>
    <row r="2" spans="1:5" x14ac:dyDescent="0.2">
      <c r="A2" s="25"/>
    </row>
    <row r="3" spans="1:5" x14ac:dyDescent="0.2">
      <c r="A3" s="1" t="s">
        <v>29</v>
      </c>
      <c r="B3" s="3" t="s">
        <v>1</v>
      </c>
      <c r="C3" s="119" t="s">
        <v>2</v>
      </c>
      <c r="D3" s="3" t="s">
        <v>3</v>
      </c>
      <c r="E3" s="119" t="s">
        <v>4</v>
      </c>
    </row>
    <row r="4" spans="1:5" x14ac:dyDescent="0.2">
      <c r="A4" s="1"/>
      <c r="B4" s="3"/>
      <c r="C4" s="119"/>
      <c r="D4" s="3"/>
      <c r="E4" s="119"/>
    </row>
    <row r="5" spans="1:5" x14ac:dyDescent="0.2">
      <c r="A5" s="63" t="s">
        <v>123</v>
      </c>
      <c r="B5" s="2">
        <v>1440</v>
      </c>
      <c r="C5" s="63" t="s">
        <v>124</v>
      </c>
      <c r="D5" s="23">
        <v>122853.4</v>
      </c>
      <c r="E5" s="63" t="s">
        <v>125</v>
      </c>
    </row>
    <row r="6" spans="1:5" x14ac:dyDescent="0.2">
      <c r="A6" s="5" t="s">
        <v>76</v>
      </c>
      <c r="B6" s="2">
        <v>487.5</v>
      </c>
      <c r="C6" s="63" t="s">
        <v>126</v>
      </c>
      <c r="D6" s="23">
        <f>71017.11</f>
        <v>71017.11</v>
      </c>
      <c r="E6" s="7" t="s">
        <v>127</v>
      </c>
    </row>
    <row r="7" spans="1:5" x14ac:dyDescent="0.2">
      <c r="A7" s="63" t="s">
        <v>131</v>
      </c>
      <c r="B7" s="2">
        <v>360</v>
      </c>
      <c r="C7" s="63" t="s">
        <v>132</v>
      </c>
      <c r="D7" s="23">
        <v>36315.33</v>
      </c>
      <c r="E7" s="109" t="s">
        <v>140</v>
      </c>
    </row>
    <row r="8" spans="1:5" x14ac:dyDescent="0.2">
      <c r="A8" s="63" t="s">
        <v>114</v>
      </c>
      <c r="B8" s="2">
        <v>96</v>
      </c>
      <c r="C8" s="63" t="s">
        <v>133</v>
      </c>
      <c r="D8" s="23">
        <v>9305.42</v>
      </c>
      <c r="E8" s="63" t="s">
        <v>134</v>
      </c>
    </row>
    <row r="9" spans="1:5" x14ac:dyDescent="0.2">
      <c r="A9" s="63" t="s">
        <v>123</v>
      </c>
      <c r="B9" s="2">
        <v>192</v>
      </c>
      <c r="C9" s="63" t="s">
        <v>135</v>
      </c>
      <c r="D9" s="23">
        <v>16380.45</v>
      </c>
      <c r="E9" s="63" t="s">
        <v>136</v>
      </c>
    </row>
    <row r="10" spans="1:5" x14ac:dyDescent="0.2">
      <c r="A10" s="63" t="s">
        <v>137</v>
      </c>
      <c r="B10" s="2">
        <v>67.5</v>
      </c>
      <c r="C10" s="63" t="s">
        <v>138</v>
      </c>
      <c r="D10" s="23">
        <v>6542.88</v>
      </c>
      <c r="E10" s="63" t="s">
        <v>139</v>
      </c>
    </row>
    <row r="11" spans="1:5" x14ac:dyDescent="0.2">
      <c r="A11" s="63" t="s">
        <v>142</v>
      </c>
      <c r="B11" s="2">
        <v>2.5</v>
      </c>
      <c r="C11" s="63" t="s">
        <v>143</v>
      </c>
      <c r="D11" s="23">
        <v>1649.89</v>
      </c>
      <c r="E11" s="7" t="s">
        <v>144</v>
      </c>
    </row>
    <row r="12" spans="1:5" x14ac:dyDescent="0.2">
      <c r="A12" s="63" t="s">
        <v>137</v>
      </c>
      <c r="B12" s="2">
        <v>195</v>
      </c>
      <c r="C12" s="63" t="s">
        <v>147</v>
      </c>
      <c r="D12" s="23">
        <v>18901.64</v>
      </c>
      <c r="E12" s="63" t="s">
        <v>149</v>
      </c>
    </row>
    <row r="13" spans="1:5" x14ac:dyDescent="0.2">
      <c r="A13" s="5"/>
      <c r="C13" s="63"/>
      <c r="D13" s="8"/>
      <c r="E13" s="7"/>
    </row>
    <row r="14" spans="1:5" ht="13.5" thickBot="1" x14ac:dyDescent="0.25">
      <c r="B14" s="9">
        <f>SUM(B5:B13)</f>
        <v>2840.5</v>
      </c>
      <c r="D14" s="9">
        <f>SUM(D5:D13)</f>
        <v>282966.12000000005</v>
      </c>
    </row>
    <row r="15" spans="1:5" ht="13.5" thickTop="1" x14ac:dyDescent="0.2">
      <c r="A15" t="s">
        <v>5</v>
      </c>
    </row>
    <row r="16" spans="1:5" x14ac:dyDescent="0.2">
      <c r="A16" s="10" t="s">
        <v>6</v>
      </c>
      <c r="B16" s="41">
        <f>282966.12+12683.15+68795.03</f>
        <v>364444.30000000005</v>
      </c>
      <c r="C16" s="26"/>
      <c r="D16" s="11">
        <f>D14/B16</f>
        <v>0.77643173456135828</v>
      </c>
    </row>
    <row r="17" spans="1:6" x14ac:dyDescent="0.2">
      <c r="A17" s="10"/>
      <c r="B17" s="41"/>
    </row>
    <row r="18" spans="1:6" x14ac:dyDescent="0.2">
      <c r="A18" s="1" t="s">
        <v>7</v>
      </c>
    </row>
    <row r="19" spans="1:6" x14ac:dyDescent="0.2">
      <c r="A19" s="1" t="s">
        <v>8</v>
      </c>
      <c r="B19" s="29"/>
      <c r="E19" s="24"/>
    </row>
    <row r="20" spans="1:6" x14ac:dyDescent="0.2">
      <c r="A20" t="s">
        <v>77</v>
      </c>
      <c r="B20" s="2">
        <f>9151.36+1070.87</f>
        <v>10222.23</v>
      </c>
      <c r="C20" s="12">
        <v>1</v>
      </c>
      <c r="D20" s="2">
        <f t="shared" ref="D20:D26" si="0">B20*C20</f>
        <v>10222.23</v>
      </c>
      <c r="E20" s="26"/>
    </row>
    <row r="21" spans="1:6" x14ac:dyDescent="0.2">
      <c r="A21" t="s">
        <v>42</v>
      </c>
      <c r="C21" s="12">
        <f>$D$16</f>
        <v>0.77643173456135828</v>
      </c>
      <c r="D21" s="2">
        <f t="shared" si="0"/>
        <v>0</v>
      </c>
      <c r="E21" s="26"/>
    </row>
    <row r="22" spans="1:6" x14ac:dyDescent="0.2">
      <c r="A22" t="s">
        <v>9</v>
      </c>
      <c r="B22" s="2">
        <f>$B$14</f>
        <v>2840.5</v>
      </c>
      <c r="C22" s="2">
        <v>1.75</v>
      </c>
      <c r="D22" s="2">
        <f t="shared" si="0"/>
        <v>4970.875</v>
      </c>
    </row>
    <row r="23" spans="1:6" x14ac:dyDescent="0.2">
      <c r="A23" t="s">
        <v>10</v>
      </c>
      <c r="B23" s="2">
        <f>$B$14</f>
        <v>2840.5</v>
      </c>
      <c r="C23" s="2">
        <v>26</v>
      </c>
      <c r="D23" s="2">
        <f t="shared" si="0"/>
        <v>73853</v>
      </c>
      <c r="F23" s="2"/>
    </row>
    <row r="24" spans="1:6" x14ac:dyDescent="0.2">
      <c r="A24" t="s">
        <v>11</v>
      </c>
      <c r="B24" s="2">
        <f>$B$14</f>
        <v>2840.5</v>
      </c>
      <c r="C24" s="2">
        <v>6.5</v>
      </c>
      <c r="D24" s="2">
        <f t="shared" si="0"/>
        <v>18463.25</v>
      </c>
    </row>
    <row r="25" spans="1:6" x14ac:dyDescent="0.2">
      <c r="A25" t="s">
        <v>58</v>
      </c>
      <c r="C25" s="12">
        <v>1</v>
      </c>
      <c r="D25" s="2">
        <f t="shared" si="0"/>
        <v>0</v>
      </c>
    </row>
    <row r="26" spans="1:6" x14ac:dyDescent="0.2">
      <c r="A26" t="s">
        <v>30</v>
      </c>
      <c r="B26" s="41">
        <f>1000+2600+3000</f>
        <v>6600</v>
      </c>
      <c r="C26" s="12">
        <f>$D$16</f>
        <v>0.77643173456135828</v>
      </c>
      <c r="D26" s="2">
        <f t="shared" si="0"/>
        <v>5124.4494481049651</v>
      </c>
      <c r="E26" s="28"/>
    </row>
    <row r="27" spans="1:6" ht="13.5" thickBot="1" x14ac:dyDescent="0.25">
      <c r="A27" s="1"/>
      <c r="D27" s="13">
        <f>SUM(D20:D26)</f>
        <v>112633.80444810496</v>
      </c>
    </row>
    <row r="28" spans="1:6" ht="13.5" thickTop="1" x14ac:dyDescent="0.2">
      <c r="A28" s="1" t="s">
        <v>12</v>
      </c>
      <c r="B28" s="29"/>
    </row>
    <row r="29" spans="1:6" x14ac:dyDescent="0.2">
      <c r="A29" t="s">
        <v>13</v>
      </c>
      <c r="B29" s="41"/>
      <c r="C29" s="12">
        <f t="shared" ref="C29:C39" si="1">$D$16</f>
        <v>0.77643173456135828</v>
      </c>
      <c r="D29" s="2">
        <f t="shared" ref="D29:D39" si="2">B29*C29</f>
        <v>0</v>
      </c>
    </row>
    <row r="30" spans="1:6" x14ac:dyDescent="0.2">
      <c r="A30" t="s">
        <v>14</v>
      </c>
      <c r="B30" s="41">
        <f>447.08+32.27</f>
        <v>479.34999999999997</v>
      </c>
      <c r="C30" s="12">
        <f t="shared" si="1"/>
        <v>0.77643173456135828</v>
      </c>
      <c r="D30" s="2">
        <f t="shared" si="2"/>
        <v>372.18255196198709</v>
      </c>
    </row>
    <row r="31" spans="1:6" x14ac:dyDescent="0.2">
      <c r="A31" t="s">
        <v>106</v>
      </c>
      <c r="B31" s="41">
        <v>330</v>
      </c>
      <c r="C31" s="12">
        <f t="shared" si="1"/>
        <v>0.77643173456135828</v>
      </c>
      <c r="D31" s="2">
        <f t="shared" si="2"/>
        <v>256.22247240524825</v>
      </c>
    </row>
    <row r="32" spans="1:6" x14ac:dyDescent="0.2">
      <c r="A32" t="s">
        <v>15</v>
      </c>
      <c r="B32" s="41"/>
      <c r="C32" s="12">
        <f t="shared" si="1"/>
        <v>0.77643173456135828</v>
      </c>
      <c r="D32" s="2">
        <f t="shared" si="2"/>
        <v>0</v>
      </c>
    </row>
    <row r="33" spans="1:7" x14ac:dyDescent="0.2">
      <c r="A33" t="s">
        <v>16</v>
      </c>
      <c r="B33" s="41"/>
      <c r="C33" s="12">
        <f t="shared" si="1"/>
        <v>0.77643173456135828</v>
      </c>
      <c r="D33" s="2">
        <f t="shared" si="2"/>
        <v>0</v>
      </c>
    </row>
    <row r="34" spans="1:7" x14ac:dyDescent="0.2">
      <c r="A34" t="s">
        <v>17</v>
      </c>
      <c r="B34" s="41">
        <v>466.06</v>
      </c>
      <c r="C34" s="12">
        <f t="shared" si="1"/>
        <v>0.77643173456135828</v>
      </c>
      <c r="D34" s="2">
        <f t="shared" si="2"/>
        <v>361.86377420966664</v>
      </c>
    </row>
    <row r="35" spans="1:7" x14ac:dyDescent="0.2">
      <c r="A35" t="s">
        <v>18</v>
      </c>
      <c r="B35" s="41">
        <v>4432.5600000000004</v>
      </c>
      <c r="C35" s="12">
        <f t="shared" si="1"/>
        <v>0.77643173456135828</v>
      </c>
      <c r="D35" s="2">
        <f t="shared" si="2"/>
        <v>3441.5802493472947</v>
      </c>
      <c r="F35" s="2"/>
      <c r="G35" s="42"/>
    </row>
    <row r="36" spans="1:7" x14ac:dyDescent="0.2">
      <c r="A36" t="s">
        <v>31</v>
      </c>
      <c r="B36" s="41">
        <f>70.95+504.37</f>
        <v>575.32000000000005</v>
      </c>
      <c r="C36" s="12">
        <f t="shared" si="1"/>
        <v>0.77643173456135828</v>
      </c>
      <c r="D36" s="2">
        <f t="shared" si="2"/>
        <v>446.69670552784066</v>
      </c>
    </row>
    <row r="37" spans="1:7" x14ac:dyDescent="0.2">
      <c r="A37" t="s">
        <v>75</v>
      </c>
      <c r="B37" s="41">
        <f>-13.43-4.25</f>
        <v>-17.68</v>
      </c>
      <c r="C37" s="12">
        <f t="shared" si="1"/>
        <v>0.77643173456135828</v>
      </c>
      <c r="D37" s="2">
        <f t="shared" si="2"/>
        <v>-13.727313067044815</v>
      </c>
      <c r="F37" s="2"/>
    </row>
    <row r="38" spans="1:7" x14ac:dyDescent="0.2">
      <c r="A38" t="s">
        <v>60</v>
      </c>
      <c r="B38" s="2">
        <f>-753.24+450</f>
        <v>-303.24</v>
      </c>
      <c r="C38" s="12">
        <f t="shared" si="1"/>
        <v>0.77643173456135828</v>
      </c>
      <c r="D38" s="2">
        <f t="shared" si="2"/>
        <v>-235.4451591883863</v>
      </c>
    </row>
    <row r="39" spans="1:7" x14ac:dyDescent="0.2">
      <c r="A39" t="s">
        <v>33</v>
      </c>
      <c r="C39" s="12">
        <f t="shared" si="1"/>
        <v>0.77643173456135828</v>
      </c>
      <c r="D39" s="2">
        <f t="shared" si="2"/>
        <v>0</v>
      </c>
    </row>
    <row r="40" spans="1:7" ht="13.5" thickBot="1" x14ac:dyDescent="0.25">
      <c r="D40" s="13">
        <f>SUM(D29:D39)</f>
        <v>4629.3732811966065</v>
      </c>
    </row>
    <row r="41" spans="1:7" ht="13.5" thickTop="1" x14ac:dyDescent="0.2">
      <c r="A41" s="1" t="s">
        <v>19</v>
      </c>
      <c r="F41" s="2"/>
    </row>
    <row r="42" spans="1:7" ht="13.5" thickBot="1" x14ac:dyDescent="0.25">
      <c r="A42" t="s">
        <v>20</v>
      </c>
      <c r="B42" s="79">
        <f>14173268.9/12*11</f>
        <v>12992163.158333333</v>
      </c>
      <c r="C42" s="105">
        <v>1.6000000000000001E-3</v>
      </c>
      <c r="D42" s="13">
        <f>B42*C42</f>
        <v>20787.461053333333</v>
      </c>
    </row>
    <row r="43" spans="1:7" ht="13.5" thickTop="1" x14ac:dyDescent="0.2"/>
  </sheetData>
  <printOptions horizontalCentered="1"/>
  <pageMargins left="0.5" right="0.5" top="0.5" bottom="0.5" header="0.5" footer="0.5"/>
  <pageSetup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3" workbookViewId="0">
      <selection activeCell="A29" sqref="A29"/>
    </sheetView>
  </sheetViews>
  <sheetFormatPr defaultColWidth="9.140625" defaultRowHeight="12.75" x14ac:dyDescent="0.2"/>
  <cols>
    <col min="2" max="2" width="13.7109375" customWidth="1"/>
    <col min="3" max="3" width="15.7109375" customWidth="1"/>
    <col min="4" max="4" width="16.7109375" style="6" customWidth="1"/>
    <col min="5" max="5" width="15.7109375" style="2" customWidth="1"/>
    <col min="6" max="6" width="14.7109375" customWidth="1"/>
  </cols>
  <sheetData>
    <row r="1" spans="1:6" ht="15" x14ac:dyDescent="0.2">
      <c r="A1" s="14"/>
      <c r="B1" s="14"/>
      <c r="C1" s="14"/>
      <c r="D1" s="15"/>
      <c r="E1" s="16"/>
      <c r="F1" s="14"/>
    </row>
    <row r="2" spans="1:6" ht="15.75" x14ac:dyDescent="0.25">
      <c r="A2" s="121" t="s">
        <v>32</v>
      </c>
      <c r="B2" s="121"/>
      <c r="C2" s="121"/>
      <c r="D2" s="121"/>
      <c r="E2" s="121"/>
      <c r="F2" s="121"/>
    </row>
    <row r="3" spans="1:6" ht="15.75" x14ac:dyDescent="0.25">
      <c r="A3" s="121" t="s">
        <v>21</v>
      </c>
      <c r="B3" s="121"/>
      <c r="C3" s="121"/>
      <c r="D3" s="121"/>
      <c r="E3" s="121"/>
      <c r="F3" s="121"/>
    </row>
    <row r="4" spans="1:6" ht="15.75" x14ac:dyDescent="0.25">
      <c r="A4" s="121" t="s">
        <v>152</v>
      </c>
      <c r="B4" s="121"/>
      <c r="C4" s="121"/>
      <c r="D4" s="121"/>
      <c r="E4" s="121"/>
      <c r="F4" s="121"/>
    </row>
    <row r="5" spans="1:6" ht="15.75" x14ac:dyDescent="0.25">
      <c r="A5" s="118"/>
      <c r="B5" s="118"/>
      <c r="C5" s="118"/>
      <c r="D5" s="118"/>
      <c r="E5" s="118"/>
      <c r="F5" s="118"/>
    </row>
    <row r="6" spans="1:6" ht="15.75" x14ac:dyDescent="0.25">
      <c r="A6" s="118"/>
      <c r="B6" s="118"/>
      <c r="C6" s="118"/>
      <c r="D6" s="118"/>
      <c r="E6" s="118"/>
      <c r="F6" s="118"/>
    </row>
    <row r="7" spans="1:6" ht="15" x14ac:dyDescent="0.2">
      <c r="A7" s="14"/>
      <c r="B7" s="14"/>
      <c r="C7" s="14"/>
      <c r="D7" s="15"/>
      <c r="E7" s="16"/>
      <c r="F7" s="14"/>
    </row>
    <row r="8" spans="1:6" ht="15.75" x14ac:dyDescent="0.25">
      <c r="A8" s="18" t="s">
        <v>22</v>
      </c>
      <c r="B8" s="14"/>
      <c r="C8" s="14"/>
      <c r="D8" s="15"/>
      <c r="E8" s="16"/>
      <c r="F8" s="19">
        <v>282966.12000000005</v>
      </c>
    </row>
    <row r="9" spans="1:6" ht="15" x14ac:dyDescent="0.2">
      <c r="A9" s="14"/>
      <c r="B9" s="14"/>
      <c r="C9" s="14"/>
      <c r="D9" s="15"/>
      <c r="E9" s="16"/>
      <c r="F9" s="16"/>
    </row>
    <row r="10" spans="1:6" ht="16.5" thickBot="1" x14ac:dyDescent="0.3">
      <c r="A10" s="18" t="s">
        <v>23</v>
      </c>
      <c r="B10" s="14"/>
      <c r="C10" s="16"/>
      <c r="D10" s="20"/>
      <c r="E10" s="16"/>
      <c r="F10" s="27">
        <v>112633.80444810496</v>
      </c>
    </row>
    <row r="11" spans="1:6" ht="15" x14ac:dyDescent="0.2">
      <c r="A11" s="14"/>
      <c r="B11" s="14"/>
      <c r="C11" s="14"/>
      <c r="D11" s="15"/>
      <c r="E11" s="16"/>
      <c r="F11" s="16"/>
    </row>
    <row r="12" spans="1:6" ht="15.75" x14ac:dyDescent="0.25">
      <c r="A12" s="21" t="s">
        <v>24</v>
      </c>
      <c r="B12" s="14"/>
      <c r="C12" s="14"/>
      <c r="D12" s="15"/>
      <c r="E12" s="16"/>
      <c r="F12" s="19">
        <v>170332.3155518951</v>
      </c>
    </row>
    <row r="13" spans="1:6" ht="15" x14ac:dyDescent="0.2">
      <c r="A13" s="14"/>
      <c r="B13" s="14"/>
      <c r="C13" s="14"/>
      <c r="D13" s="15"/>
      <c r="E13" s="16"/>
      <c r="F13" s="16"/>
    </row>
    <row r="14" spans="1:6" ht="16.5" thickBot="1" x14ac:dyDescent="0.3">
      <c r="A14" s="18" t="s">
        <v>12</v>
      </c>
      <c r="B14" s="14"/>
      <c r="C14" s="16"/>
      <c r="D14" s="20"/>
      <c r="E14" s="16"/>
      <c r="F14" s="27">
        <v>4629.3732811966065</v>
      </c>
    </row>
    <row r="15" spans="1:6" ht="15" x14ac:dyDescent="0.2">
      <c r="A15" s="14"/>
      <c r="B15" s="14"/>
      <c r="C15" s="14"/>
      <c r="D15" s="15"/>
      <c r="E15" s="16"/>
      <c r="F15" s="16"/>
    </row>
    <row r="16" spans="1:6" ht="15.75" x14ac:dyDescent="0.25">
      <c r="A16" s="21" t="s">
        <v>25</v>
      </c>
      <c r="B16" s="14"/>
      <c r="C16" s="14"/>
      <c r="D16" s="15"/>
      <c r="E16" s="16"/>
      <c r="F16" s="19">
        <v>165702.94227069849</v>
      </c>
    </row>
    <row r="17" spans="1:6" ht="15" x14ac:dyDescent="0.2">
      <c r="A17" s="14"/>
      <c r="B17" s="14"/>
      <c r="C17" s="14"/>
      <c r="D17" s="15"/>
      <c r="E17" s="16"/>
      <c r="F17" s="16"/>
    </row>
    <row r="18" spans="1:6" ht="15.75" x14ac:dyDescent="0.25">
      <c r="A18" s="18" t="s">
        <v>26</v>
      </c>
      <c r="B18" s="14"/>
      <c r="C18" s="14"/>
      <c r="D18" s="15"/>
      <c r="E18" s="16"/>
      <c r="F18" s="16"/>
    </row>
    <row r="19" spans="1:6" ht="16.5" thickBot="1" x14ac:dyDescent="0.3">
      <c r="A19" s="14" t="s">
        <v>27</v>
      </c>
      <c r="B19" s="14"/>
      <c r="C19" s="16"/>
      <c r="D19" s="20"/>
      <c r="E19" s="16"/>
      <c r="F19" s="27">
        <v>20787.461053333333</v>
      </c>
    </row>
    <row r="20" spans="1:6" ht="15" x14ac:dyDescent="0.2">
      <c r="A20" s="14"/>
      <c r="B20" s="14"/>
      <c r="C20" s="14"/>
      <c r="D20" s="15"/>
      <c r="E20" s="16"/>
      <c r="F20" s="16"/>
    </row>
    <row r="21" spans="1:6" ht="16.5" thickBot="1" x14ac:dyDescent="0.3">
      <c r="A21" s="21" t="s">
        <v>28</v>
      </c>
      <c r="B21" s="14"/>
      <c r="C21" s="14"/>
      <c r="D21" s="15"/>
      <c r="E21" s="16"/>
      <c r="F21" s="22">
        <v>144915.50121736515</v>
      </c>
    </row>
    <row r="22" spans="1:6" ht="15.75" thickTop="1" x14ac:dyDescent="0.2">
      <c r="A22" s="14"/>
      <c r="B22" s="14"/>
      <c r="C22" s="14"/>
      <c r="D22" s="15"/>
      <c r="E22" s="16"/>
      <c r="F22" s="16"/>
    </row>
    <row r="23" spans="1:6" ht="15.75" x14ac:dyDescent="0.25">
      <c r="A23" s="21" t="s">
        <v>34</v>
      </c>
      <c r="F23" s="30">
        <v>72458</v>
      </c>
    </row>
    <row r="24" spans="1:6" ht="15.75" x14ac:dyDescent="0.25">
      <c r="A24" s="21" t="s">
        <v>117</v>
      </c>
      <c r="F24" s="30">
        <v>-49561.271999999997</v>
      </c>
    </row>
    <row r="25" spans="1:6" ht="15.75" x14ac:dyDescent="0.25">
      <c r="A25" s="21"/>
      <c r="F25" s="30"/>
    </row>
    <row r="26" spans="1:6" ht="15.75" x14ac:dyDescent="0.25">
      <c r="A26" s="21" t="s">
        <v>109</v>
      </c>
      <c r="F26" s="30">
        <v>-56420</v>
      </c>
    </row>
    <row r="27" spans="1:6" ht="15.75" x14ac:dyDescent="0.25">
      <c r="A27" s="21" t="s">
        <v>59</v>
      </c>
      <c r="F27" s="30">
        <v>-21193</v>
      </c>
    </row>
    <row r="28" spans="1:6" ht="15.75" x14ac:dyDescent="0.25">
      <c r="A28" s="21" t="s">
        <v>153</v>
      </c>
      <c r="F28" s="30">
        <v>38469</v>
      </c>
    </row>
    <row r="29" spans="1:6" ht="15.75" x14ac:dyDescent="0.25">
      <c r="A29" s="21" t="s">
        <v>154</v>
      </c>
      <c r="F29" s="30">
        <v>-16247.271999999997</v>
      </c>
    </row>
    <row r="31" spans="1:6" ht="15.75" x14ac:dyDescent="0.25">
      <c r="A31" s="21"/>
      <c r="F31" s="30"/>
    </row>
    <row r="33" spans="1:6" ht="15.75" x14ac:dyDescent="0.25">
      <c r="A33" s="21" t="s">
        <v>129</v>
      </c>
    </row>
    <row r="34" spans="1:6" ht="15" x14ac:dyDescent="0.2">
      <c r="A34" s="14"/>
      <c r="B34" s="31" t="s">
        <v>35</v>
      </c>
      <c r="C34" s="31" t="s">
        <v>1</v>
      </c>
      <c r="D34" s="32" t="s">
        <v>36</v>
      </c>
      <c r="E34" s="33" t="s">
        <v>37</v>
      </c>
      <c r="F34" s="31" t="s">
        <v>38</v>
      </c>
    </row>
    <row r="35" spans="1:6" ht="15" x14ac:dyDescent="0.2">
      <c r="A35" s="14"/>
      <c r="B35" s="34">
        <v>0.22</v>
      </c>
      <c r="C35" s="34">
        <v>0.316</v>
      </c>
      <c r="D35" s="34">
        <v>0.107</v>
      </c>
      <c r="E35" s="34">
        <v>0.215</v>
      </c>
      <c r="F35" s="34">
        <v>0.14199999999999999</v>
      </c>
    </row>
    <row r="36" spans="1:6" ht="15" x14ac:dyDescent="0.2">
      <c r="A36" s="35" t="s">
        <v>39</v>
      </c>
      <c r="B36" s="36">
        <v>0</v>
      </c>
      <c r="C36" s="36">
        <v>22896.727999999999</v>
      </c>
      <c r="D36" s="36">
        <v>0</v>
      </c>
      <c r="E36" s="36">
        <v>0</v>
      </c>
      <c r="F36" s="36">
        <v>0</v>
      </c>
    </row>
    <row r="37" spans="1:6" x14ac:dyDescent="0.2">
      <c r="A37" s="37" t="s">
        <v>40</v>
      </c>
      <c r="B37" s="92">
        <v>15940.76</v>
      </c>
      <c r="C37" s="92"/>
      <c r="D37" s="92">
        <v>7753.0059999999994</v>
      </c>
      <c r="E37" s="92">
        <v>15578.47</v>
      </c>
      <c r="F37" s="92">
        <v>10289.035999999998</v>
      </c>
    </row>
    <row r="38" spans="1:6" x14ac:dyDescent="0.2">
      <c r="E38" s="115"/>
    </row>
    <row r="39" spans="1:6" x14ac:dyDescent="0.2">
      <c r="A39" t="s">
        <v>41</v>
      </c>
      <c r="F39" s="39">
        <v>22896.727999999999</v>
      </c>
    </row>
    <row r="41" spans="1:6" x14ac:dyDescent="0.2">
      <c r="A41" s="63" t="s">
        <v>113</v>
      </c>
      <c r="F41" s="40">
        <v>49561.271999999997</v>
      </c>
    </row>
  </sheetData>
  <mergeCells count="3">
    <mergeCell ref="A2:F2"/>
    <mergeCell ref="A3:F3"/>
    <mergeCell ref="A4:F4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opLeftCell="A22" zoomScaleNormal="100" workbookViewId="0">
      <selection activeCell="A42" sqref="A42"/>
    </sheetView>
  </sheetViews>
  <sheetFormatPr defaultRowHeight="12.75" x14ac:dyDescent="0.2"/>
  <cols>
    <col min="1" max="1" width="34" customWidth="1"/>
    <col min="2" max="2" width="14" style="2" bestFit="1" customWidth="1"/>
    <col min="3" max="3" width="9.28515625" bestFit="1" customWidth="1"/>
    <col min="4" max="4" width="12.7109375" style="2" customWidth="1"/>
    <col min="5" max="5" width="32" customWidth="1"/>
    <col min="6" max="6" width="10.28515625" bestFit="1" customWidth="1"/>
    <col min="7" max="7" width="9.28515625" bestFit="1" customWidth="1"/>
  </cols>
  <sheetData>
    <row r="1" spans="1:5" x14ac:dyDescent="0.2">
      <c r="A1" s="1" t="s">
        <v>0</v>
      </c>
    </row>
    <row r="2" spans="1:5" x14ac:dyDescent="0.2">
      <c r="A2" s="25"/>
    </row>
    <row r="3" spans="1:5" x14ac:dyDescent="0.2">
      <c r="A3" s="1" t="s">
        <v>29</v>
      </c>
      <c r="B3" s="3" t="s">
        <v>1</v>
      </c>
      <c r="C3" s="117" t="s">
        <v>2</v>
      </c>
      <c r="D3" s="3" t="s">
        <v>3</v>
      </c>
      <c r="E3" s="117" t="s">
        <v>4</v>
      </c>
    </row>
    <row r="4" spans="1:5" x14ac:dyDescent="0.2">
      <c r="A4" s="1"/>
      <c r="B4" s="3"/>
      <c r="C4" s="117"/>
      <c r="D4" s="3"/>
      <c r="E4" s="117"/>
    </row>
    <row r="5" spans="1:5" x14ac:dyDescent="0.2">
      <c r="A5" s="63" t="s">
        <v>123</v>
      </c>
      <c r="B5" s="2">
        <v>1440</v>
      </c>
      <c r="C5" s="63" t="s">
        <v>124</v>
      </c>
      <c r="D5" s="23">
        <v>122853.4</v>
      </c>
      <c r="E5" s="63" t="s">
        <v>125</v>
      </c>
    </row>
    <row r="6" spans="1:5" x14ac:dyDescent="0.2">
      <c r="A6" s="5" t="s">
        <v>76</v>
      </c>
      <c r="B6" s="2">
        <v>487.5</v>
      </c>
      <c r="C6" s="63" t="s">
        <v>126</v>
      </c>
      <c r="D6" s="23">
        <f>71017.11</f>
        <v>71017.11</v>
      </c>
      <c r="E6" s="7" t="s">
        <v>127</v>
      </c>
    </row>
    <row r="7" spans="1:5" x14ac:dyDescent="0.2">
      <c r="A7" s="63" t="s">
        <v>131</v>
      </c>
      <c r="B7" s="2">
        <v>360</v>
      </c>
      <c r="C7" s="63" t="s">
        <v>132</v>
      </c>
      <c r="D7" s="23">
        <v>36315.33</v>
      </c>
      <c r="E7" s="109" t="s">
        <v>140</v>
      </c>
    </row>
    <row r="8" spans="1:5" x14ac:dyDescent="0.2">
      <c r="A8" s="63" t="s">
        <v>114</v>
      </c>
      <c r="B8" s="2">
        <v>96</v>
      </c>
      <c r="C8" s="63" t="s">
        <v>133</v>
      </c>
      <c r="D8" s="23">
        <v>9305.42</v>
      </c>
      <c r="E8" s="63" t="s">
        <v>134</v>
      </c>
    </row>
    <row r="9" spans="1:5" x14ac:dyDescent="0.2">
      <c r="A9" s="63" t="s">
        <v>123</v>
      </c>
      <c r="B9" s="2">
        <v>192</v>
      </c>
      <c r="C9" s="63" t="s">
        <v>135</v>
      </c>
      <c r="D9" s="23">
        <v>16380.45</v>
      </c>
      <c r="E9" s="63" t="s">
        <v>136</v>
      </c>
    </row>
    <row r="10" spans="1:5" x14ac:dyDescent="0.2">
      <c r="A10" s="63" t="s">
        <v>137</v>
      </c>
      <c r="B10" s="2">
        <v>67.5</v>
      </c>
      <c r="C10" s="63" t="s">
        <v>138</v>
      </c>
      <c r="D10" s="23">
        <v>6542.88</v>
      </c>
      <c r="E10" s="63" t="s">
        <v>139</v>
      </c>
    </row>
    <row r="11" spans="1:5" x14ac:dyDescent="0.2">
      <c r="A11" s="63" t="s">
        <v>142</v>
      </c>
      <c r="B11" s="2">
        <v>2.5</v>
      </c>
      <c r="C11" s="63" t="s">
        <v>143</v>
      </c>
      <c r="D11" s="23">
        <v>1649.89</v>
      </c>
      <c r="E11" s="7" t="s">
        <v>144</v>
      </c>
    </row>
    <row r="12" spans="1:5" x14ac:dyDescent="0.2">
      <c r="A12" s="63" t="s">
        <v>137</v>
      </c>
      <c r="B12" s="2">
        <v>195</v>
      </c>
      <c r="C12" s="63" t="s">
        <v>147</v>
      </c>
      <c r="D12" s="23">
        <v>18901.64</v>
      </c>
      <c r="E12" s="63" t="s">
        <v>149</v>
      </c>
    </row>
    <row r="13" spans="1:5" x14ac:dyDescent="0.2">
      <c r="A13" s="63" t="s">
        <v>155</v>
      </c>
      <c r="B13" s="2">
        <v>36.69</v>
      </c>
      <c r="C13" s="63" t="s">
        <v>156</v>
      </c>
      <c r="D13" s="23">
        <v>3911.6</v>
      </c>
      <c r="E13" s="63" t="s">
        <v>157</v>
      </c>
    </row>
    <row r="14" spans="1:5" x14ac:dyDescent="0.2">
      <c r="A14" s="63" t="s">
        <v>114</v>
      </c>
      <c r="B14" s="2">
        <v>96</v>
      </c>
      <c r="C14" s="63" t="s">
        <v>158</v>
      </c>
      <c r="D14" s="23">
        <v>9305.42</v>
      </c>
      <c r="E14" s="63" t="s">
        <v>134</v>
      </c>
    </row>
    <row r="15" spans="1:5" x14ac:dyDescent="0.2">
      <c r="A15" s="63" t="s">
        <v>119</v>
      </c>
      <c r="B15" s="2">
        <v>15</v>
      </c>
      <c r="C15" s="63" t="s">
        <v>159</v>
      </c>
      <c r="D15" s="23">
        <v>2436.5500000000002</v>
      </c>
      <c r="E15" s="63" t="s">
        <v>160</v>
      </c>
    </row>
    <row r="16" spans="1:5" x14ac:dyDescent="0.2">
      <c r="A16" s="63" t="s">
        <v>137</v>
      </c>
      <c r="B16" s="2">
        <v>90</v>
      </c>
      <c r="C16" s="63" t="s">
        <v>161</v>
      </c>
      <c r="D16" s="23">
        <v>8723.84</v>
      </c>
      <c r="E16" s="63" t="s">
        <v>120</v>
      </c>
    </row>
    <row r="17" spans="1:6" x14ac:dyDescent="0.2">
      <c r="A17" s="5" t="s">
        <v>76</v>
      </c>
      <c r="B17" s="2">
        <v>98.3</v>
      </c>
      <c r="C17" s="63" t="s">
        <v>162</v>
      </c>
      <c r="D17" s="23">
        <v>10099.33</v>
      </c>
      <c r="E17" s="63" t="s">
        <v>163</v>
      </c>
    </row>
    <row r="18" spans="1:6" x14ac:dyDescent="0.2">
      <c r="A18" s="5"/>
      <c r="C18" s="63"/>
      <c r="D18" s="8"/>
      <c r="E18" s="7"/>
    </row>
    <row r="19" spans="1:6" ht="13.5" thickBot="1" x14ac:dyDescent="0.25">
      <c r="B19" s="9">
        <f>SUM(B5:B18)</f>
        <v>3176.4900000000002</v>
      </c>
      <c r="D19" s="9">
        <f>SUM(D5:D18)</f>
        <v>317442.86000000004</v>
      </c>
    </row>
    <row r="20" spans="1:6" ht="13.5" thickTop="1" x14ac:dyDescent="0.2">
      <c r="A20" t="s">
        <v>5</v>
      </c>
    </row>
    <row r="21" spans="1:6" x14ac:dyDescent="0.2">
      <c r="A21" s="10" t="s">
        <v>6</v>
      </c>
      <c r="B21" s="41">
        <f>317442.86+15683.15+82814.27</f>
        <v>415940.28</v>
      </c>
      <c r="C21" s="26"/>
      <c r="D21" s="11">
        <f>D19/B21</f>
        <v>0.76319336035452023</v>
      </c>
    </row>
    <row r="22" spans="1:6" x14ac:dyDescent="0.2">
      <c r="A22" s="10"/>
      <c r="B22" s="41"/>
    </row>
    <row r="23" spans="1:6" x14ac:dyDescent="0.2">
      <c r="A23" s="1" t="s">
        <v>7</v>
      </c>
    </row>
    <row r="24" spans="1:6" x14ac:dyDescent="0.2">
      <c r="A24" s="1" t="s">
        <v>8</v>
      </c>
      <c r="B24" s="29"/>
      <c r="E24" s="24"/>
    </row>
    <row r="25" spans="1:6" x14ac:dyDescent="0.2">
      <c r="A25" t="s">
        <v>77</v>
      </c>
      <c r="B25" s="2">
        <f>9151.36+1070.87</f>
        <v>10222.23</v>
      </c>
      <c r="C25" s="12">
        <v>1</v>
      </c>
      <c r="D25" s="2">
        <f t="shared" ref="D25:D31" si="0">B25*C25</f>
        <v>10222.23</v>
      </c>
      <c r="E25" s="26"/>
    </row>
    <row r="26" spans="1:6" x14ac:dyDescent="0.2">
      <c r="A26" t="s">
        <v>42</v>
      </c>
      <c r="C26" s="12">
        <f>$D$21</f>
        <v>0.76319336035452023</v>
      </c>
      <c r="D26" s="2">
        <f t="shared" si="0"/>
        <v>0</v>
      </c>
      <c r="E26" s="26"/>
    </row>
    <row r="27" spans="1:6" x14ac:dyDescent="0.2">
      <c r="A27" t="s">
        <v>9</v>
      </c>
      <c r="B27" s="2">
        <f>$B$19</f>
        <v>3176.4900000000002</v>
      </c>
      <c r="C27" s="2">
        <v>1.75</v>
      </c>
      <c r="D27" s="2">
        <f t="shared" si="0"/>
        <v>5558.8575000000001</v>
      </c>
    </row>
    <row r="28" spans="1:6" x14ac:dyDescent="0.2">
      <c r="A28" t="s">
        <v>10</v>
      </c>
      <c r="B28" s="2">
        <f>$B$19</f>
        <v>3176.4900000000002</v>
      </c>
      <c r="C28" s="2">
        <v>26</v>
      </c>
      <c r="D28" s="2">
        <f t="shared" si="0"/>
        <v>82588.740000000005</v>
      </c>
      <c r="F28" s="2"/>
    </row>
    <row r="29" spans="1:6" x14ac:dyDescent="0.2">
      <c r="A29" t="s">
        <v>11</v>
      </c>
      <c r="B29" s="2">
        <f>$B$19</f>
        <v>3176.4900000000002</v>
      </c>
      <c r="C29" s="2">
        <v>6.5</v>
      </c>
      <c r="D29" s="2">
        <f t="shared" si="0"/>
        <v>20647.185000000001</v>
      </c>
    </row>
    <row r="30" spans="1:6" x14ac:dyDescent="0.2">
      <c r="A30" t="s">
        <v>58</v>
      </c>
      <c r="C30" s="12">
        <v>1</v>
      </c>
      <c r="D30" s="2">
        <f t="shared" si="0"/>
        <v>0</v>
      </c>
    </row>
    <row r="31" spans="1:6" x14ac:dyDescent="0.2">
      <c r="A31" t="s">
        <v>30</v>
      </c>
      <c r="B31" s="41">
        <f>1000+2600+3000</f>
        <v>6600</v>
      </c>
      <c r="C31" s="12">
        <f>$D$21</f>
        <v>0.76319336035452023</v>
      </c>
      <c r="D31" s="2">
        <f t="shared" si="0"/>
        <v>5037.0761783398339</v>
      </c>
      <c r="E31" s="28"/>
    </row>
    <row r="32" spans="1:6" ht="13.5" thickBot="1" x14ac:dyDescent="0.25">
      <c r="A32" s="1"/>
      <c r="D32" s="13">
        <f>SUM(D25:D31)</f>
        <v>124054.08867833983</v>
      </c>
    </row>
    <row r="33" spans="1:7" ht="13.5" thickTop="1" x14ac:dyDescent="0.2">
      <c r="A33" s="1" t="s">
        <v>12</v>
      </c>
      <c r="B33" s="29"/>
    </row>
    <row r="34" spans="1:7" x14ac:dyDescent="0.2">
      <c r="A34" t="s">
        <v>13</v>
      </c>
      <c r="B34" s="41"/>
      <c r="C34" s="12">
        <f t="shared" ref="C34:C44" si="1">$D$21</f>
        <v>0.76319336035452023</v>
      </c>
      <c r="D34" s="2">
        <f t="shared" ref="D34:D44" si="2">B34*C34</f>
        <v>0</v>
      </c>
    </row>
    <row r="35" spans="1:7" x14ac:dyDescent="0.2">
      <c r="A35" t="s">
        <v>14</v>
      </c>
      <c r="B35" s="41">
        <f>521.9</f>
        <v>521.9</v>
      </c>
      <c r="C35" s="12">
        <f t="shared" si="1"/>
        <v>0.76319336035452023</v>
      </c>
      <c r="D35" s="2">
        <f t="shared" si="2"/>
        <v>398.31061476902408</v>
      </c>
    </row>
    <row r="36" spans="1:7" x14ac:dyDescent="0.2">
      <c r="A36" t="s">
        <v>106</v>
      </c>
      <c r="B36" s="41">
        <v>360</v>
      </c>
      <c r="C36" s="12">
        <f t="shared" si="1"/>
        <v>0.76319336035452023</v>
      </c>
      <c r="D36" s="2">
        <f t="shared" si="2"/>
        <v>274.74960972762727</v>
      </c>
    </row>
    <row r="37" spans="1:7" x14ac:dyDescent="0.2">
      <c r="A37" t="s">
        <v>15</v>
      </c>
      <c r="B37" s="41"/>
      <c r="C37" s="12">
        <f t="shared" si="1"/>
        <v>0.76319336035452023</v>
      </c>
      <c r="D37" s="2">
        <f t="shared" si="2"/>
        <v>0</v>
      </c>
    </row>
    <row r="38" spans="1:7" x14ac:dyDescent="0.2">
      <c r="A38" t="s">
        <v>16</v>
      </c>
      <c r="B38" s="41"/>
      <c r="C38" s="12">
        <f t="shared" si="1"/>
        <v>0.76319336035452023</v>
      </c>
      <c r="D38" s="2">
        <f t="shared" si="2"/>
        <v>0</v>
      </c>
    </row>
    <row r="39" spans="1:7" x14ac:dyDescent="0.2">
      <c r="A39" t="s">
        <v>17</v>
      </c>
      <c r="B39" s="41">
        <v>507.24</v>
      </c>
      <c r="C39" s="12">
        <f t="shared" si="1"/>
        <v>0.76319336035452023</v>
      </c>
      <c r="D39" s="2">
        <f t="shared" si="2"/>
        <v>387.12220010622684</v>
      </c>
    </row>
    <row r="40" spans="1:7" x14ac:dyDescent="0.2">
      <c r="A40" t="s">
        <v>18</v>
      </c>
      <c r="B40" s="41">
        <v>4835.5200000000004</v>
      </c>
      <c r="C40" s="12">
        <f t="shared" si="1"/>
        <v>0.76319336035452023</v>
      </c>
      <c r="D40" s="2">
        <f t="shared" si="2"/>
        <v>3690.4367578614902</v>
      </c>
      <c r="F40" s="2"/>
      <c r="G40" s="42"/>
    </row>
    <row r="41" spans="1:7" x14ac:dyDescent="0.2">
      <c r="A41" t="s">
        <v>31</v>
      </c>
      <c r="B41" s="41">
        <f>77.4+550.18</f>
        <v>627.57999999999993</v>
      </c>
      <c r="C41" s="12">
        <f t="shared" si="1"/>
        <v>0.76319336035452023</v>
      </c>
      <c r="D41" s="2">
        <f t="shared" si="2"/>
        <v>478.96488909128976</v>
      </c>
    </row>
    <row r="42" spans="1:7" x14ac:dyDescent="0.2">
      <c r="A42" t="s">
        <v>75</v>
      </c>
      <c r="B42" s="41">
        <f>-3.42-40.28</f>
        <v>-43.7</v>
      </c>
      <c r="C42" s="12">
        <f t="shared" si="1"/>
        <v>0.76319336035452023</v>
      </c>
      <c r="D42" s="2">
        <f t="shared" si="2"/>
        <v>-33.351549847492535</v>
      </c>
      <c r="F42" s="2"/>
    </row>
    <row r="43" spans="1:7" x14ac:dyDescent="0.2">
      <c r="A43" t="s">
        <v>60</v>
      </c>
      <c r="B43" s="2">
        <v>-778.76</v>
      </c>
      <c r="C43" s="12">
        <f t="shared" si="1"/>
        <v>0.76319336035452023</v>
      </c>
      <c r="D43" s="2">
        <f t="shared" si="2"/>
        <v>-594.34446130968615</v>
      </c>
    </row>
    <row r="44" spans="1:7" x14ac:dyDescent="0.2">
      <c r="A44" t="s">
        <v>33</v>
      </c>
      <c r="C44" s="12">
        <f t="shared" si="1"/>
        <v>0.76319336035452023</v>
      </c>
      <c r="D44" s="2">
        <f t="shared" si="2"/>
        <v>0</v>
      </c>
    </row>
    <row r="45" spans="1:7" ht="13.5" thickBot="1" x14ac:dyDescent="0.25">
      <c r="D45" s="13">
        <f>SUM(D34:D44)</f>
        <v>4601.888060398479</v>
      </c>
    </row>
    <row r="46" spans="1:7" ht="13.5" thickTop="1" x14ac:dyDescent="0.2">
      <c r="A46" s="1" t="s">
        <v>19</v>
      </c>
      <c r="F46" s="2"/>
    </row>
    <row r="47" spans="1:7" ht="13.5" thickBot="1" x14ac:dyDescent="0.25">
      <c r="A47" t="s">
        <v>20</v>
      </c>
      <c r="B47" s="79">
        <f>22742939.4/12*12</f>
        <v>22742939.399999999</v>
      </c>
      <c r="C47" s="105">
        <v>1.9E-3</v>
      </c>
      <c r="D47" s="13">
        <f>B47*C47</f>
        <v>43211.584859999995</v>
      </c>
    </row>
    <row r="48" spans="1:7" ht="13.5" thickTop="1" x14ac:dyDescent="0.2"/>
  </sheetData>
  <printOptions horizontalCentered="1"/>
  <pageMargins left="0.5" right="0.5" top="0.5" bottom="0.5" header="0.5" footer="0.5"/>
  <pageSetup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topLeftCell="A19" workbookViewId="0">
      <selection activeCell="F31" sqref="F31"/>
    </sheetView>
  </sheetViews>
  <sheetFormatPr defaultColWidth="9.140625" defaultRowHeight="12.75" x14ac:dyDescent="0.2"/>
  <cols>
    <col min="2" max="2" width="13.7109375" customWidth="1"/>
    <col min="3" max="3" width="15.7109375" customWidth="1"/>
    <col min="4" max="4" width="16.7109375" style="6" customWidth="1"/>
    <col min="5" max="5" width="15.7109375" style="2" customWidth="1"/>
    <col min="6" max="6" width="14.7109375" customWidth="1"/>
  </cols>
  <sheetData>
    <row r="1" spans="1:6" ht="15" x14ac:dyDescent="0.2">
      <c r="A1" s="14"/>
      <c r="B1" s="14"/>
      <c r="C1" s="14"/>
      <c r="D1" s="15"/>
      <c r="E1" s="16"/>
      <c r="F1" s="14"/>
    </row>
    <row r="2" spans="1:6" ht="15.75" x14ac:dyDescent="0.25">
      <c r="A2" s="121" t="s">
        <v>32</v>
      </c>
      <c r="B2" s="121"/>
      <c r="C2" s="121"/>
      <c r="D2" s="121"/>
      <c r="E2" s="121"/>
      <c r="F2" s="121"/>
    </row>
    <row r="3" spans="1:6" ht="15.75" x14ac:dyDescent="0.25">
      <c r="A3" s="121" t="s">
        <v>21</v>
      </c>
      <c r="B3" s="121"/>
      <c r="C3" s="121"/>
      <c r="D3" s="121"/>
      <c r="E3" s="121"/>
      <c r="F3" s="121"/>
    </row>
    <row r="4" spans="1:6" ht="15.75" x14ac:dyDescent="0.25">
      <c r="A4" s="121" t="s">
        <v>164</v>
      </c>
      <c r="B4" s="121"/>
      <c r="C4" s="121"/>
      <c r="D4" s="121"/>
      <c r="E4" s="121"/>
      <c r="F4" s="121"/>
    </row>
    <row r="5" spans="1:6" ht="15.75" x14ac:dyDescent="0.25">
      <c r="A5" s="116"/>
      <c r="B5" s="116"/>
      <c r="C5" s="116"/>
      <c r="D5" s="116"/>
      <c r="E5" s="116"/>
      <c r="F5" s="116"/>
    </row>
    <row r="6" spans="1:6" ht="15.75" x14ac:dyDescent="0.25">
      <c r="A6" s="116"/>
      <c r="B6" s="116"/>
      <c r="C6" s="116"/>
      <c r="D6" s="116"/>
      <c r="E6" s="116"/>
      <c r="F6" s="116"/>
    </row>
    <row r="7" spans="1:6" ht="15" x14ac:dyDescent="0.2">
      <c r="A7" s="14"/>
      <c r="B7" s="14"/>
      <c r="C7" s="14"/>
      <c r="D7" s="15"/>
      <c r="E7" s="16"/>
      <c r="F7" s="14"/>
    </row>
    <row r="8" spans="1:6" ht="15.75" x14ac:dyDescent="0.25">
      <c r="A8" s="18" t="s">
        <v>22</v>
      </c>
      <c r="B8" s="14"/>
      <c r="C8" s="14"/>
      <c r="D8" s="15"/>
      <c r="E8" s="16"/>
      <c r="F8" s="19">
        <f>'Norm-Detail 12-31'!D19</f>
        <v>317442.86000000004</v>
      </c>
    </row>
    <row r="9" spans="1:6" ht="15" x14ac:dyDescent="0.2">
      <c r="A9" s="14"/>
      <c r="B9" s="14"/>
      <c r="C9" s="14"/>
      <c r="D9" s="15"/>
      <c r="E9" s="16"/>
      <c r="F9" s="16"/>
    </row>
    <row r="10" spans="1:6" ht="16.5" thickBot="1" x14ac:dyDescent="0.3">
      <c r="A10" s="18" t="s">
        <v>23</v>
      </c>
      <c r="B10" s="14"/>
      <c r="C10" s="16"/>
      <c r="D10" s="20"/>
      <c r="E10" s="16"/>
      <c r="F10" s="27">
        <f>'Norm-Detail 12-31'!D32</f>
        <v>124054.08867833983</v>
      </c>
    </row>
    <row r="11" spans="1:6" ht="15" x14ac:dyDescent="0.2">
      <c r="A11" s="14"/>
      <c r="B11" s="14"/>
      <c r="C11" s="14"/>
      <c r="D11" s="15"/>
      <c r="E11" s="16"/>
      <c r="F11" s="16"/>
    </row>
    <row r="12" spans="1:6" ht="15.75" x14ac:dyDescent="0.25">
      <c r="A12" s="21" t="s">
        <v>24</v>
      </c>
      <c r="B12" s="14"/>
      <c r="C12" s="14"/>
      <c r="D12" s="15"/>
      <c r="E12" s="16"/>
      <c r="F12" s="19">
        <f>F8-F10</f>
        <v>193388.7713216602</v>
      </c>
    </row>
    <row r="13" spans="1:6" ht="15" x14ac:dyDescent="0.2">
      <c r="A13" s="14"/>
      <c r="B13" s="14"/>
      <c r="C13" s="14"/>
      <c r="D13" s="15"/>
      <c r="E13" s="16"/>
      <c r="F13" s="16"/>
    </row>
    <row r="14" spans="1:6" ht="16.5" thickBot="1" x14ac:dyDescent="0.3">
      <c r="A14" s="18" t="s">
        <v>12</v>
      </c>
      <c r="B14" s="14"/>
      <c r="C14" s="16"/>
      <c r="D14" s="20"/>
      <c r="E14" s="16"/>
      <c r="F14" s="27">
        <f>'Norm-Detail 12-31'!D45</f>
        <v>4601.888060398479</v>
      </c>
    </row>
    <row r="15" spans="1:6" ht="15" x14ac:dyDescent="0.2">
      <c r="A15" s="14"/>
      <c r="B15" s="14"/>
      <c r="C15" s="14"/>
      <c r="D15" s="15"/>
      <c r="E15" s="16"/>
      <c r="F15" s="16"/>
    </row>
    <row r="16" spans="1:6" ht="15.75" x14ac:dyDescent="0.25">
      <c r="A16" s="21" t="s">
        <v>25</v>
      </c>
      <c r="B16" s="14"/>
      <c r="C16" s="14"/>
      <c r="D16" s="15"/>
      <c r="E16" s="16"/>
      <c r="F16" s="19">
        <f>F12-F14</f>
        <v>188786.88326126171</v>
      </c>
    </row>
    <row r="17" spans="1:6" ht="15" x14ac:dyDescent="0.2">
      <c r="A17" s="14"/>
      <c r="B17" s="14"/>
      <c r="C17" s="14"/>
      <c r="D17" s="15"/>
      <c r="E17" s="16"/>
      <c r="F17" s="16"/>
    </row>
    <row r="18" spans="1:6" ht="15.75" x14ac:dyDescent="0.25">
      <c r="A18" s="18" t="s">
        <v>26</v>
      </c>
      <c r="B18" s="14"/>
      <c r="C18" s="14"/>
      <c r="D18" s="15"/>
      <c r="E18" s="16"/>
      <c r="F18" s="16"/>
    </row>
    <row r="19" spans="1:6" ht="16.5" thickBot="1" x14ac:dyDescent="0.3">
      <c r="A19" s="14" t="s">
        <v>27</v>
      </c>
      <c r="B19" s="14"/>
      <c r="C19" s="16"/>
      <c r="D19" s="20"/>
      <c r="E19" s="16"/>
      <c r="F19" s="27">
        <f>'Norm-Detail 12-31'!D47</f>
        <v>43211.584859999995</v>
      </c>
    </row>
    <row r="20" spans="1:6" ht="15" x14ac:dyDescent="0.2">
      <c r="A20" s="14"/>
      <c r="B20" s="14"/>
      <c r="C20" s="14"/>
      <c r="D20" s="15"/>
      <c r="E20" s="16"/>
      <c r="F20" s="16"/>
    </row>
    <row r="21" spans="1:6" ht="16.5" thickBot="1" x14ac:dyDescent="0.3">
      <c r="A21" s="21" t="s">
        <v>28</v>
      </c>
      <c r="B21" s="14"/>
      <c r="C21" s="14"/>
      <c r="D21" s="15"/>
      <c r="E21" s="16"/>
      <c r="F21" s="22">
        <f>F16-F19+0.02</f>
        <v>145575.3184012617</v>
      </c>
    </row>
    <row r="22" spans="1:6" ht="15.75" thickTop="1" x14ac:dyDescent="0.2">
      <c r="A22" s="14"/>
      <c r="B22" s="14"/>
      <c r="C22" s="14"/>
      <c r="D22" s="15"/>
      <c r="E22" s="16"/>
      <c r="F22" s="16"/>
    </row>
    <row r="23" spans="1:6" ht="15.75" x14ac:dyDescent="0.25">
      <c r="A23" s="21" t="s">
        <v>34</v>
      </c>
      <c r="F23" s="106">
        <f>ROUND(F21*50%,0)</f>
        <v>72788</v>
      </c>
    </row>
    <row r="24" spans="1:6" ht="15.75" x14ac:dyDescent="0.25">
      <c r="A24" s="21" t="s">
        <v>165</v>
      </c>
      <c r="F24" s="120">
        <f>-F41</f>
        <v>-23801.675999999999</v>
      </c>
    </row>
    <row r="25" spans="1:6" ht="15.75" x14ac:dyDescent="0.25">
      <c r="A25" s="21"/>
      <c r="F25" s="106">
        <f>SUM(F23:F24)</f>
        <v>48986.324000000001</v>
      </c>
    </row>
    <row r="26" spans="1:6" ht="15.75" x14ac:dyDescent="0.25">
      <c r="A26" s="21" t="s">
        <v>109</v>
      </c>
      <c r="F26" s="106">
        <v>-56420</v>
      </c>
    </row>
    <row r="27" spans="1:6" ht="15.75" x14ac:dyDescent="0.25">
      <c r="A27" s="21" t="s">
        <v>59</v>
      </c>
      <c r="F27" s="106">
        <v>-21193</v>
      </c>
    </row>
    <row r="28" spans="1:6" ht="15.75" x14ac:dyDescent="0.25">
      <c r="A28" s="21" t="s">
        <v>153</v>
      </c>
      <c r="F28" s="106">
        <v>38469</v>
      </c>
    </row>
    <row r="29" spans="1:6" ht="15.75" x14ac:dyDescent="0.25">
      <c r="A29" s="21" t="s">
        <v>166</v>
      </c>
      <c r="F29" s="106">
        <v>16247</v>
      </c>
    </row>
    <row r="31" spans="1:6" ht="15.75" x14ac:dyDescent="0.25">
      <c r="A31" s="21" t="s">
        <v>121</v>
      </c>
      <c r="F31" s="106">
        <f>SUM(F25:F29)</f>
        <v>26089.324000000001</v>
      </c>
    </row>
    <row r="33" spans="1:6" ht="15.75" x14ac:dyDescent="0.25">
      <c r="A33" s="21" t="s">
        <v>129</v>
      </c>
    </row>
    <row r="34" spans="1:6" ht="15" x14ac:dyDescent="0.2">
      <c r="A34" s="14"/>
      <c r="B34" s="31" t="s">
        <v>35</v>
      </c>
      <c r="C34" s="31" t="s">
        <v>1</v>
      </c>
      <c r="D34" s="32" t="s">
        <v>36</v>
      </c>
      <c r="E34" s="33" t="s">
        <v>37</v>
      </c>
      <c r="F34" s="31" t="s">
        <v>38</v>
      </c>
    </row>
    <row r="35" spans="1:6" ht="15" x14ac:dyDescent="0.2">
      <c r="A35" s="14"/>
      <c r="B35" s="34">
        <v>0.22</v>
      </c>
      <c r="C35" s="34">
        <v>0.316</v>
      </c>
      <c r="D35" s="34">
        <v>0.107</v>
      </c>
      <c r="E35" s="34">
        <v>0.215</v>
      </c>
      <c r="F35" s="34">
        <v>0.14199999999999999</v>
      </c>
    </row>
    <row r="36" spans="1:6" ht="15" x14ac:dyDescent="0.2">
      <c r="A36" s="35" t="s">
        <v>39</v>
      </c>
      <c r="B36" s="36">
        <v>0</v>
      </c>
      <c r="C36" s="36">
        <f>F23*C35</f>
        <v>23001.008000000002</v>
      </c>
      <c r="D36" s="36">
        <v>0</v>
      </c>
      <c r="E36" s="36">
        <f>F23*E35</f>
        <v>15649.42</v>
      </c>
      <c r="F36" s="36">
        <f>F23*F35</f>
        <v>10335.895999999999</v>
      </c>
    </row>
    <row r="37" spans="1:6" x14ac:dyDescent="0.2">
      <c r="A37" s="37" t="s">
        <v>40</v>
      </c>
      <c r="B37" s="92">
        <f>F23*B35</f>
        <v>16013.36</v>
      </c>
      <c r="C37" s="92"/>
      <c r="D37" s="92">
        <f>F23*D35</f>
        <v>7788.3159999999998</v>
      </c>
      <c r="E37" s="92"/>
      <c r="F37" s="92"/>
    </row>
    <row r="38" spans="1:6" x14ac:dyDescent="0.2">
      <c r="E38" s="115"/>
    </row>
    <row r="39" spans="1:6" x14ac:dyDescent="0.2">
      <c r="A39" t="s">
        <v>41</v>
      </c>
      <c r="F39" s="39">
        <f>B36+C36+D36+E36+F36</f>
        <v>48986.324000000001</v>
      </c>
    </row>
    <row r="41" spans="1:6" x14ac:dyDescent="0.2">
      <c r="A41" s="63" t="s">
        <v>113</v>
      </c>
      <c r="F41" s="40">
        <f>B37+D37+E37+F37</f>
        <v>23801.675999999999</v>
      </c>
    </row>
  </sheetData>
  <mergeCells count="3">
    <mergeCell ref="A2:F2"/>
    <mergeCell ref="A3:F3"/>
    <mergeCell ref="A4:F4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23"/>
  <sheetViews>
    <sheetView showGridLines="0" workbookViewId="0">
      <selection activeCell="F14" sqref="F14"/>
    </sheetView>
  </sheetViews>
  <sheetFormatPr defaultRowHeight="12.75" x14ac:dyDescent="0.2"/>
  <cols>
    <col min="1" max="1" width="5" style="81" customWidth="1"/>
    <col min="2" max="2" width="2" style="81" customWidth="1"/>
    <col min="3" max="3" width="61.7109375" style="81" customWidth="1"/>
    <col min="4" max="4" width="28.7109375" style="81" customWidth="1"/>
    <col min="5" max="5" width="2" style="81" customWidth="1"/>
    <col min="6" max="6" width="11.7109375" style="81" customWidth="1"/>
    <col min="7" max="7" width="2" style="81" customWidth="1"/>
    <col min="8" max="8" width="12.42578125" style="81" customWidth="1"/>
    <col min="9" max="12" width="11.7109375" style="81" customWidth="1"/>
    <col min="13" max="13" width="2" style="81" customWidth="1"/>
    <col min="14" max="14" width="11.7109375" style="81" customWidth="1"/>
    <col min="15" max="16384" width="9.140625" style="81"/>
  </cols>
  <sheetData>
    <row r="1" spans="1:14" ht="15.75" x14ac:dyDescent="0.25">
      <c r="A1" s="80" t="s">
        <v>81</v>
      </c>
      <c r="N1" s="82" t="s">
        <v>82</v>
      </c>
    </row>
    <row r="2" spans="1:14" ht="16.5" thickBot="1" x14ac:dyDescent="0.3">
      <c r="A2" s="94" t="s">
        <v>169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ht="36" customHeight="1" thickTop="1" x14ac:dyDescent="0.2">
      <c r="A3" s="84"/>
      <c r="B3" s="84"/>
      <c r="C3" s="84"/>
      <c r="D3" s="84"/>
      <c r="E3" s="84"/>
      <c r="H3" s="85" t="s">
        <v>83</v>
      </c>
      <c r="I3" s="86"/>
      <c r="J3" s="86"/>
      <c r="K3" s="86"/>
      <c r="L3" s="86"/>
      <c r="M3" s="86"/>
      <c r="N3" s="87"/>
    </row>
    <row r="4" spans="1:14" ht="30" customHeight="1" thickBot="1" x14ac:dyDescent="0.25">
      <c r="A4" s="84"/>
      <c r="B4" s="84"/>
      <c r="C4" s="84"/>
      <c r="D4" s="88" t="s">
        <v>84</v>
      </c>
      <c r="F4" s="88" t="s">
        <v>85</v>
      </c>
      <c r="H4" s="88" t="s">
        <v>86</v>
      </c>
      <c r="I4" s="89" t="s">
        <v>1</v>
      </c>
      <c r="J4" s="89" t="s">
        <v>87</v>
      </c>
      <c r="K4" s="89" t="s">
        <v>88</v>
      </c>
      <c r="L4" s="89" t="s">
        <v>89</v>
      </c>
      <c r="N4" s="89" t="s">
        <v>44</v>
      </c>
    </row>
    <row r="5" spans="1:14" ht="15.75" customHeight="1" x14ac:dyDescent="0.2">
      <c r="A5" s="95">
        <v>1</v>
      </c>
      <c r="B5" s="96" t="s">
        <v>170</v>
      </c>
      <c r="C5" s="63"/>
      <c r="D5" s="96" t="s">
        <v>171</v>
      </c>
      <c r="E5" s="63"/>
      <c r="F5" s="63"/>
      <c r="G5" s="63"/>
      <c r="H5" s="91">
        <v>620004</v>
      </c>
      <c r="I5" s="91">
        <v>2063366</v>
      </c>
      <c r="J5" s="91">
        <v>727969</v>
      </c>
      <c r="K5" s="91">
        <v>1403872</v>
      </c>
      <c r="L5" s="91">
        <v>927209</v>
      </c>
      <c r="M5" s="90"/>
      <c r="N5" s="91">
        <f t="shared" ref="N5:N19" si="0">SUM(H5:L5)</f>
        <v>5742420</v>
      </c>
    </row>
    <row r="6" spans="1:14" ht="14.1" customHeight="1" x14ac:dyDescent="0.2">
      <c r="A6" s="95">
        <f t="shared" ref="A6:A19" si="1">A5+1</f>
        <v>2</v>
      </c>
      <c r="B6" s="96" t="s">
        <v>172</v>
      </c>
      <c r="C6" s="63"/>
      <c r="D6" s="63" t="s">
        <v>90</v>
      </c>
      <c r="E6" s="63"/>
      <c r="F6" s="63"/>
      <c r="G6" s="63"/>
      <c r="H6" s="91">
        <v>776119</v>
      </c>
      <c r="I6" s="91">
        <v>2453592.2400000002</v>
      </c>
      <c r="J6" s="91">
        <v>694650</v>
      </c>
      <c r="K6" s="91">
        <v>1409960</v>
      </c>
      <c r="L6" s="91">
        <v>1106424</v>
      </c>
      <c r="M6" s="91"/>
      <c r="N6" s="91">
        <f>SUM(H6:L6)</f>
        <v>6440745.2400000002</v>
      </c>
    </row>
    <row r="7" spans="1:14" ht="14.1" customHeight="1" x14ac:dyDescent="0.2">
      <c r="A7" s="95">
        <f t="shared" si="1"/>
        <v>3</v>
      </c>
      <c r="B7" s="96" t="s">
        <v>91</v>
      </c>
      <c r="C7" s="63"/>
      <c r="D7" s="63" t="s">
        <v>92</v>
      </c>
      <c r="E7" s="63"/>
      <c r="F7" s="63"/>
      <c r="G7" s="63"/>
      <c r="H7" s="91">
        <v>-215005</v>
      </c>
      <c r="I7" s="63"/>
      <c r="J7" s="63"/>
      <c r="K7" s="63"/>
      <c r="L7" s="63"/>
      <c r="M7" s="63"/>
      <c r="N7" s="91">
        <f t="shared" si="0"/>
        <v>-215005</v>
      </c>
    </row>
    <row r="8" spans="1:14" ht="14.1" customHeight="1" x14ac:dyDescent="0.2">
      <c r="A8" s="95">
        <f t="shared" si="1"/>
        <v>4</v>
      </c>
      <c r="B8" s="96"/>
      <c r="C8" s="63"/>
      <c r="D8" s="97"/>
      <c r="E8" s="63"/>
      <c r="F8" s="63"/>
      <c r="G8" s="63"/>
      <c r="H8" s="63"/>
      <c r="I8" s="91"/>
      <c r="J8" s="91"/>
      <c r="K8" s="91"/>
      <c r="L8" s="91"/>
      <c r="M8" s="91"/>
      <c r="N8" s="91">
        <f t="shared" si="0"/>
        <v>0</v>
      </c>
    </row>
    <row r="9" spans="1:14" ht="14.1" customHeight="1" x14ac:dyDescent="0.2">
      <c r="A9" s="95">
        <f t="shared" si="1"/>
        <v>5</v>
      </c>
      <c r="B9" s="96" t="s">
        <v>173</v>
      </c>
      <c r="C9" s="63"/>
      <c r="D9" s="97" t="str">
        <f>"Sum of lines "&amp;TEXT(A6,"#")&amp;"–"&amp;TEXT(A8,"#")</f>
        <v>Sum of lines 2–4</v>
      </c>
      <c r="E9" s="63"/>
      <c r="F9" s="63"/>
      <c r="G9" s="63"/>
      <c r="H9" s="98">
        <f>SUM(H6:H8)</f>
        <v>561114</v>
      </c>
      <c r="I9" s="98">
        <f>SUM(I6:I8)</f>
        <v>2453592.2400000002</v>
      </c>
      <c r="J9" s="98">
        <f>SUM(J6:J8)</f>
        <v>694650</v>
      </c>
      <c r="K9" s="98">
        <f>SUM(K6:K8)</f>
        <v>1409960</v>
      </c>
      <c r="L9" s="98">
        <f>SUM(L6:L8)</f>
        <v>1106424</v>
      </c>
      <c r="M9" s="98"/>
      <c r="N9" s="91">
        <f t="shared" si="0"/>
        <v>6225740.2400000002</v>
      </c>
    </row>
    <row r="10" spans="1:14" ht="14.1" customHeight="1" x14ac:dyDescent="0.2">
      <c r="A10" s="95">
        <f t="shared" si="1"/>
        <v>6</v>
      </c>
      <c r="B10" s="96" t="s">
        <v>174</v>
      </c>
      <c r="C10" s="63"/>
      <c r="D10" s="97" t="str">
        <f>"Line "&amp;TEXT(A9,"#")&amp;" – line "&amp;TEXT(A5,"#")</f>
        <v>Line 5 – line 1</v>
      </c>
      <c r="E10" s="63"/>
      <c r="F10" s="63"/>
      <c r="G10" s="63"/>
      <c r="H10" s="98">
        <f>H9-H5</f>
        <v>-58890</v>
      </c>
      <c r="I10" s="98">
        <f>I9-I5</f>
        <v>390226.24000000022</v>
      </c>
      <c r="J10" s="98">
        <f>J9-J5</f>
        <v>-33319</v>
      </c>
      <c r="K10" s="98">
        <f>K9-K5</f>
        <v>6088</v>
      </c>
      <c r="L10" s="98">
        <f>L9-L5</f>
        <v>179215</v>
      </c>
      <c r="M10" s="98"/>
      <c r="N10" s="91">
        <f t="shared" si="0"/>
        <v>483320.24000000022</v>
      </c>
    </row>
    <row r="11" spans="1:14" ht="14.1" customHeight="1" x14ac:dyDescent="0.2">
      <c r="A11" s="95">
        <f t="shared" si="1"/>
        <v>7</v>
      </c>
      <c r="B11" s="96" t="s">
        <v>175</v>
      </c>
      <c r="C11" s="63"/>
      <c r="D11" s="96" t="s">
        <v>93</v>
      </c>
      <c r="E11" s="63"/>
      <c r="F11" s="63"/>
      <c r="G11" s="63"/>
      <c r="H11" s="98"/>
      <c r="I11" s="98"/>
      <c r="J11" s="98"/>
      <c r="K11" s="98"/>
      <c r="L11" s="98"/>
      <c r="M11" s="98"/>
      <c r="N11" s="91"/>
    </row>
    <row r="12" spans="1:14" ht="14.1" customHeight="1" x14ac:dyDescent="0.2">
      <c r="A12" s="95">
        <f t="shared" si="1"/>
        <v>8</v>
      </c>
      <c r="B12" s="63"/>
      <c r="C12" s="96" t="s">
        <v>94</v>
      </c>
      <c r="D12" s="96" t="s">
        <v>111</v>
      </c>
      <c r="E12" s="63"/>
      <c r="F12" s="90">
        <v>317443</v>
      </c>
      <c r="G12" s="90"/>
      <c r="H12" s="98"/>
      <c r="I12" s="98"/>
      <c r="J12" s="98"/>
      <c r="K12" s="98"/>
      <c r="L12" s="98"/>
      <c r="M12" s="98"/>
      <c r="N12" s="91"/>
    </row>
    <row r="13" spans="1:14" ht="14.1" customHeight="1" x14ac:dyDescent="0.2">
      <c r="A13" s="95">
        <f t="shared" si="1"/>
        <v>9</v>
      </c>
      <c r="B13" s="63"/>
      <c r="C13" s="63" t="s">
        <v>95</v>
      </c>
      <c r="D13" s="96" t="s">
        <v>111</v>
      </c>
      <c r="E13" s="63"/>
      <c r="F13" s="99">
        <f>-124054-4602-43212</f>
        <v>-171868</v>
      </c>
      <c r="G13" s="100"/>
      <c r="H13" s="98"/>
      <c r="I13" s="98"/>
      <c r="J13" s="98"/>
      <c r="K13" s="98"/>
      <c r="L13" s="98"/>
      <c r="M13" s="98"/>
      <c r="N13" s="91"/>
    </row>
    <row r="14" spans="1:14" ht="14.1" customHeight="1" x14ac:dyDescent="0.2">
      <c r="A14" s="95">
        <f t="shared" si="1"/>
        <v>10</v>
      </c>
      <c r="B14" s="63"/>
      <c r="C14" s="96" t="s">
        <v>96</v>
      </c>
      <c r="D14" s="97" t="str">
        <f>"Line "&amp;TEXT(A12,"#")&amp;" – line "&amp;TEXT(A13,"#")</f>
        <v>Line 8 – line 9</v>
      </c>
      <c r="E14" s="63"/>
      <c r="F14" s="98">
        <f>SUM(F12:F13)</f>
        <v>145575</v>
      </c>
      <c r="G14" s="98"/>
      <c r="H14" s="98"/>
      <c r="I14" s="98"/>
      <c r="J14" s="98"/>
      <c r="K14" s="98"/>
      <c r="L14" s="98"/>
      <c r="M14" s="98"/>
      <c r="N14" s="91"/>
    </row>
    <row r="15" spans="1:14" ht="14.1" customHeight="1" x14ac:dyDescent="0.2">
      <c r="A15" s="95">
        <f t="shared" si="1"/>
        <v>11</v>
      </c>
      <c r="B15" s="63"/>
      <c r="C15" s="63" t="s">
        <v>97</v>
      </c>
      <c r="D15" s="97" t="str">
        <f>"Line "&amp;TEXT(A14,"#")&amp;" ÷ 2"</f>
        <v>Line 10 ÷ 2</v>
      </c>
      <c r="E15" s="63"/>
      <c r="F15" s="98">
        <f>F14*0.5</f>
        <v>72787.5</v>
      </c>
      <c r="G15" s="98"/>
      <c r="H15" s="98"/>
      <c r="I15" s="98"/>
      <c r="J15" s="98"/>
      <c r="K15" s="98"/>
      <c r="L15" s="98"/>
      <c r="M15" s="98"/>
      <c r="N15" s="91"/>
    </row>
    <row r="16" spans="1:14" ht="14.1" customHeight="1" x14ac:dyDescent="0.2">
      <c r="A16" s="95">
        <f t="shared" si="1"/>
        <v>12</v>
      </c>
      <c r="B16" s="96"/>
      <c r="C16" s="96" t="s">
        <v>176</v>
      </c>
      <c r="D16" s="96" t="s">
        <v>98</v>
      </c>
      <c r="E16" s="96"/>
      <c r="F16" s="63"/>
      <c r="G16" s="63"/>
      <c r="H16" s="101">
        <v>0.22</v>
      </c>
      <c r="I16" s="101">
        <v>0.316</v>
      </c>
      <c r="J16" s="101">
        <v>0.107</v>
      </c>
      <c r="K16" s="101">
        <v>0.215</v>
      </c>
      <c r="L16" s="101">
        <v>0.14199999999999999</v>
      </c>
      <c r="M16" s="101"/>
      <c r="N16" s="101">
        <f>SUM(H16:M16)</f>
        <v>1</v>
      </c>
    </row>
    <row r="17" spans="1:14" ht="14.1" customHeight="1" x14ac:dyDescent="0.2">
      <c r="A17" s="95">
        <f t="shared" si="1"/>
        <v>13</v>
      </c>
      <c r="B17" s="63"/>
      <c r="C17" s="96" t="s">
        <v>99</v>
      </c>
      <c r="D17" s="97" t="str">
        <f>"Line "&amp;TEXT(A16,"#")&amp;" x line "&amp;TEXT(A15,"#")</f>
        <v>Line 12 x line 11</v>
      </c>
      <c r="E17" s="63"/>
      <c r="F17" s="63"/>
      <c r="G17" s="63"/>
      <c r="H17" s="98">
        <f>$F$15*H$16</f>
        <v>16013.25</v>
      </c>
      <c r="I17" s="98">
        <f>$F$15*I$16</f>
        <v>23000.85</v>
      </c>
      <c r="J17" s="98">
        <f>$F$15*J$16</f>
        <v>7788.2624999999998</v>
      </c>
      <c r="K17" s="98">
        <f>$F$15*K$16</f>
        <v>15649.3125</v>
      </c>
      <c r="L17" s="98">
        <f>$F$15*L$16</f>
        <v>10335.824999999999</v>
      </c>
      <c r="M17" s="98"/>
      <c r="N17" s="91">
        <f t="shared" si="0"/>
        <v>72787.5</v>
      </c>
    </row>
    <row r="18" spans="1:14" ht="14.1" customHeight="1" x14ac:dyDescent="0.2">
      <c r="A18" s="95">
        <f t="shared" si="1"/>
        <v>14</v>
      </c>
      <c r="B18" s="63" t="s">
        <v>100</v>
      </c>
      <c r="C18" s="63"/>
      <c r="D18" s="97" t="str">
        <f>"Line "&amp;TEXT(A10,"#")&amp;" + line "&amp;TEXT(A17,"#")&amp;" (if positive)"</f>
        <v>Line 6 + line 13 (if positive)</v>
      </c>
      <c r="E18" s="63"/>
      <c r="F18" s="102"/>
      <c r="G18" s="102"/>
      <c r="H18" s="98">
        <f>IF(SUM(H10,H17)&gt;=0,SUM(H10,H17),0)</f>
        <v>0</v>
      </c>
      <c r="I18" s="98">
        <f>IF(SUM(I10,I17)&gt;=0,SUM(I10,I17),0)</f>
        <v>413227.0900000002</v>
      </c>
      <c r="J18" s="98">
        <f>IF(SUM(J10,J17)&gt;=0,SUM(J10,J17),0)</f>
        <v>0</v>
      </c>
      <c r="K18" s="98">
        <f>IF(SUM(K10,K17)&gt;=0,SUM(K10,K17),0)</f>
        <v>21737.3125</v>
      </c>
      <c r="L18" s="98">
        <f>IF(SUM(L10,L17)&gt;=0,SUM(L10,L17),0)</f>
        <v>189550.82500000001</v>
      </c>
      <c r="M18" s="98"/>
      <c r="N18" s="91">
        <f t="shared" si="0"/>
        <v>624515.22750000027</v>
      </c>
    </row>
    <row r="19" spans="1:14" ht="14.1" customHeight="1" x14ac:dyDescent="0.2">
      <c r="A19" s="95">
        <f t="shared" si="1"/>
        <v>15</v>
      </c>
      <c r="B19" s="96" t="s">
        <v>177</v>
      </c>
      <c r="C19" s="63"/>
      <c r="D19" s="97" t="str">
        <f>"Line "&amp;TEXT(A10,"#")&amp;" + line "&amp;TEXT(A17,"#")&amp;" (if negative)"</f>
        <v>Line 6 + line 13 (if negative)</v>
      </c>
      <c r="E19" s="63"/>
      <c r="F19" s="63"/>
      <c r="G19" s="63"/>
      <c r="H19" s="98">
        <f>IF(SUM(H10,H17)&lt;0,-SUM(H10,H17),0)</f>
        <v>42876.75</v>
      </c>
      <c r="I19" s="98">
        <f>IF(SUM(I10,I17)&lt;0,-SUM(I10,I17),0)</f>
        <v>0</v>
      </c>
      <c r="J19" s="98">
        <f>IF(SUM(J10,J17)&lt;0,-SUM(J10,J17),0)</f>
        <v>25530.737499999999</v>
      </c>
      <c r="K19" s="98">
        <f>IF(SUM(K10,K17)&lt;0,-SUM(K10,K17),0)</f>
        <v>0</v>
      </c>
      <c r="L19" s="98">
        <f>IF(SUM(L10,L17)&lt;0,-SUM(L10,L17),0)</f>
        <v>0</v>
      </c>
      <c r="M19" s="98"/>
      <c r="N19" s="91">
        <f t="shared" si="0"/>
        <v>68407.487500000003</v>
      </c>
    </row>
    <row r="20" spans="1:14" ht="30" customHeight="1" x14ac:dyDescent="0.2">
      <c r="A20" s="96" t="s">
        <v>178</v>
      </c>
    </row>
    <row r="21" spans="1:14" x14ac:dyDescent="0.2">
      <c r="A21" s="96" t="s">
        <v>101</v>
      </c>
    </row>
    <row r="22" spans="1:14" x14ac:dyDescent="0.2">
      <c r="A22" s="96" t="s">
        <v>102</v>
      </c>
    </row>
    <row r="23" spans="1:14" x14ac:dyDescent="0.2">
      <c r="A23" s="96" t="s">
        <v>103</v>
      </c>
    </row>
  </sheetData>
  <phoneticPr fontId="20" type="noConversion"/>
  <printOptions horizontalCentered="1" gridLinesSet="0"/>
  <pageMargins left="0.25" right="0.25" top="0.5" bottom="0.5" header="0.5" footer="0.5"/>
  <pageSetup scale="73" orientation="landscape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H22"/>
  <sheetViews>
    <sheetView workbookViewId="0">
      <selection activeCell="B22" sqref="B22"/>
    </sheetView>
  </sheetViews>
  <sheetFormatPr defaultRowHeight="12.75" x14ac:dyDescent="0.2"/>
  <cols>
    <col min="1" max="1" width="42.28515625" style="65" customWidth="1"/>
    <col min="2" max="2" width="17" style="65" customWidth="1"/>
    <col min="3" max="5" width="14" style="65" bestFit="1" customWidth="1"/>
    <col min="6" max="7" width="14" style="65" customWidth="1"/>
    <col min="8" max="8" width="15" style="65" bestFit="1" customWidth="1"/>
    <col min="9" max="9" width="10.42578125" style="65" bestFit="1" customWidth="1"/>
    <col min="10" max="16384" width="9.140625" style="65"/>
  </cols>
  <sheetData>
    <row r="1" spans="1:8" x14ac:dyDescent="0.2">
      <c r="A1" s="64" t="s">
        <v>104</v>
      </c>
    </row>
    <row r="2" spans="1:8" x14ac:dyDescent="0.2">
      <c r="A2" s="64" t="s">
        <v>62</v>
      </c>
    </row>
    <row r="3" spans="1:8" x14ac:dyDescent="0.2">
      <c r="A3" s="66" t="s">
        <v>167</v>
      </c>
    </row>
    <row r="4" spans="1:8" x14ac:dyDescent="0.2">
      <c r="A4" s="64"/>
      <c r="E4" s="67"/>
    </row>
    <row r="5" spans="1:8" x14ac:dyDescent="0.2">
      <c r="C5" s="68"/>
      <c r="D5" s="68"/>
      <c r="E5" s="68"/>
      <c r="H5" s="69"/>
    </row>
    <row r="6" spans="1:8" x14ac:dyDescent="0.2">
      <c r="A6" s="70" t="s">
        <v>168</v>
      </c>
      <c r="B6" s="71">
        <v>22742939.399999999</v>
      </c>
      <c r="C6" s="68"/>
      <c r="D6" s="68"/>
      <c r="E6" s="72"/>
      <c r="H6" s="69"/>
    </row>
    <row r="7" spans="1:8" x14ac:dyDescent="0.2">
      <c r="A7" s="65" t="s">
        <v>63</v>
      </c>
      <c r="B7" s="73">
        <f>B22</f>
        <v>1.9E-3</v>
      </c>
      <c r="C7" s="72"/>
      <c r="D7" s="68"/>
      <c r="E7" s="74"/>
      <c r="H7" s="69"/>
    </row>
    <row r="8" spans="1:8" ht="13.5" thickBot="1" x14ac:dyDescent="0.25">
      <c r="A8" s="65" t="s">
        <v>105</v>
      </c>
      <c r="B8" s="75">
        <f>+B6*B7</f>
        <v>43211.584859999995</v>
      </c>
      <c r="C8" s="68"/>
      <c r="D8" s="68"/>
      <c r="E8" s="72"/>
    </row>
    <row r="9" spans="1:8" ht="13.5" thickTop="1" x14ac:dyDescent="0.2">
      <c r="C9" s="68"/>
      <c r="D9" s="68"/>
      <c r="E9" s="68"/>
    </row>
    <row r="10" spans="1:8" x14ac:dyDescent="0.2">
      <c r="C10" s="68"/>
      <c r="D10" s="68"/>
      <c r="E10" s="68"/>
    </row>
    <row r="11" spans="1:8" x14ac:dyDescent="0.2">
      <c r="A11" s="65" t="s">
        <v>64</v>
      </c>
    </row>
    <row r="12" spans="1:8" x14ac:dyDescent="0.2">
      <c r="A12" s="70" t="s">
        <v>65</v>
      </c>
    </row>
    <row r="13" spans="1:8" x14ac:dyDescent="0.2">
      <c r="A13" s="93" t="s">
        <v>110</v>
      </c>
    </row>
    <row r="14" spans="1:8" x14ac:dyDescent="0.2">
      <c r="A14" s="70"/>
    </row>
    <row r="15" spans="1:8" x14ac:dyDescent="0.2">
      <c r="A15" s="65" t="s">
        <v>66</v>
      </c>
      <c r="B15" s="71">
        <v>317442.86</v>
      </c>
    </row>
    <row r="16" spans="1:8" x14ac:dyDescent="0.2">
      <c r="B16" s="71"/>
    </row>
    <row r="17" spans="1:2" x14ac:dyDescent="0.2">
      <c r="A17" s="65" t="s">
        <v>122</v>
      </c>
      <c r="B17" s="71">
        <v>218104354.13</v>
      </c>
    </row>
    <row r="18" spans="1:2" x14ac:dyDescent="0.2">
      <c r="A18" s="65" t="s">
        <v>68</v>
      </c>
      <c r="B18" s="69"/>
    </row>
    <row r="19" spans="1:2" ht="15" x14ac:dyDescent="0.35">
      <c r="A19" s="65" t="s">
        <v>69</v>
      </c>
      <c r="B19" s="76">
        <f>-5721000.78-9343246.77-40056868.72</f>
        <v>-55121116.269999996</v>
      </c>
    </row>
    <row r="20" spans="1:2" x14ac:dyDescent="0.2">
      <c r="B20" s="71">
        <f>SUM(B17:B19)</f>
        <v>162983237.86000001</v>
      </c>
    </row>
    <row r="22" spans="1:2" x14ac:dyDescent="0.2">
      <c r="A22" s="65" t="s">
        <v>70</v>
      </c>
      <c r="B22" s="77">
        <f>ROUND((B15/B20),4)</f>
        <v>1.9E-3</v>
      </c>
    </row>
  </sheetData>
  <pageMargins left="0.75" right="0.75" top="1" bottom="1" header="0.5" footer="0.5"/>
  <pageSetup orientation="portrait" r:id="rId1"/>
  <headerFooter alignWithMargins="0">
    <oddFooter>&amp;L&amp;"Times New Roman,Regular"&amp;8&amp;Z&amp;F
&amp;A&amp;C&amp;"Times New Roman,Regular"&amp;8Page &amp;P of &amp;N&amp;R&amp;"Times New Roman,Regular"&amp;8&amp;D
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22"/>
  <sheetViews>
    <sheetView workbookViewId="0">
      <selection activeCell="F22" sqref="F22"/>
    </sheetView>
  </sheetViews>
  <sheetFormatPr defaultColWidth="9.140625" defaultRowHeight="12.75" x14ac:dyDescent="0.2"/>
  <cols>
    <col min="2" max="2" width="13.7109375" customWidth="1"/>
    <col min="3" max="3" width="15.7109375" customWidth="1"/>
    <col min="4" max="4" width="16.7109375" style="6" customWidth="1"/>
    <col min="5" max="5" width="15.7109375" style="2" customWidth="1"/>
    <col min="6" max="6" width="14.7109375" customWidth="1"/>
  </cols>
  <sheetData>
    <row r="1" spans="1:6" ht="15" x14ac:dyDescent="0.2">
      <c r="A1" s="14"/>
      <c r="B1" s="14"/>
      <c r="C1" s="14"/>
      <c r="D1" s="15"/>
      <c r="E1" s="16"/>
      <c r="F1" s="14"/>
    </row>
    <row r="2" spans="1:6" ht="15.75" x14ac:dyDescent="0.25">
      <c r="A2" s="121" t="s">
        <v>32</v>
      </c>
      <c r="B2" s="121"/>
      <c r="C2" s="121"/>
      <c r="D2" s="121"/>
      <c r="E2" s="121"/>
      <c r="F2" s="121"/>
    </row>
    <row r="3" spans="1:6" ht="15.75" x14ac:dyDescent="0.25">
      <c r="A3" s="121" t="s">
        <v>21</v>
      </c>
      <c r="B3" s="121"/>
      <c r="C3" s="121"/>
      <c r="D3" s="121"/>
      <c r="E3" s="121"/>
      <c r="F3" s="121"/>
    </row>
    <row r="4" spans="1:6" ht="15.75" x14ac:dyDescent="0.25">
      <c r="A4" s="121" t="s">
        <v>164</v>
      </c>
      <c r="B4" s="121"/>
      <c r="C4" s="121"/>
      <c r="D4" s="121"/>
      <c r="E4" s="121"/>
      <c r="F4" s="121"/>
    </row>
    <row r="5" spans="1:6" ht="15.75" x14ac:dyDescent="0.25">
      <c r="A5" s="17"/>
      <c r="B5" s="17"/>
      <c r="C5" s="17"/>
      <c r="D5" s="17"/>
      <c r="E5" s="17"/>
      <c r="F5" s="17"/>
    </row>
    <row r="6" spans="1:6" ht="15.75" x14ac:dyDescent="0.25">
      <c r="A6" s="17"/>
      <c r="B6" s="17"/>
      <c r="C6" s="17"/>
      <c r="D6" s="17"/>
      <c r="E6" s="17"/>
      <c r="F6" s="17"/>
    </row>
    <row r="7" spans="1:6" ht="15" x14ac:dyDescent="0.2">
      <c r="A7" s="14"/>
      <c r="B7" s="14"/>
      <c r="C7" s="14"/>
      <c r="D7" s="15"/>
      <c r="E7" s="16"/>
      <c r="F7" s="14"/>
    </row>
    <row r="8" spans="1:6" ht="15.75" x14ac:dyDescent="0.25">
      <c r="A8" s="18" t="s">
        <v>22</v>
      </c>
      <c r="B8" s="14"/>
      <c r="C8" s="14"/>
      <c r="D8" s="15"/>
      <c r="E8" s="16"/>
      <c r="F8" s="19">
        <f>'Norm 12-31 50% Refund'!F8</f>
        <v>317442.86000000004</v>
      </c>
    </row>
    <row r="9" spans="1:6" ht="15" x14ac:dyDescent="0.2">
      <c r="A9" s="14"/>
      <c r="B9" s="14"/>
      <c r="C9" s="14"/>
      <c r="D9" s="15"/>
      <c r="E9" s="16"/>
      <c r="F9" s="16"/>
    </row>
    <row r="10" spans="1:6" ht="16.5" thickBot="1" x14ac:dyDescent="0.3">
      <c r="A10" s="18" t="s">
        <v>23</v>
      </c>
      <c r="B10" s="14"/>
      <c r="C10" s="16"/>
      <c r="D10" s="20"/>
      <c r="E10" s="16"/>
      <c r="F10" s="27">
        <f>'Norm 12-31 50% Refund'!F10</f>
        <v>124054.08867833983</v>
      </c>
    </row>
    <row r="11" spans="1:6" ht="15" x14ac:dyDescent="0.2">
      <c r="A11" s="14"/>
      <c r="B11" s="14"/>
      <c r="C11" s="14"/>
      <c r="D11" s="15"/>
      <c r="E11" s="16"/>
      <c r="F11" s="16"/>
    </row>
    <row r="12" spans="1:6" ht="15.75" x14ac:dyDescent="0.25">
      <c r="A12" s="21" t="s">
        <v>24</v>
      </c>
      <c r="B12" s="14"/>
      <c r="C12" s="14"/>
      <c r="D12" s="15"/>
      <c r="E12" s="16"/>
      <c r="F12" s="19">
        <f>F8-F10</f>
        <v>193388.7713216602</v>
      </c>
    </row>
    <row r="13" spans="1:6" ht="15" x14ac:dyDescent="0.2">
      <c r="A13" s="14"/>
      <c r="B13" s="14"/>
      <c r="C13" s="14"/>
      <c r="D13" s="15"/>
      <c r="E13" s="16"/>
      <c r="F13" s="16"/>
    </row>
    <row r="14" spans="1:6" ht="16.5" thickBot="1" x14ac:dyDescent="0.3">
      <c r="A14" s="18" t="s">
        <v>12</v>
      </c>
      <c r="B14" s="14"/>
      <c r="C14" s="16"/>
      <c r="D14" s="20"/>
      <c r="E14" s="16"/>
      <c r="F14" s="27">
        <f>'Norm 12-31 50% Refund'!F14</f>
        <v>4601.888060398479</v>
      </c>
    </row>
    <row r="15" spans="1:6" ht="15" x14ac:dyDescent="0.2">
      <c r="A15" s="14"/>
      <c r="B15" s="14"/>
      <c r="C15" s="14"/>
      <c r="D15" s="15"/>
      <c r="E15" s="16"/>
      <c r="F15" s="16"/>
    </row>
    <row r="16" spans="1:6" ht="15.75" x14ac:dyDescent="0.25">
      <c r="A16" s="21" t="s">
        <v>25</v>
      </c>
      <c r="B16" s="14"/>
      <c r="C16" s="14"/>
      <c r="D16" s="15"/>
      <c r="E16" s="16"/>
      <c r="F16" s="19">
        <f>F12-F14</f>
        <v>188786.88326126171</v>
      </c>
    </row>
    <row r="17" spans="1:6" ht="15" x14ac:dyDescent="0.2">
      <c r="A17" s="14"/>
      <c r="B17" s="14"/>
      <c r="C17" s="14"/>
      <c r="D17" s="15"/>
      <c r="E17" s="16"/>
      <c r="F17" s="16"/>
    </row>
    <row r="18" spans="1:6" ht="15.75" x14ac:dyDescent="0.25">
      <c r="A18" s="18" t="s">
        <v>26</v>
      </c>
      <c r="B18" s="14"/>
      <c r="C18" s="14"/>
      <c r="D18" s="15"/>
      <c r="E18" s="16"/>
      <c r="F18" s="16"/>
    </row>
    <row r="19" spans="1:6" ht="16.5" thickBot="1" x14ac:dyDescent="0.3">
      <c r="A19" s="14" t="s">
        <v>27</v>
      </c>
      <c r="B19" s="14"/>
      <c r="C19" s="16"/>
      <c r="D19" s="20"/>
      <c r="E19" s="16"/>
      <c r="F19" s="27">
        <f>'Norm 12-31 50% Refund'!F19</f>
        <v>43211.584859999995</v>
      </c>
    </row>
    <row r="20" spans="1:6" ht="15" x14ac:dyDescent="0.2">
      <c r="A20" s="14"/>
      <c r="B20" s="14"/>
      <c r="C20" s="14"/>
      <c r="D20" s="15"/>
      <c r="E20" s="16"/>
      <c r="F20" s="16"/>
    </row>
    <row r="21" spans="1:6" ht="16.5" thickBot="1" x14ac:dyDescent="0.3">
      <c r="A21" s="21" t="s">
        <v>28</v>
      </c>
      <c r="B21" s="14"/>
      <c r="C21" s="14"/>
      <c r="D21" s="15"/>
      <c r="E21" s="16"/>
      <c r="F21" s="22">
        <f>F16-F19</f>
        <v>145575.29840126171</v>
      </c>
    </row>
    <row r="22" spans="1:6" ht="15.75" thickTop="1" x14ac:dyDescent="0.2">
      <c r="A22" s="14"/>
      <c r="B22" s="14"/>
      <c r="C22" s="14"/>
      <c r="D22" s="15"/>
      <c r="E22" s="16"/>
      <c r="F22" s="16"/>
    </row>
  </sheetData>
  <mergeCells count="3">
    <mergeCell ref="A2:F2"/>
    <mergeCell ref="A3:F3"/>
    <mergeCell ref="A4:F4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21"/>
  <sheetViews>
    <sheetView workbookViewId="0">
      <selection activeCell="B16" sqref="B16"/>
    </sheetView>
  </sheetViews>
  <sheetFormatPr defaultRowHeight="12.75" x14ac:dyDescent="0.2"/>
  <cols>
    <col min="1" max="1" width="42.28515625" style="65" customWidth="1"/>
    <col min="2" max="2" width="17" style="65" customWidth="1"/>
    <col min="3" max="3" width="14.5703125" style="65" bestFit="1" customWidth="1"/>
    <col min="4" max="6" width="14" style="65" bestFit="1" customWidth="1"/>
    <col min="7" max="8" width="14" style="65" customWidth="1"/>
    <col min="9" max="9" width="15" style="65" bestFit="1" customWidth="1"/>
    <col min="10" max="10" width="10.42578125" style="65" bestFit="1" customWidth="1"/>
    <col min="11" max="16384" width="9.140625" style="65"/>
  </cols>
  <sheetData>
    <row r="1" spans="1:9" x14ac:dyDescent="0.2">
      <c r="A1" s="64" t="s">
        <v>61</v>
      </c>
    </row>
    <row r="2" spans="1:9" x14ac:dyDescent="0.2">
      <c r="A2" s="64" t="s">
        <v>62</v>
      </c>
    </row>
    <row r="3" spans="1:9" x14ac:dyDescent="0.2">
      <c r="A3" s="66" t="s">
        <v>79</v>
      </c>
    </row>
    <row r="4" spans="1:9" x14ac:dyDescent="0.2">
      <c r="A4" s="64"/>
      <c r="F4" s="67"/>
    </row>
    <row r="5" spans="1:9" x14ac:dyDescent="0.2">
      <c r="D5" s="68"/>
      <c r="E5" s="68"/>
      <c r="F5" s="68"/>
      <c r="I5" s="69"/>
    </row>
    <row r="6" spans="1:9" x14ac:dyDescent="0.2">
      <c r="A6" s="70" t="s">
        <v>80</v>
      </c>
      <c r="B6" s="71">
        <v>11135643.66</v>
      </c>
      <c r="D6" s="68"/>
      <c r="E6" s="68"/>
      <c r="F6" s="72"/>
      <c r="I6" s="69"/>
    </row>
    <row r="7" spans="1:9" x14ac:dyDescent="0.2">
      <c r="A7" s="65" t="s">
        <v>71</v>
      </c>
      <c r="B7" s="73">
        <f>B21</f>
        <v>7.3300000000000004E-2</v>
      </c>
      <c r="D7" s="72"/>
      <c r="E7" s="68"/>
      <c r="F7" s="74"/>
      <c r="I7" s="69"/>
    </row>
    <row r="8" spans="1:9" ht="13.5" thickBot="1" x14ac:dyDescent="0.25">
      <c r="A8" s="65" t="s">
        <v>72</v>
      </c>
      <c r="B8" s="75">
        <f>+B6*B7</f>
        <v>816242.68027800007</v>
      </c>
      <c r="D8" s="68"/>
      <c r="E8" s="68"/>
      <c r="F8" s="72"/>
    </row>
    <row r="9" spans="1:9" ht="13.5" thickTop="1" x14ac:dyDescent="0.2">
      <c r="D9" s="68"/>
      <c r="E9" s="68"/>
      <c r="F9" s="68"/>
    </row>
    <row r="10" spans="1:9" x14ac:dyDescent="0.2">
      <c r="D10" s="68"/>
      <c r="E10" s="68"/>
      <c r="F10" s="68"/>
    </row>
    <row r="11" spans="1:9" x14ac:dyDescent="0.2">
      <c r="A11" s="65" t="s">
        <v>73</v>
      </c>
    </row>
    <row r="12" spans="1:9" x14ac:dyDescent="0.2">
      <c r="A12" s="70" t="s">
        <v>65</v>
      </c>
    </row>
    <row r="13" spans="1:9" x14ac:dyDescent="0.2">
      <c r="A13" s="70"/>
    </row>
    <row r="14" spans="1:9" x14ac:dyDescent="0.2">
      <c r="A14" s="65" t="s">
        <v>74</v>
      </c>
      <c r="B14" s="71">
        <v>5448378</v>
      </c>
    </row>
    <row r="15" spans="1:9" x14ac:dyDescent="0.2">
      <c r="B15" s="71"/>
    </row>
    <row r="16" spans="1:9" x14ac:dyDescent="0.2">
      <c r="A16" s="65" t="s">
        <v>67</v>
      </c>
      <c r="B16" s="71">
        <v>102102966.48999999</v>
      </c>
    </row>
    <row r="17" spans="1:2" x14ac:dyDescent="0.2">
      <c r="A17" s="65" t="s">
        <v>68</v>
      </c>
      <c r="B17" s="69"/>
    </row>
    <row r="18" spans="1:2" ht="15" x14ac:dyDescent="0.35">
      <c r="A18" s="65" t="s">
        <v>69</v>
      </c>
      <c r="B18" s="76">
        <f>-1951093.78-6884324.57-18966509.53</f>
        <v>-27801927.880000003</v>
      </c>
    </row>
    <row r="19" spans="1:2" x14ac:dyDescent="0.2">
      <c r="B19" s="71">
        <f>SUM(B16:B18)</f>
        <v>74301038.609999985</v>
      </c>
    </row>
    <row r="21" spans="1:2" x14ac:dyDescent="0.2">
      <c r="A21" s="65" t="s">
        <v>70</v>
      </c>
      <c r="B21" s="77">
        <f>ROUND((B14/B19),4)</f>
        <v>7.3300000000000004E-2</v>
      </c>
    </row>
  </sheetData>
  <phoneticPr fontId="2" type="noConversion"/>
  <pageMargins left="0.75" right="0.75" top="1" bottom="1" header="0.5" footer="0.5"/>
  <pageSetup orientation="portrait" r:id="rId1"/>
  <headerFooter alignWithMargins="0">
    <oddFooter>&amp;L&amp;"Times New Roman,Regular"&amp;8&amp;Z&amp;F
&amp;A&amp;C&amp;"Times New Roman,Regular"&amp;8Page &amp;P of &amp;N&amp;R&amp;"Times New Roman,Regular"&amp;8&amp;D
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2:G37"/>
  <sheetViews>
    <sheetView topLeftCell="A4" workbookViewId="0">
      <selection activeCell="C22" sqref="C22"/>
    </sheetView>
  </sheetViews>
  <sheetFormatPr defaultColWidth="9.140625" defaultRowHeight="12.75" x14ac:dyDescent="0.2"/>
  <cols>
    <col min="2" max="2" width="25.7109375" customWidth="1"/>
    <col min="3" max="3" width="15.7109375" customWidth="1"/>
    <col min="4" max="4" width="5.7109375" customWidth="1"/>
    <col min="5" max="5" width="14.7109375" style="62" customWidth="1"/>
    <col min="6" max="6" width="3.7109375" style="2" customWidth="1"/>
    <col min="7" max="7" width="14.7109375" customWidth="1"/>
  </cols>
  <sheetData>
    <row r="2" spans="1:7" x14ac:dyDescent="0.2">
      <c r="A2" s="122" t="s">
        <v>32</v>
      </c>
      <c r="B2" s="122"/>
      <c r="C2" s="122"/>
      <c r="D2" s="122"/>
      <c r="E2" s="122"/>
      <c r="F2" s="122"/>
      <c r="G2" s="122"/>
    </row>
    <row r="3" spans="1:7" x14ac:dyDescent="0.2">
      <c r="A3" s="122" t="s">
        <v>43</v>
      </c>
      <c r="B3" s="122"/>
      <c r="C3" s="122"/>
      <c r="D3" s="122"/>
      <c r="E3" s="122"/>
      <c r="F3" s="122"/>
      <c r="G3" s="122"/>
    </row>
    <row r="4" spans="1:7" x14ac:dyDescent="0.2">
      <c r="A4" s="122" t="s">
        <v>78</v>
      </c>
      <c r="B4" s="122"/>
      <c r="C4" s="122"/>
      <c r="D4" s="122"/>
      <c r="E4" s="122"/>
      <c r="F4" s="122"/>
      <c r="G4" s="122"/>
    </row>
    <row r="5" spans="1:7" x14ac:dyDescent="0.2">
      <c r="A5" s="43"/>
      <c r="B5" s="4"/>
      <c r="C5" s="44"/>
      <c r="D5" s="4"/>
      <c r="E5" s="45"/>
      <c r="F5" s="4"/>
      <c r="G5" s="4"/>
    </row>
    <row r="6" spans="1:7" x14ac:dyDescent="0.2">
      <c r="A6" s="24"/>
      <c r="B6" s="4"/>
      <c r="C6" s="44"/>
      <c r="D6" s="4"/>
      <c r="E6" s="45"/>
      <c r="F6" s="4"/>
      <c r="G6" s="4"/>
    </row>
    <row r="7" spans="1:7" x14ac:dyDescent="0.2">
      <c r="A7" s="4"/>
      <c r="B7" s="4"/>
      <c r="C7" s="4"/>
      <c r="D7" s="4"/>
      <c r="E7" s="46" t="s">
        <v>44</v>
      </c>
      <c r="F7" s="4"/>
      <c r="G7" s="47" t="s">
        <v>22</v>
      </c>
    </row>
    <row r="8" spans="1:7" x14ac:dyDescent="0.2">
      <c r="A8" s="4"/>
      <c r="B8" s="4"/>
      <c r="C8" s="4"/>
      <c r="D8" s="4"/>
      <c r="E8" s="46" t="s">
        <v>22</v>
      </c>
      <c r="F8" s="4"/>
      <c r="G8" s="47" t="s">
        <v>45</v>
      </c>
    </row>
    <row r="9" spans="1:7" x14ac:dyDescent="0.2">
      <c r="A9" s="48" t="s">
        <v>46</v>
      </c>
      <c r="B9" s="5"/>
      <c r="D9" s="5"/>
      <c r="E9" s="49"/>
      <c r="F9" s="50"/>
      <c r="G9" s="51"/>
    </row>
    <row r="10" spans="1:7" x14ac:dyDescent="0.2">
      <c r="A10" s="48"/>
      <c r="B10" s="5" t="s">
        <v>47</v>
      </c>
      <c r="C10" s="5"/>
      <c r="D10" s="5"/>
      <c r="E10" s="49">
        <v>533171</v>
      </c>
      <c r="F10" s="52"/>
      <c r="G10" s="49">
        <f t="shared" ref="G10:G15" si="0">E10</f>
        <v>533171</v>
      </c>
    </row>
    <row r="11" spans="1:7" x14ac:dyDescent="0.2">
      <c r="A11" s="48"/>
      <c r="B11" s="5" t="s">
        <v>48</v>
      </c>
      <c r="C11" s="5"/>
      <c r="D11" s="5"/>
      <c r="E11" s="52">
        <v>1927378</v>
      </c>
      <c r="F11" s="52"/>
      <c r="G11" s="52">
        <f t="shared" si="0"/>
        <v>1927378</v>
      </c>
    </row>
    <row r="12" spans="1:7" x14ac:dyDescent="0.2">
      <c r="A12" s="48"/>
      <c r="B12" s="5" t="s">
        <v>49</v>
      </c>
      <c r="C12" s="5"/>
      <c r="D12" s="5"/>
      <c r="E12" s="52">
        <v>652625</v>
      </c>
      <c r="F12" s="52"/>
      <c r="G12" s="52">
        <f t="shared" si="0"/>
        <v>652625</v>
      </c>
    </row>
    <row r="13" spans="1:7" x14ac:dyDescent="0.2">
      <c r="A13" s="48"/>
      <c r="B13" s="5" t="s">
        <v>50</v>
      </c>
      <c r="C13" s="5"/>
      <c r="D13" s="5"/>
      <c r="E13" s="52">
        <v>1311349</v>
      </c>
      <c r="F13" s="52"/>
      <c r="G13" s="52">
        <f t="shared" si="0"/>
        <v>1311349</v>
      </c>
    </row>
    <row r="14" spans="1:7" x14ac:dyDescent="0.2">
      <c r="A14" s="48"/>
      <c r="B14" s="5" t="s">
        <v>51</v>
      </c>
      <c r="C14" s="5"/>
      <c r="D14" s="5"/>
      <c r="E14" s="52">
        <v>866100</v>
      </c>
      <c r="F14" s="52"/>
      <c r="G14" s="52">
        <f t="shared" si="0"/>
        <v>866100</v>
      </c>
    </row>
    <row r="15" spans="1:7" x14ac:dyDescent="0.2">
      <c r="A15" s="48"/>
      <c r="B15" s="5" t="s">
        <v>52</v>
      </c>
      <c r="C15" s="5"/>
      <c r="D15" s="5"/>
      <c r="E15" s="52">
        <v>157755</v>
      </c>
      <c r="F15" s="52"/>
      <c r="G15" s="52">
        <f t="shared" si="0"/>
        <v>157755</v>
      </c>
    </row>
    <row r="16" spans="1:7" ht="13.5" thickBot="1" x14ac:dyDescent="0.25">
      <c r="A16" s="48"/>
      <c r="B16" s="5" t="s">
        <v>53</v>
      </c>
      <c r="C16" s="5"/>
      <c r="D16" s="5"/>
      <c r="E16" s="53">
        <v>646869.19999999995</v>
      </c>
      <c r="F16" s="52"/>
      <c r="G16" s="53">
        <v>361225.23</v>
      </c>
    </row>
    <row r="17" spans="1:7" x14ac:dyDescent="0.2">
      <c r="A17" s="48"/>
      <c r="B17" s="5"/>
      <c r="C17" s="5"/>
      <c r="D17" s="5"/>
      <c r="E17" s="52"/>
      <c r="F17" s="50"/>
      <c r="G17" s="54"/>
    </row>
    <row r="18" spans="1:7" x14ac:dyDescent="0.2">
      <c r="A18" s="1" t="s">
        <v>54</v>
      </c>
      <c r="B18" s="5"/>
      <c r="C18" s="5"/>
      <c r="D18" s="5"/>
      <c r="E18" s="55">
        <f>SUM(E10:E17)</f>
        <v>6095247.2000000002</v>
      </c>
      <c r="F18" s="50"/>
      <c r="G18" s="55">
        <f>SUM(G10:G17)</f>
        <v>5809603.2300000004</v>
      </c>
    </row>
    <row r="19" spans="1:7" x14ac:dyDescent="0.2">
      <c r="A19" s="48"/>
      <c r="B19" s="5"/>
      <c r="C19" s="5"/>
      <c r="D19" s="5"/>
      <c r="E19" s="52"/>
      <c r="F19" s="50"/>
      <c r="G19" s="54"/>
    </row>
    <row r="20" spans="1:7" x14ac:dyDescent="0.2">
      <c r="A20" s="1" t="s">
        <v>55</v>
      </c>
      <c r="B20" s="5"/>
      <c r="C20" s="5"/>
      <c r="D20" s="5"/>
      <c r="E20" s="55">
        <f>+E18</f>
        <v>6095247.2000000002</v>
      </c>
      <c r="F20" s="50"/>
      <c r="G20" s="57"/>
    </row>
    <row r="21" spans="1:7" x14ac:dyDescent="0.2">
      <c r="A21" s="5"/>
      <c r="B21" s="5"/>
      <c r="C21" s="5"/>
      <c r="D21" s="5"/>
      <c r="E21" s="78"/>
      <c r="F21" s="50"/>
      <c r="G21" s="57"/>
    </row>
    <row r="22" spans="1:7" ht="13.5" thickBot="1" x14ac:dyDescent="0.25">
      <c r="A22" s="48" t="s">
        <v>23</v>
      </c>
      <c r="B22" s="5"/>
      <c r="C22" s="50"/>
      <c r="D22" s="50"/>
      <c r="E22" s="58">
        <v>2113317.84</v>
      </c>
      <c r="F22" s="50"/>
      <c r="G22" s="59"/>
    </row>
    <row r="23" spans="1:7" x14ac:dyDescent="0.2">
      <c r="A23" s="5"/>
      <c r="B23" s="5"/>
      <c r="C23" s="5"/>
      <c r="D23" s="5"/>
      <c r="E23" s="52"/>
      <c r="F23" s="50"/>
      <c r="G23" s="57"/>
    </row>
    <row r="24" spans="1:7" x14ac:dyDescent="0.2">
      <c r="A24" s="1" t="s">
        <v>24</v>
      </c>
      <c r="B24" s="5"/>
      <c r="C24" s="5"/>
      <c r="D24" s="5"/>
      <c r="E24" s="55">
        <f>+E20-E22</f>
        <v>3981929.3600000003</v>
      </c>
      <c r="F24" s="50"/>
      <c r="G24" s="59"/>
    </row>
    <row r="25" spans="1:7" x14ac:dyDescent="0.2">
      <c r="A25" s="5"/>
      <c r="B25" s="5"/>
      <c r="C25" s="5"/>
      <c r="D25" s="5"/>
      <c r="E25" s="52"/>
      <c r="F25" s="50"/>
      <c r="G25" s="57"/>
    </row>
    <row r="26" spans="1:7" ht="13.5" thickBot="1" x14ac:dyDescent="0.25">
      <c r="A26" s="48" t="s">
        <v>12</v>
      </c>
      <c r="B26" s="5"/>
      <c r="C26" s="50"/>
      <c r="D26" s="50"/>
      <c r="E26" s="58">
        <v>988846.59</v>
      </c>
      <c r="F26" s="50"/>
      <c r="G26" s="59"/>
    </row>
    <row r="27" spans="1:7" x14ac:dyDescent="0.2">
      <c r="A27" s="5"/>
      <c r="B27" s="5"/>
      <c r="C27" s="5"/>
      <c r="D27" s="5"/>
      <c r="E27" s="52"/>
      <c r="F27" s="50"/>
      <c r="G27" s="57"/>
    </row>
    <row r="28" spans="1:7" x14ac:dyDescent="0.2">
      <c r="A28" s="1" t="s">
        <v>25</v>
      </c>
      <c r="B28" s="5"/>
      <c r="C28" s="5"/>
      <c r="D28" s="5"/>
      <c r="E28" s="55">
        <f>+E24-E26</f>
        <v>2993082.7700000005</v>
      </c>
      <c r="F28" s="50"/>
      <c r="G28" s="59"/>
    </row>
    <row r="29" spans="1:7" x14ac:dyDescent="0.2">
      <c r="A29" s="5"/>
      <c r="B29" s="5"/>
      <c r="C29" s="5"/>
      <c r="D29" s="5"/>
      <c r="E29" s="52"/>
      <c r="F29" s="50"/>
      <c r="G29" s="57"/>
    </row>
    <row r="30" spans="1:7" x14ac:dyDescent="0.2">
      <c r="A30" s="48" t="s">
        <v>26</v>
      </c>
      <c r="B30" s="5"/>
      <c r="C30" s="5"/>
      <c r="D30" s="5"/>
      <c r="E30" s="52"/>
      <c r="F30" s="50"/>
      <c r="G30" s="57"/>
    </row>
    <row r="31" spans="1:7" x14ac:dyDescent="0.2">
      <c r="A31" s="5" t="s">
        <v>56</v>
      </c>
      <c r="B31" s="5"/>
      <c r="C31" s="50"/>
      <c r="D31" s="50"/>
      <c r="E31" s="52">
        <v>-426.14</v>
      </c>
      <c r="F31" s="50"/>
      <c r="G31" s="59"/>
    </row>
    <row r="32" spans="1:7" ht="13.5" thickBot="1" x14ac:dyDescent="0.25">
      <c r="A32" s="5" t="s">
        <v>27</v>
      </c>
      <c r="B32" s="5"/>
      <c r="C32" s="50"/>
      <c r="D32" s="50"/>
      <c r="E32" s="53">
        <f>'Richland Corp Allocation'!B8</f>
        <v>816242.68027800007</v>
      </c>
      <c r="F32" s="50"/>
      <c r="G32" s="59"/>
    </row>
    <row r="33" spans="1:7" x14ac:dyDescent="0.2">
      <c r="A33" s="5"/>
      <c r="B33" s="5"/>
      <c r="C33" s="50"/>
      <c r="D33" s="50"/>
      <c r="E33" s="60"/>
      <c r="F33" s="50"/>
      <c r="G33" s="59"/>
    </row>
    <row r="34" spans="1:7" x14ac:dyDescent="0.2">
      <c r="A34" s="1" t="s">
        <v>57</v>
      </c>
      <c r="B34" s="5"/>
      <c r="C34" s="50"/>
      <c r="D34" s="50"/>
      <c r="E34" s="56">
        <f>SUM(E31:E33)</f>
        <v>815816.54027800006</v>
      </c>
      <c r="F34" s="50"/>
      <c r="G34" s="59"/>
    </row>
    <row r="35" spans="1:7" x14ac:dyDescent="0.2">
      <c r="A35" s="5"/>
      <c r="B35" s="5"/>
      <c r="C35" s="5"/>
      <c r="D35" s="5"/>
      <c r="E35" s="52"/>
      <c r="F35" s="50"/>
      <c r="G35" s="57"/>
    </row>
    <row r="36" spans="1:7" ht="13.5" thickBot="1" x14ac:dyDescent="0.25">
      <c r="A36" s="1" t="s">
        <v>28</v>
      </c>
      <c r="B36" s="5"/>
      <c r="C36" s="5"/>
      <c r="D36" s="5"/>
      <c r="E36" s="61">
        <f>+E28-E34</f>
        <v>2177266.2297220007</v>
      </c>
      <c r="F36" s="50"/>
      <c r="G36" s="59"/>
    </row>
    <row r="37" spans="1:7" ht="13.5" thickTop="1" x14ac:dyDescent="0.2"/>
  </sheetData>
  <mergeCells count="3">
    <mergeCell ref="A2:G2"/>
    <mergeCell ref="A3:G3"/>
    <mergeCell ref="A4:G4"/>
  </mergeCells>
  <phoneticPr fontId="2" type="noConversion"/>
  <printOptions horizontalCentered="1"/>
  <pageMargins left="0.5" right="0.5" top="0.75" bottom="0.7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4" workbookViewId="0">
      <selection activeCell="F8" sqref="F8"/>
    </sheetView>
  </sheetViews>
  <sheetFormatPr defaultColWidth="9.140625" defaultRowHeight="12.75" x14ac:dyDescent="0.2"/>
  <cols>
    <col min="2" max="2" width="13.7109375" customWidth="1"/>
    <col min="3" max="3" width="15.7109375" customWidth="1"/>
    <col min="4" max="4" width="16.7109375" style="6" customWidth="1"/>
    <col min="5" max="5" width="15.7109375" style="2" customWidth="1"/>
    <col min="6" max="6" width="14.7109375" customWidth="1"/>
  </cols>
  <sheetData>
    <row r="1" spans="1:6" ht="15" x14ac:dyDescent="0.2">
      <c r="A1" s="14"/>
      <c r="B1" s="14"/>
      <c r="C1" s="14"/>
      <c r="D1" s="15"/>
      <c r="E1" s="16"/>
      <c r="F1" s="14"/>
    </row>
    <row r="2" spans="1:6" ht="15.75" x14ac:dyDescent="0.25">
      <c r="A2" s="121" t="s">
        <v>32</v>
      </c>
      <c r="B2" s="121"/>
      <c r="C2" s="121"/>
      <c r="D2" s="121"/>
      <c r="E2" s="121"/>
      <c r="F2" s="121"/>
    </row>
    <row r="3" spans="1:6" ht="15.75" x14ac:dyDescent="0.25">
      <c r="A3" s="121" t="s">
        <v>21</v>
      </c>
      <c r="B3" s="121"/>
      <c r="C3" s="121"/>
      <c r="D3" s="121"/>
      <c r="E3" s="121"/>
      <c r="F3" s="121"/>
    </row>
    <row r="4" spans="1:6" ht="15.75" x14ac:dyDescent="0.25">
      <c r="A4" s="121" t="s">
        <v>128</v>
      </c>
      <c r="B4" s="121"/>
      <c r="C4" s="121"/>
      <c r="D4" s="121"/>
      <c r="E4" s="121"/>
      <c r="F4" s="121"/>
    </row>
    <row r="5" spans="1:6" ht="15.75" x14ac:dyDescent="0.25">
      <c r="A5" s="107"/>
      <c r="B5" s="107"/>
      <c r="C5" s="107"/>
      <c r="D5" s="107"/>
      <c r="E5" s="107"/>
      <c r="F5" s="107"/>
    </row>
    <row r="6" spans="1:6" ht="15.75" x14ac:dyDescent="0.25">
      <c r="A6" s="107"/>
      <c r="B6" s="107"/>
      <c r="C6" s="107"/>
      <c r="D6" s="107"/>
      <c r="E6" s="107"/>
      <c r="F6" s="107"/>
    </row>
    <row r="7" spans="1:6" ht="15" x14ac:dyDescent="0.2">
      <c r="A7" s="14"/>
      <c r="B7" s="14"/>
      <c r="C7" s="14"/>
      <c r="D7" s="15"/>
      <c r="E7" s="16"/>
      <c r="F7" s="14"/>
    </row>
    <row r="8" spans="1:6" ht="15.75" x14ac:dyDescent="0.25">
      <c r="A8" s="18" t="s">
        <v>22</v>
      </c>
      <c r="B8" s="14"/>
      <c r="C8" s="14"/>
      <c r="D8" s="15"/>
      <c r="E8" s="16"/>
      <c r="F8" s="19">
        <v>193870.51</v>
      </c>
    </row>
    <row r="9" spans="1:6" ht="15" x14ac:dyDescent="0.2">
      <c r="A9" s="14"/>
      <c r="B9" s="14"/>
      <c r="C9" s="14"/>
      <c r="D9" s="15"/>
      <c r="E9" s="16"/>
      <c r="F9" s="16"/>
    </row>
    <row r="10" spans="1:6" ht="16.5" thickBot="1" x14ac:dyDescent="0.3">
      <c r="A10" s="18" t="s">
        <v>23</v>
      </c>
      <c r="B10" s="14"/>
      <c r="C10" s="16"/>
      <c r="D10" s="20"/>
      <c r="E10" s="16"/>
      <c r="F10" s="27">
        <v>76143.432395590469</v>
      </c>
    </row>
    <row r="11" spans="1:6" ht="15" x14ac:dyDescent="0.2">
      <c r="A11" s="14"/>
      <c r="B11" s="14"/>
      <c r="C11" s="14"/>
      <c r="D11" s="15"/>
      <c r="E11" s="16"/>
      <c r="F11" s="16"/>
    </row>
    <row r="12" spans="1:6" ht="15.75" x14ac:dyDescent="0.25">
      <c r="A12" s="21" t="s">
        <v>24</v>
      </c>
      <c r="B12" s="14"/>
      <c r="C12" s="14"/>
      <c r="D12" s="15"/>
      <c r="E12" s="16"/>
      <c r="F12" s="19">
        <v>117727.57760440954</v>
      </c>
    </row>
    <row r="13" spans="1:6" ht="15" x14ac:dyDescent="0.2">
      <c r="A13" s="14"/>
      <c r="B13" s="14"/>
      <c r="C13" s="14"/>
      <c r="D13" s="15"/>
      <c r="E13" s="16"/>
      <c r="F13" s="16"/>
    </row>
    <row r="14" spans="1:6" ht="16.5" thickBot="1" x14ac:dyDescent="0.3">
      <c r="A14" s="18" t="s">
        <v>12</v>
      </c>
      <c r="B14" s="14"/>
      <c r="C14" s="16"/>
      <c r="D14" s="20"/>
      <c r="E14" s="16"/>
      <c r="F14" s="27">
        <v>1108.7506789165866</v>
      </c>
    </row>
    <row r="15" spans="1:6" ht="15" x14ac:dyDescent="0.2">
      <c r="A15" s="14"/>
      <c r="B15" s="14"/>
      <c r="C15" s="14"/>
      <c r="D15" s="15"/>
      <c r="E15" s="16"/>
      <c r="F15" s="16"/>
    </row>
    <row r="16" spans="1:6" ht="15.75" x14ac:dyDescent="0.25">
      <c r="A16" s="21" t="s">
        <v>25</v>
      </c>
      <c r="B16" s="14"/>
      <c r="C16" s="14"/>
      <c r="D16" s="15"/>
      <c r="E16" s="16"/>
      <c r="F16" s="19">
        <v>116618.82692549295</v>
      </c>
    </row>
    <row r="17" spans="1:6" ht="15" x14ac:dyDescent="0.2">
      <c r="A17" s="14"/>
      <c r="B17" s="14"/>
      <c r="C17" s="14"/>
      <c r="D17" s="15"/>
      <c r="E17" s="16"/>
      <c r="F17" s="16"/>
    </row>
    <row r="18" spans="1:6" ht="15.75" x14ac:dyDescent="0.25">
      <c r="A18" s="18" t="s">
        <v>26</v>
      </c>
      <c r="B18" s="14"/>
      <c r="C18" s="14"/>
      <c r="D18" s="15"/>
      <c r="E18" s="16"/>
      <c r="F18" s="16"/>
    </row>
    <row r="19" spans="1:6" ht="16.5" thickBot="1" x14ac:dyDescent="0.3">
      <c r="A19" s="14" t="s">
        <v>27</v>
      </c>
      <c r="B19" s="14"/>
      <c r="C19" s="16"/>
      <c r="D19" s="20"/>
      <c r="E19" s="16"/>
      <c r="F19" s="27">
        <v>3779.5383733333338</v>
      </c>
    </row>
    <row r="20" spans="1:6" ht="15" x14ac:dyDescent="0.2">
      <c r="A20" s="14"/>
      <c r="B20" s="14"/>
      <c r="C20" s="14"/>
      <c r="D20" s="15"/>
      <c r="E20" s="16"/>
      <c r="F20" s="16"/>
    </row>
    <row r="21" spans="1:6" ht="16.5" thickBot="1" x14ac:dyDescent="0.3">
      <c r="A21" s="21" t="s">
        <v>28</v>
      </c>
      <c r="B21" s="14"/>
      <c r="C21" s="14"/>
      <c r="D21" s="15"/>
      <c r="E21" s="16"/>
      <c r="F21" s="22">
        <v>112839.28855215962</v>
      </c>
    </row>
    <row r="22" spans="1:6" ht="15.75" thickTop="1" x14ac:dyDescent="0.2">
      <c r="A22" s="14"/>
      <c r="B22" s="14"/>
      <c r="C22" s="14"/>
      <c r="D22" s="15"/>
      <c r="E22" s="16"/>
      <c r="F22" s="16"/>
    </row>
    <row r="23" spans="1:6" ht="15.75" x14ac:dyDescent="0.25">
      <c r="A23" s="21" t="s">
        <v>34</v>
      </c>
      <c r="F23" s="30">
        <v>56420</v>
      </c>
    </row>
    <row r="24" spans="1:6" ht="15.75" x14ac:dyDescent="0.25">
      <c r="A24" s="21"/>
      <c r="F24" s="30"/>
    </row>
    <row r="25" spans="1:6" ht="15.75" x14ac:dyDescent="0.25">
      <c r="A25" s="21" t="s">
        <v>107</v>
      </c>
      <c r="F25" s="30">
        <v>56420</v>
      </c>
    </row>
    <row r="27" spans="1:6" ht="15.75" x14ac:dyDescent="0.25">
      <c r="A27" s="21" t="s">
        <v>129</v>
      </c>
    </row>
    <row r="28" spans="1:6" ht="15" x14ac:dyDescent="0.2">
      <c r="A28" s="14"/>
      <c r="B28" s="31" t="s">
        <v>35</v>
      </c>
      <c r="C28" s="31" t="s">
        <v>1</v>
      </c>
      <c r="D28" s="32" t="s">
        <v>36</v>
      </c>
      <c r="E28" s="33" t="s">
        <v>37</v>
      </c>
      <c r="F28" s="31" t="s">
        <v>38</v>
      </c>
    </row>
    <row r="29" spans="1:6" ht="15" x14ac:dyDescent="0.2">
      <c r="A29" s="14"/>
      <c r="B29" s="34">
        <v>0.22</v>
      </c>
      <c r="C29" s="34">
        <v>0.316</v>
      </c>
      <c r="D29" s="34">
        <v>0.107</v>
      </c>
      <c r="E29" s="34">
        <v>0.215</v>
      </c>
      <c r="F29" s="34">
        <v>0.14199999999999999</v>
      </c>
    </row>
    <row r="30" spans="1:6" ht="15" x14ac:dyDescent="0.2">
      <c r="A30" s="35" t="s">
        <v>39</v>
      </c>
      <c r="B30" s="36">
        <f>F23*B29</f>
        <v>12412.4</v>
      </c>
      <c r="C30" s="36">
        <f>F23*C29</f>
        <v>17828.72</v>
      </c>
      <c r="D30" s="36">
        <f>F23*D29</f>
        <v>6036.94</v>
      </c>
      <c r="E30" s="36">
        <f>F23*E29</f>
        <v>12130.3</v>
      </c>
      <c r="F30" s="36">
        <v>8011.6399999999994</v>
      </c>
    </row>
    <row r="31" spans="1:6" x14ac:dyDescent="0.2">
      <c r="A31" s="37" t="s">
        <v>40</v>
      </c>
      <c r="F31" s="38"/>
    </row>
    <row r="33" spans="1:6" x14ac:dyDescent="0.2">
      <c r="A33" t="s">
        <v>41</v>
      </c>
      <c r="F33" s="39">
        <v>56420</v>
      </c>
    </row>
    <row r="35" spans="1:6" x14ac:dyDescent="0.2">
      <c r="A35" s="63" t="s">
        <v>130</v>
      </c>
      <c r="F35" s="40">
        <v>0</v>
      </c>
    </row>
  </sheetData>
  <mergeCells count="3">
    <mergeCell ref="A2:F2"/>
    <mergeCell ref="A3:F3"/>
    <mergeCell ref="A4:F4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zoomScaleNormal="100" workbookViewId="0">
      <selection activeCell="A37" sqref="A37"/>
    </sheetView>
  </sheetViews>
  <sheetFormatPr defaultRowHeight="12.75" x14ac:dyDescent="0.2"/>
  <cols>
    <col min="1" max="1" width="34" customWidth="1"/>
    <col min="2" max="2" width="14" style="2" bestFit="1" customWidth="1"/>
    <col min="3" max="3" width="9.28515625" bestFit="1" customWidth="1"/>
    <col min="4" max="4" width="12.7109375" style="2" customWidth="1"/>
    <col min="5" max="5" width="32" customWidth="1"/>
    <col min="6" max="6" width="10.28515625" bestFit="1" customWidth="1"/>
    <col min="7" max="7" width="9.28515625" bestFit="1" customWidth="1"/>
  </cols>
  <sheetData>
    <row r="1" spans="1:5" x14ac:dyDescent="0.2">
      <c r="A1" s="1" t="s">
        <v>0</v>
      </c>
    </row>
    <row r="2" spans="1:5" x14ac:dyDescent="0.2">
      <c r="A2" s="25"/>
    </row>
    <row r="3" spans="1:5" x14ac:dyDescent="0.2">
      <c r="A3" s="1" t="s">
        <v>29</v>
      </c>
      <c r="B3" s="3" t="s">
        <v>1</v>
      </c>
      <c r="C3" s="111" t="s">
        <v>2</v>
      </c>
      <c r="D3" s="3" t="s">
        <v>3</v>
      </c>
      <c r="E3" s="111" t="s">
        <v>4</v>
      </c>
    </row>
    <row r="4" spans="1:5" x14ac:dyDescent="0.2">
      <c r="A4" s="1"/>
      <c r="B4" s="3"/>
      <c r="C4" s="111"/>
      <c r="D4" s="3"/>
      <c r="E4" s="111"/>
    </row>
    <row r="5" spans="1:5" x14ac:dyDescent="0.2">
      <c r="A5" s="63" t="s">
        <v>123</v>
      </c>
      <c r="B5" s="2">
        <v>1440</v>
      </c>
      <c r="C5" s="63" t="s">
        <v>124</v>
      </c>
      <c r="D5" s="23">
        <v>122853.4</v>
      </c>
      <c r="E5" s="63" t="s">
        <v>125</v>
      </c>
    </row>
    <row r="6" spans="1:5" x14ac:dyDescent="0.2">
      <c r="A6" s="5" t="s">
        <v>76</v>
      </c>
      <c r="B6" s="2">
        <v>487.5</v>
      </c>
      <c r="C6" s="63" t="s">
        <v>126</v>
      </c>
      <c r="D6" s="23">
        <f>71017.11</f>
        <v>71017.11</v>
      </c>
      <c r="E6" s="7" t="s">
        <v>127</v>
      </c>
    </row>
    <row r="7" spans="1:5" x14ac:dyDescent="0.2">
      <c r="A7" s="63" t="s">
        <v>131</v>
      </c>
      <c r="B7" s="2">
        <v>360</v>
      </c>
      <c r="C7" s="63" t="s">
        <v>132</v>
      </c>
      <c r="D7" s="23">
        <v>36315.33</v>
      </c>
      <c r="E7" s="109" t="s">
        <v>140</v>
      </c>
    </row>
    <row r="8" spans="1:5" x14ac:dyDescent="0.2">
      <c r="A8" s="63" t="s">
        <v>114</v>
      </c>
      <c r="B8" s="2">
        <v>96</v>
      </c>
      <c r="C8" s="63" t="s">
        <v>133</v>
      </c>
      <c r="D8" s="23">
        <v>9305.42</v>
      </c>
      <c r="E8" s="63" t="s">
        <v>134</v>
      </c>
    </row>
    <row r="9" spans="1:5" x14ac:dyDescent="0.2">
      <c r="A9" s="63" t="s">
        <v>123</v>
      </c>
      <c r="B9" s="2">
        <v>192</v>
      </c>
      <c r="C9" s="63" t="s">
        <v>135</v>
      </c>
      <c r="D9" s="23">
        <v>16380.45</v>
      </c>
      <c r="E9" s="63" t="s">
        <v>136</v>
      </c>
    </row>
    <row r="10" spans="1:5" x14ac:dyDescent="0.2">
      <c r="A10" s="63" t="s">
        <v>137</v>
      </c>
      <c r="B10" s="2">
        <v>67.5</v>
      </c>
      <c r="C10" s="63" t="s">
        <v>138</v>
      </c>
      <c r="D10" s="23">
        <v>6542.88</v>
      </c>
      <c r="E10" s="63" t="s">
        <v>139</v>
      </c>
    </row>
    <row r="11" spans="1:5" x14ac:dyDescent="0.2">
      <c r="A11" s="5"/>
      <c r="D11" s="8"/>
      <c r="E11" s="7"/>
    </row>
    <row r="12" spans="1:5" ht="13.5" thickBot="1" x14ac:dyDescent="0.25">
      <c r="B12" s="9">
        <f>SUM(B5:B11)</f>
        <v>2643</v>
      </c>
      <c r="D12" s="9">
        <f>SUM(D5:D11)</f>
        <v>262414.59000000003</v>
      </c>
    </row>
    <row r="13" spans="1:5" ht="13.5" thickTop="1" x14ac:dyDescent="0.2">
      <c r="A13" t="s">
        <v>5</v>
      </c>
    </row>
    <row r="14" spans="1:5" x14ac:dyDescent="0.2">
      <c r="A14" s="10" t="s">
        <v>6</v>
      </c>
      <c r="B14" s="41">
        <f>262414.59+5433.15+15615.64</f>
        <v>283463.38000000006</v>
      </c>
      <c r="C14" s="26"/>
      <c r="D14" s="11">
        <f>D12/B14</f>
        <v>0.92574423546350137</v>
      </c>
    </row>
    <row r="15" spans="1:5" x14ac:dyDescent="0.2">
      <c r="A15" s="10"/>
      <c r="B15" s="41"/>
    </row>
    <row r="16" spans="1:5" x14ac:dyDescent="0.2">
      <c r="A16" s="1" t="s">
        <v>7</v>
      </c>
    </row>
    <row r="17" spans="1:7" x14ac:dyDescent="0.2">
      <c r="A17" s="1" t="s">
        <v>8</v>
      </c>
      <c r="B17" s="29"/>
      <c r="E17" s="24"/>
    </row>
    <row r="18" spans="1:7" x14ac:dyDescent="0.2">
      <c r="A18" t="s">
        <v>77</v>
      </c>
      <c r="B18" s="2">
        <v>9151.36</v>
      </c>
      <c r="C18" s="12">
        <v>1</v>
      </c>
      <c r="D18" s="2">
        <f t="shared" ref="D18:D24" si="0">B18*C18</f>
        <v>9151.36</v>
      </c>
      <c r="E18" s="26"/>
    </row>
    <row r="19" spans="1:7" x14ac:dyDescent="0.2">
      <c r="A19" t="s">
        <v>42</v>
      </c>
      <c r="C19" s="12">
        <f>$D$14</f>
        <v>0.92574423546350137</v>
      </c>
      <c r="D19" s="2">
        <f t="shared" si="0"/>
        <v>0</v>
      </c>
      <c r="E19" s="26"/>
    </row>
    <row r="20" spans="1:7" x14ac:dyDescent="0.2">
      <c r="A20" t="s">
        <v>9</v>
      </c>
      <c r="B20" s="2">
        <f>$B$12</f>
        <v>2643</v>
      </c>
      <c r="C20" s="2">
        <v>1.75</v>
      </c>
      <c r="D20" s="2">
        <f t="shared" si="0"/>
        <v>4625.25</v>
      </c>
      <c r="F20" s="2"/>
    </row>
    <row r="21" spans="1:7" x14ac:dyDescent="0.2">
      <c r="A21" t="s">
        <v>10</v>
      </c>
      <c r="B21" s="2">
        <f>$B$12</f>
        <v>2643</v>
      </c>
      <c r="C21" s="2">
        <v>26</v>
      </c>
      <c r="D21" s="2">
        <f t="shared" si="0"/>
        <v>68718</v>
      </c>
    </row>
    <row r="22" spans="1:7" x14ac:dyDescent="0.2">
      <c r="A22" t="s">
        <v>11</v>
      </c>
      <c r="B22" s="2">
        <f>$B$12</f>
        <v>2643</v>
      </c>
      <c r="C22" s="2">
        <v>6.5</v>
      </c>
      <c r="D22" s="2">
        <f t="shared" si="0"/>
        <v>17179.5</v>
      </c>
    </row>
    <row r="23" spans="1:7" x14ac:dyDescent="0.2">
      <c r="A23" t="s">
        <v>58</v>
      </c>
      <c r="C23" s="12">
        <v>1</v>
      </c>
      <c r="D23" s="2">
        <f t="shared" si="0"/>
        <v>0</v>
      </c>
    </row>
    <row r="24" spans="1:7" x14ac:dyDescent="0.2">
      <c r="A24" t="s">
        <v>30</v>
      </c>
      <c r="B24" s="41">
        <f>1000</f>
        <v>1000</v>
      </c>
      <c r="C24" s="12">
        <f>$D$14</f>
        <v>0.92574423546350137</v>
      </c>
      <c r="D24" s="2">
        <f t="shared" si="0"/>
        <v>925.74423546350135</v>
      </c>
      <c r="E24" s="28"/>
    </row>
    <row r="25" spans="1:7" ht="13.5" thickBot="1" x14ac:dyDescent="0.25">
      <c r="A25" s="1"/>
      <c r="D25" s="13">
        <f>SUM(D18:D24)</f>
        <v>100599.8542354635</v>
      </c>
    </row>
    <row r="26" spans="1:7" ht="13.5" thickTop="1" x14ac:dyDescent="0.2">
      <c r="A26" s="1" t="s">
        <v>12</v>
      </c>
      <c r="B26" s="29"/>
    </row>
    <row r="27" spans="1:7" x14ac:dyDescent="0.2">
      <c r="A27" t="s">
        <v>13</v>
      </c>
      <c r="B27" s="41"/>
      <c r="C27" s="12">
        <f t="shared" ref="C27:C37" si="1">$D$14</f>
        <v>0.92574423546350137</v>
      </c>
      <c r="D27" s="2">
        <f t="shared" ref="D27:D37" si="2">B27*C27</f>
        <v>0</v>
      </c>
    </row>
    <row r="28" spans="1:7" x14ac:dyDescent="0.2">
      <c r="A28" t="s">
        <v>14</v>
      </c>
      <c r="B28" s="41">
        <v>122.6</v>
      </c>
      <c r="C28" s="12">
        <f t="shared" si="1"/>
        <v>0.92574423546350137</v>
      </c>
      <c r="D28" s="2">
        <f t="shared" si="2"/>
        <v>113.49624326782526</v>
      </c>
    </row>
    <row r="29" spans="1:7" x14ac:dyDescent="0.2">
      <c r="A29" t="s">
        <v>106</v>
      </c>
      <c r="B29" s="41">
        <v>90</v>
      </c>
      <c r="C29" s="12">
        <f t="shared" si="1"/>
        <v>0.92574423546350137</v>
      </c>
      <c r="D29" s="2">
        <f t="shared" si="2"/>
        <v>83.316981191715129</v>
      </c>
    </row>
    <row r="30" spans="1:7" x14ac:dyDescent="0.2">
      <c r="A30" t="s">
        <v>15</v>
      </c>
      <c r="B30" s="41"/>
      <c r="C30" s="12">
        <f t="shared" si="1"/>
        <v>0.92574423546350137</v>
      </c>
      <c r="D30" s="2">
        <f t="shared" si="2"/>
        <v>0</v>
      </c>
    </row>
    <row r="31" spans="1:7" x14ac:dyDescent="0.2">
      <c r="A31" t="s">
        <v>16</v>
      </c>
      <c r="B31" s="41"/>
      <c r="C31" s="12">
        <f t="shared" si="1"/>
        <v>0.92574423546350137</v>
      </c>
      <c r="D31" s="2">
        <f t="shared" si="2"/>
        <v>0</v>
      </c>
    </row>
    <row r="32" spans="1:7" x14ac:dyDescent="0.2">
      <c r="A32" t="s">
        <v>17</v>
      </c>
      <c r="B32" s="41">
        <v>137.01</v>
      </c>
      <c r="C32" s="12">
        <f t="shared" si="1"/>
        <v>0.92574423546350137</v>
      </c>
      <c r="D32" s="2">
        <f t="shared" si="2"/>
        <v>126.83621770085432</v>
      </c>
      <c r="F32" s="2"/>
      <c r="G32" s="42"/>
    </row>
    <row r="33" spans="1:6" x14ac:dyDescent="0.2">
      <c r="A33" t="s">
        <v>18</v>
      </c>
      <c r="B33" s="41">
        <v>1208.8800000000001</v>
      </c>
      <c r="C33" s="12">
        <f t="shared" si="1"/>
        <v>0.92574423546350137</v>
      </c>
      <c r="D33" s="2">
        <f t="shared" si="2"/>
        <v>1119.1136913671176</v>
      </c>
    </row>
    <row r="34" spans="1:6" x14ac:dyDescent="0.2">
      <c r="A34" t="s">
        <v>31</v>
      </c>
      <c r="B34" s="41">
        <f>19.35+137.52</f>
        <v>156.87</v>
      </c>
      <c r="C34" s="12">
        <f t="shared" si="1"/>
        <v>0.92574423546350137</v>
      </c>
      <c r="D34" s="2">
        <f t="shared" si="2"/>
        <v>145.22149821715948</v>
      </c>
      <c r="F34" s="2"/>
    </row>
    <row r="35" spans="1:6" x14ac:dyDescent="0.2">
      <c r="A35" t="s">
        <v>75</v>
      </c>
      <c r="B35" s="41">
        <f>40.05+18.03</f>
        <v>58.08</v>
      </c>
      <c r="C35" s="12">
        <f t="shared" si="1"/>
        <v>0.92574423546350137</v>
      </c>
      <c r="D35" s="2">
        <f t="shared" si="2"/>
        <v>53.767225195720158</v>
      </c>
    </row>
    <row r="36" spans="1:6" x14ac:dyDescent="0.2">
      <c r="A36" t="s">
        <v>60</v>
      </c>
      <c r="B36" s="2">
        <v>-778.76</v>
      </c>
      <c r="C36" s="12">
        <f t="shared" si="1"/>
        <v>0.92574423546350137</v>
      </c>
      <c r="D36" s="2">
        <f t="shared" si="2"/>
        <v>-720.93258080955627</v>
      </c>
    </row>
    <row r="37" spans="1:6" x14ac:dyDescent="0.2">
      <c r="A37" t="s">
        <v>33</v>
      </c>
      <c r="C37" s="12">
        <f t="shared" si="1"/>
        <v>0.92574423546350137</v>
      </c>
      <c r="D37" s="2">
        <f t="shared" si="2"/>
        <v>0</v>
      </c>
    </row>
    <row r="38" spans="1:6" ht="13.5" thickBot="1" x14ac:dyDescent="0.25">
      <c r="D38" s="13">
        <f>SUM(D27:D37)</f>
        <v>920.81927613083565</v>
      </c>
      <c r="F38" s="2"/>
    </row>
    <row r="39" spans="1:6" ht="13.5" thickTop="1" x14ac:dyDescent="0.2">
      <c r="A39" s="1" t="s">
        <v>19</v>
      </c>
    </row>
    <row r="40" spans="1:6" ht="13.5" thickBot="1" x14ac:dyDescent="0.25">
      <c r="A40" t="s">
        <v>20</v>
      </c>
      <c r="B40" s="79">
        <f>14173268.9/12*3</f>
        <v>3543317.2250000001</v>
      </c>
      <c r="C40" s="105">
        <v>1.6000000000000001E-3</v>
      </c>
      <c r="D40" s="13">
        <f>B40*C40</f>
        <v>5669.3075600000002</v>
      </c>
    </row>
    <row r="41" spans="1:6" ht="13.5" thickTop="1" x14ac:dyDescent="0.2"/>
  </sheetData>
  <printOptions horizontalCentered="1"/>
  <pageMargins left="0.5" right="0.5" top="0.5" bottom="0.5" header="0.5" footer="0.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6" workbookViewId="0">
      <selection activeCell="F37" sqref="F37"/>
    </sheetView>
  </sheetViews>
  <sheetFormatPr defaultColWidth="9.140625" defaultRowHeight="12.75" x14ac:dyDescent="0.2"/>
  <cols>
    <col min="2" max="2" width="13.7109375" customWidth="1"/>
    <col min="3" max="3" width="15.7109375" customWidth="1"/>
    <col min="4" max="4" width="16.7109375" style="6" customWidth="1"/>
    <col min="5" max="5" width="15.7109375" style="2" customWidth="1"/>
    <col min="6" max="6" width="14.7109375" customWidth="1"/>
  </cols>
  <sheetData>
    <row r="1" spans="1:6" ht="15" x14ac:dyDescent="0.2">
      <c r="A1" s="14"/>
      <c r="B1" s="14"/>
      <c r="C1" s="14"/>
      <c r="D1" s="15"/>
      <c r="E1" s="16"/>
      <c r="F1" s="14"/>
    </row>
    <row r="2" spans="1:6" ht="15.75" x14ac:dyDescent="0.25">
      <c r="A2" s="121" t="s">
        <v>32</v>
      </c>
      <c r="B2" s="121"/>
      <c r="C2" s="121"/>
      <c r="D2" s="121"/>
      <c r="E2" s="121"/>
      <c r="F2" s="121"/>
    </row>
    <row r="3" spans="1:6" ht="15.75" x14ac:dyDescent="0.25">
      <c r="A3" s="121" t="s">
        <v>21</v>
      </c>
      <c r="B3" s="121"/>
      <c r="C3" s="121"/>
      <c r="D3" s="121"/>
      <c r="E3" s="121"/>
      <c r="F3" s="121"/>
    </row>
    <row r="4" spans="1:6" ht="15.75" x14ac:dyDescent="0.25">
      <c r="A4" s="121" t="s">
        <v>141</v>
      </c>
      <c r="B4" s="121"/>
      <c r="C4" s="121"/>
      <c r="D4" s="121"/>
      <c r="E4" s="121"/>
      <c r="F4" s="121"/>
    </row>
    <row r="5" spans="1:6" ht="15.75" x14ac:dyDescent="0.25">
      <c r="A5" s="110"/>
      <c r="B5" s="110"/>
      <c r="C5" s="110"/>
      <c r="D5" s="110"/>
      <c r="E5" s="110"/>
      <c r="F5" s="110"/>
    </row>
    <row r="6" spans="1:6" ht="15.75" x14ac:dyDescent="0.25">
      <c r="A6" s="110"/>
      <c r="B6" s="110"/>
      <c r="C6" s="110"/>
      <c r="D6" s="110"/>
      <c r="E6" s="110"/>
      <c r="F6" s="110"/>
    </row>
    <row r="7" spans="1:6" ht="15" x14ac:dyDescent="0.2">
      <c r="A7" s="14"/>
      <c r="B7" s="14"/>
      <c r="C7" s="14"/>
      <c r="D7" s="15"/>
      <c r="E7" s="16"/>
      <c r="F7" s="14"/>
    </row>
    <row r="8" spans="1:6" ht="15.75" x14ac:dyDescent="0.25">
      <c r="A8" s="18" t="s">
        <v>22</v>
      </c>
      <c r="B8" s="14"/>
      <c r="C8" s="14"/>
      <c r="D8" s="15"/>
      <c r="E8" s="16"/>
      <c r="F8" s="19">
        <v>262414.59000000003</v>
      </c>
    </row>
    <row r="9" spans="1:6" ht="15" x14ac:dyDescent="0.2">
      <c r="A9" s="14"/>
      <c r="B9" s="14"/>
      <c r="C9" s="14"/>
      <c r="D9" s="15"/>
      <c r="E9" s="16"/>
      <c r="F9" s="16"/>
    </row>
    <row r="10" spans="1:6" ht="16.5" thickBot="1" x14ac:dyDescent="0.3">
      <c r="A10" s="18" t="s">
        <v>23</v>
      </c>
      <c r="B10" s="14"/>
      <c r="C10" s="16"/>
      <c r="D10" s="20"/>
      <c r="E10" s="16"/>
      <c r="F10" s="27">
        <v>100599.8542354635</v>
      </c>
    </row>
    <row r="11" spans="1:6" ht="15" x14ac:dyDescent="0.2">
      <c r="A11" s="14"/>
      <c r="B11" s="14"/>
      <c r="C11" s="14"/>
      <c r="D11" s="15"/>
      <c r="E11" s="16"/>
      <c r="F11" s="16"/>
    </row>
    <row r="12" spans="1:6" ht="15.75" x14ac:dyDescent="0.25">
      <c r="A12" s="21" t="s">
        <v>24</v>
      </c>
      <c r="B12" s="14"/>
      <c r="C12" s="14"/>
      <c r="D12" s="15"/>
      <c r="E12" s="16"/>
      <c r="F12" s="19">
        <v>161815.23576453654</v>
      </c>
    </row>
    <row r="13" spans="1:6" ht="15" x14ac:dyDescent="0.2">
      <c r="A13" s="14"/>
      <c r="B13" s="14"/>
      <c r="C13" s="14"/>
      <c r="D13" s="15"/>
      <c r="E13" s="16"/>
      <c r="F13" s="16"/>
    </row>
    <row r="14" spans="1:6" ht="16.5" thickBot="1" x14ac:dyDescent="0.3">
      <c r="A14" s="18" t="s">
        <v>12</v>
      </c>
      <c r="B14" s="14"/>
      <c r="C14" s="16"/>
      <c r="D14" s="20"/>
      <c r="E14" s="16"/>
      <c r="F14" s="27">
        <v>920.81927613083565</v>
      </c>
    </row>
    <row r="15" spans="1:6" ht="15" x14ac:dyDescent="0.2">
      <c r="A15" s="14"/>
      <c r="B15" s="14"/>
      <c r="C15" s="14"/>
      <c r="D15" s="15"/>
      <c r="E15" s="16"/>
      <c r="F15" s="16"/>
    </row>
    <row r="16" spans="1:6" ht="15.75" x14ac:dyDescent="0.25">
      <c r="A16" s="21" t="s">
        <v>25</v>
      </c>
      <c r="B16" s="14"/>
      <c r="C16" s="14"/>
      <c r="D16" s="15"/>
      <c r="E16" s="16"/>
      <c r="F16" s="19">
        <v>160894.4164884057</v>
      </c>
    </row>
    <row r="17" spans="1:6" ht="15" x14ac:dyDescent="0.2">
      <c r="A17" s="14"/>
      <c r="B17" s="14"/>
      <c r="C17" s="14"/>
      <c r="D17" s="15"/>
      <c r="E17" s="16"/>
      <c r="F17" s="16"/>
    </row>
    <row r="18" spans="1:6" ht="15.75" x14ac:dyDescent="0.25">
      <c r="A18" s="18" t="s">
        <v>26</v>
      </c>
      <c r="B18" s="14"/>
      <c r="C18" s="14"/>
      <c r="D18" s="15"/>
      <c r="E18" s="16"/>
      <c r="F18" s="16"/>
    </row>
    <row r="19" spans="1:6" ht="16.5" thickBot="1" x14ac:dyDescent="0.3">
      <c r="A19" s="14" t="s">
        <v>27</v>
      </c>
      <c r="B19" s="14"/>
      <c r="C19" s="16"/>
      <c r="D19" s="20"/>
      <c r="E19" s="16"/>
      <c r="F19" s="27">
        <v>5669.3075600000002</v>
      </c>
    </row>
    <row r="20" spans="1:6" ht="15" x14ac:dyDescent="0.2">
      <c r="A20" s="14"/>
      <c r="B20" s="14"/>
      <c r="C20" s="14"/>
      <c r="D20" s="15"/>
      <c r="E20" s="16"/>
      <c r="F20" s="16"/>
    </row>
    <row r="21" spans="1:6" ht="16.5" thickBot="1" x14ac:dyDescent="0.3">
      <c r="A21" s="21" t="s">
        <v>28</v>
      </c>
      <c r="B21" s="14"/>
      <c r="C21" s="14"/>
      <c r="D21" s="15"/>
      <c r="E21" s="16"/>
      <c r="F21" s="22">
        <v>155225.10892840571</v>
      </c>
    </row>
    <row r="22" spans="1:6" ht="15.75" thickTop="1" x14ac:dyDescent="0.2">
      <c r="A22" s="14"/>
      <c r="B22" s="14"/>
      <c r="C22" s="14"/>
      <c r="D22" s="15"/>
      <c r="E22" s="16"/>
      <c r="F22" s="16"/>
    </row>
    <row r="23" spans="1:6" ht="15.75" x14ac:dyDescent="0.25">
      <c r="A23" s="21" t="s">
        <v>34</v>
      </c>
      <c r="F23" s="30">
        <v>77613</v>
      </c>
    </row>
    <row r="24" spans="1:6" ht="15.75" x14ac:dyDescent="0.25">
      <c r="A24" s="21"/>
      <c r="F24" s="30"/>
    </row>
    <row r="25" spans="1:6" ht="15.75" x14ac:dyDescent="0.25">
      <c r="A25" s="21" t="s">
        <v>109</v>
      </c>
      <c r="F25" s="30">
        <v>-56420</v>
      </c>
    </row>
    <row r="26" spans="1:6" ht="15.75" x14ac:dyDescent="0.25">
      <c r="A26" s="21"/>
      <c r="F26" s="30"/>
    </row>
    <row r="27" spans="1:6" ht="15.75" x14ac:dyDescent="0.25">
      <c r="A27" s="21" t="s">
        <v>108</v>
      </c>
      <c r="F27" s="30">
        <v>21193</v>
      </c>
    </row>
    <row r="29" spans="1:6" ht="15.75" x14ac:dyDescent="0.25">
      <c r="A29" s="21" t="s">
        <v>129</v>
      </c>
    </row>
    <row r="30" spans="1:6" ht="15" x14ac:dyDescent="0.2">
      <c r="A30" s="14"/>
      <c r="B30" s="31" t="s">
        <v>35</v>
      </c>
      <c r="C30" s="31" t="s">
        <v>1</v>
      </c>
      <c r="D30" s="32" t="s">
        <v>36</v>
      </c>
      <c r="E30" s="33" t="s">
        <v>37</v>
      </c>
      <c r="F30" s="31" t="s">
        <v>38</v>
      </c>
    </row>
    <row r="31" spans="1:6" ht="15" x14ac:dyDescent="0.2">
      <c r="A31" s="14"/>
      <c r="B31" s="34">
        <v>0.22</v>
      </c>
      <c r="C31" s="34">
        <v>0.316</v>
      </c>
      <c r="D31" s="34">
        <v>0.107</v>
      </c>
      <c r="E31" s="34">
        <v>0.215</v>
      </c>
      <c r="F31" s="34">
        <v>0.14199999999999999</v>
      </c>
    </row>
    <row r="32" spans="1:6" ht="15" x14ac:dyDescent="0.2">
      <c r="A32" s="35" t="s">
        <v>39</v>
      </c>
      <c r="B32" s="36">
        <f>F23*B31</f>
        <v>17074.86</v>
      </c>
      <c r="C32" s="36">
        <f>F23*C31</f>
        <v>24525.707999999999</v>
      </c>
      <c r="D32" s="36">
        <f>F23*D31</f>
        <v>8304.5910000000003</v>
      </c>
      <c r="E32" s="36">
        <f>F23*E31</f>
        <v>16686.794999999998</v>
      </c>
      <c r="F32" s="36">
        <f>F23*F31</f>
        <v>11021.045999999998</v>
      </c>
    </row>
    <row r="33" spans="1:6" x14ac:dyDescent="0.2">
      <c r="A33" s="37" t="s">
        <v>40</v>
      </c>
      <c r="F33" s="38"/>
    </row>
    <row r="35" spans="1:6" x14ac:dyDescent="0.2">
      <c r="A35" t="s">
        <v>41</v>
      </c>
      <c r="F35" s="39">
        <f>B32+C32+D32+E32+F32</f>
        <v>77613</v>
      </c>
    </row>
    <row r="37" spans="1:6" x14ac:dyDescent="0.2">
      <c r="A37" s="63" t="s">
        <v>130</v>
      </c>
      <c r="F37" s="40">
        <f>B33+F33</f>
        <v>0</v>
      </c>
    </row>
  </sheetData>
  <mergeCells count="3">
    <mergeCell ref="A2:F2"/>
    <mergeCell ref="A3:F3"/>
    <mergeCell ref="A4:F4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43"/>
  <sheetViews>
    <sheetView topLeftCell="A19" zoomScaleNormal="100" workbookViewId="0">
      <selection activeCell="B27" sqref="B27"/>
    </sheetView>
  </sheetViews>
  <sheetFormatPr defaultRowHeight="12.75" x14ac:dyDescent="0.2"/>
  <cols>
    <col min="1" max="1" width="34" customWidth="1"/>
    <col min="2" max="2" width="14" style="2" bestFit="1" customWidth="1"/>
    <col min="3" max="3" width="9.28515625" bestFit="1" customWidth="1"/>
    <col min="4" max="4" width="12.7109375" style="2" customWidth="1"/>
    <col min="5" max="5" width="32" customWidth="1"/>
    <col min="6" max="6" width="10.28515625" bestFit="1" customWidth="1"/>
    <col min="7" max="7" width="9.28515625" bestFit="1" customWidth="1"/>
  </cols>
  <sheetData>
    <row r="1" spans="1:5" x14ac:dyDescent="0.2">
      <c r="A1" s="1" t="s">
        <v>0</v>
      </c>
    </row>
    <row r="2" spans="1:5" x14ac:dyDescent="0.2">
      <c r="A2" s="25"/>
    </row>
    <row r="3" spans="1:5" x14ac:dyDescent="0.2">
      <c r="A3" s="1" t="s">
        <v>29</v>
      </c>
      <c r="B3" s="3" t="s">
        <v>1</v>
      </c>
      <c r="C3" s="4" t="s">
        <v>2</v>
      </c>
      <c r="D3" s="3" t="s">
        <v>3</v>
      </c>
      <c r="E3" s="4" t="s">
        <v>4</v>
      </c>
    </row>
    <row r="4" spans="1:5" x14ac:dyDescent="0.2">
      <c r="A4" s="1"/>
      <c r="B4" s="3"/>
      <c r="C4" s="4"/>
      <c r="D4" s="3"/>
      <c r="E4" s="4"/>
    </row>
    <row r="5" spans="1:5" x14ac:dyDescent="0.2">
      <c r="A5" s="63" t="s">
        <v>123</v>
      </c>
      <c r="B5" s="2">
        <v>1440</v>
      </c>
      <c r="C5" s="63" t="s">
        <v>124</v>
      </c>
      <c r="D5" s="23">
        <v>122853.4</v>
      </c>
      <c r="E5" s="63" t="s">
        <v>125</v>
      </c>
    </row>
    <row r="6" spans="1:5" x14ac:dyDescent="0.2">
      <c r="A6" s="5" t="s">
        <v>76</v>
      </c>
      <c r="B6" s="2">
        <v>487.5</v>
      </c>
      <c r="C6" s="63" t="s">
        <v>126</v>
      </c>
      <c r="D6" s="23">
        <f>71017.11</f>
        <v>71017.11</v>
      </c>
      <c r="E6" s="7" t="s">
        <v>127</v>
      </c>
    </row>
    <row r="7" spans="1:5" x14ac:dyDescent="0.2">
      <c r="A7" s="63" t="s">
        <v>131</v>
      </c>
      <c r="B7" s="2">
        <v>360</v>
      </c>
      <c r="C7" s="63" t="s">
        <v>132</v>
      </c>
      <c r="D7" s="23">
        <v>36315.33</v>
      </c>
      <c r="E7" s="109" t="s">
        <v>140</v>
      </c>
    </row>
    <row r="8" spans="1:5" x14ac:dyDescent="0.2">
      <c r="A8" s="63" t="s">
        <v>114</v>
      </c>
      <c r="B8" s="2">
        <v>96</v>
      </c>
      <c r="C8" s="63" t="s">
        <v>133</v>
      </c>
      <c r="D8" s="23">
        <v>9305.42</v>
      </c>
      <c r="E8" s="63" t="s">
        <v>134</v>
      </c>
    </row>
    <row r="9" spans="1:5" x14ac:dyDescent="0.2">
      <c r="A9" s="63" t="s">
        <v>123</v>
      </c>
      <c r="B9" s="2">
        <v>192</v>
      </c>
      <c r="C9" s="63" t="s">
        <v>135</v>
      </c>
      <c r="D9" s="23">
        <v>16380.45</v>
      </c>
      <c r="E9" s="63" t="s">
        <v>136</v>
      </c>
    </row>
    <row r="10" spans="1:5" x14ac:dyDescent="0.2">
      <c r="A10" s="63" t="s">
        <v>137</v>
      </c>
      <c r="B10" s="2">
        <v>67.5</v>
      </c>
      <c r="C10" s="63" t="s">
        <v>138</v>
      </c>
      <c r="D10" s="23">
        <v>6542.88</v>
      </c>
      <c r="E10" s="63" t="s">
        <v>139</v>
      </c>
    </row>
    <row r="11" spans="1:5" x14ac:dyDescent="0.2">
      <c r="A11" s="63" t="s">
        <v>142</v>
      </c>
      <c r="B11" s="2">
        <v>2.5</v>
      </c>
      <c r="C11" s="63" t="s">
        <v>143</v>
      </c>
      <c r="D11" s="23">
        <v>1649.89</v>
      </c>
      <c r="E11" s="7" t="s">
        <v>144</v>
      </c>
    </row>
    <row r="12" spans="1:5" x14ac:dyDescent="0.2">
      <c r="A12" s="63"/>
      <c r="B12" s="2">
        <v>195</v>
      </c>
      <c r="C12" s="63" t="s">
        <v>147</v>
      </c>
      <c r="D12" s="23"/>
      <c r="E12" s="7"/>
    </row>
    <row r="13" spans="1:5" x14ac:dyDescent="0.2">
      <c r="A13" s="5"/>
      <c r="D13" s="8"/>
      <c r="E13" s="7"/>
    </row>
    <row r="14" spans="1:5" ht="13.5" thickBot="1" x14ac:dyDescent="0.25">
      <c r="B14" s="9">
        <f>SUM(B5:B13)</f>
        <v>2840.5</v>
      </c>
      <c r="D14" s="9">
        <f>SUM(D5:D13)</f>
        <v>264064.48000000004</v>
      </c>
    </row>
    <row r="15" spans="1:5" ht="13.5" thickTop="1" x14ac:dyDescent="0.2">
      <c r="A15" t="s">
        <v>5</v>
      </c>
    </row>
    <row r="16" spans="1:5" x14ac:dyDescent="0.2">
      <c r="A16" s="10" t="s">
        <v>6</v>
      </c>
      <c r="B16" s="41">
        <f>264064.48+5433.15+20448.76</f>
        <v>289946.39</v>
      </c>
      <c r="C16" s="26"/>
      <c r="D16" s="11">
        <f>D14/B16</f>
        <v>0.9107355328686797</v>
      </c>
    </row>
    <row r="17" spans="1:6" x14ac:dyDescent="0.2">
      <c r="A17" s="10"/>
      <c r="B17" s="41"/>
    </row>
    <row r="18" spans="1:6" x14ac:dyDescent="0.2">
      <c r="A18" s="1" t="s">
        <v>7</v>
      </c>
    </row>
    <row r="19" spans="1:6" x14ac:dyDescent="0.2">
      <c r="A19" s="1" t="s">
        <v>8</v>
      </c>
      <c r="B19" s="29"/>
      <c r="E19" s="24"/>
    </row>
    <row r="20" spans="1:6" x14ac:dyDescent="0.2">
      <c r="A20" t="s">
        <v>77</v>
      </c>
      <c r="B20" s="2">
        <f>9151.36+1070.87</f>
        <v>10222.23</v>
      </c>
      <c r="C20" s="12">
        <v>1</v>
      </c>
      <c r="D20" s="2">
        <f t="shared" ref="D20:D26" si="0">B20*C20</f>
        <v>10222.23</v>
      </c>
      <c r="E20" s="26"/>
    </row>
    <row r="21" spans="1:6" x14ac:dyDescent="0.2">
      <c r="A21" t="s">
        <v>42</v>
      </c>
      <c r="C21" s="12">
        <f>$D$16</f>
        <v>0.9107355328686797</v>
      </c>
      <c r="D21" s="2">
        <f t="shared" si="0"/>
        <v>0</v>
      </c>
      <c r="E21" s="26"/>
    </row>
    <row r="22" spans="1:6" x14ac:dyDescent="0.2">
      <c r="A22" t="s">
        <v>9</v>
      </c>
      <c r="B22" s="2">
        <f>$B$14</f>
        <v>2840.5</v>
      </c>
      <c r="C22" s="2">
        <v>1.75</v>
      </c>
      <c r="D22" s="2">
        <f t="shared" si="0"/>
        <v>4970.875</v>
      </c>
      <c r="F22" s="2"/>
    </row>
    <row r="23" spans="1:6" x14ac:dyDescent="0.2">
      <c r="A23" t="s">
        <v>10</v>
      </c>
      <c r="B23" s="2">
        <f>$B$14</f>
        <v>2840.5</v>
      </c>
      <c r="C23" s="2">
        <v>26</v>
      </c>
      <c r="D23" s="2">
        <f t="shared" si="0"/>
        <v>73853</v>
      </c>
    </row>
    <row r="24" spans="1:6" x14ac:dyDescent="0.2">
      <c r="A24" t="s">
        <v>11</v>
      </c>
      <c r="B24" s="2">
        <f>$B$14</f>
        <v>2840.5</v>
      </c>
      <c r="C24" s="2">
        <v>6.5</v>
      </c>
      <c r="D24" s="2">
        <f t="shared" si="0"/>
        <v>18463.25</v>
      </c>
    </row>
    <row r="25" spans="1:6" x14ac:dyDescent="0.2">
      <c r="A25" t="s">
        <v>58</v>
      </c>
      <c r="C25" s="12">
        <v>1</v>
      </c>
      <c r="D25" s="2">
        <f t="shared" si="0"/>
        <v>0</v>
      </c>
    </row>
    <row r="26" spans="1:6" x14ac:dyDescent="0.2">
      <c r="A26" t="s">
        <v>30</v>
      </c>
      <c r="B26" s="41">
        <f>1000</f>
        <v>1000</v>
      </c>
      <c r="C26" s="12">
        <f>$D$16</f>
        <v>0.9107355328686797</v>
      </c>
      <c r="D26" s="2">
        <f t="shared" si="0"/>
        <v>910.73553286867968</v>
      </c>
      <c r="E26" s="28"/>
    </row>
    <row r="27" spans="1:6" ht="13.5" thickBot="1" x14ac:dyDescent="0.25">
      <c r="A27" s="1"/>
      <c r="D27" s="13">
        <f>SUM(D20:D26)</f>
        <v>108420.09053286868</v>
      </c>
    </row>
    <row r="28" spans="1:6" ht="13.5" thickTop="1" x14ac:dyDescent="0.2">
      <c r="A28" s="1" t="s">
        <v>12</v>
      </c>
      <c r="B28" s="29"/>
    </row>
    <row r="29" spans="1:6" x14ac:dyDescent="0.2">
      <c r="A29" t="s">
        <v>13</v>
      </c>
      <c r="B29" s="41"/>
      <c r="C29" s="12">
        <f t="shared" ref="C29:C39" si="1">$D$16</f>
        <v>0.9107355328686797</v>
      </c>
      <c r="D29" s="2">
        <f t="shared" ref="D29:D39" si="2">B29*C29</f>
        <v>0</v>
      </c>
    </row>
    <row r="30" spans="1:6" x14ac:dyDescent="0.2">
      <c r="A30" t="s">
        <v>14</v>
      </c>
      <c r="B30" s="41">
        <f>122.6+39.45</f>
        <v>162.05000000000001</v>
      </c>
      <c r="C30" s="12">
        <f t="shared" si="1"/>
        <v>0.9107355328686797</v>
      </c>
      <c r="D30" s="2">
        <f t="shared" si="2"/>
        <v>147.58469310136957</v>
      </c>
    </row>
    <row r="31" spans="1:6" x14ac:dyDescent="0.2">
      <c r="A31" t="s">
        <v>106</v>
      </c>
      <c r="B31" s="41">
        <v>120</v>
      </c>
      <c r="C31" s="12">
        <f t="shared" si="1"/>
        <v>0.9107355328686797</v>
      </c>
      <c r="D31" s="2">
        <f t="shared" si="2"/>
        <v>109.28826394424156</v>
      </c>
    </row>
    <row r="32" spans="1:6" x14ac:dyDescent="0.2">
      <c r="A32" t="s">
        <v>15</v>
      </c>
      <c r="B32" s="41"/>
      <c r="C32" s="12">
        <f t="shared" si="1"/>
        <v>0.9107355328686797</v>
      </c>
      <c r="D32" s="2">
        <f t="shared" si="2"/>
        <v>0</v>
      </c>
    </row>
    <row r="33" spans="1:7" x14ac:dyDescent="0.2">
      <c r="A33" t="s">
        <v>16</v>
      </c>
      <c r="B33" s="41"/>
      <c r="C33" s="12">
        <f t="shared" si="1"/>
        <v>0.9107355328686797</v>
      </c>
      <c r="D33" s="2">
        <f t="shared" si="2"/>
        <v>0</v>
      </c>
    </row>
    <row r="34" spans="1:7" x14ac:dyDescent="0.2">
      <c r="A34" t="s">
        <v>17</v>
      </c>
      <c r="B34" s="41">
        <v>178.32</v>
      </c>
      <c r="C34" s="12">
        <f t="shared" si="1"/>
        <v>0.9107355328686797</v>
      </c>
      <c r="D34" s="2">
        <f t="shared" si="2"/>
        <v>162.40236022114297</v>
      </c>
      <c r="F34" s="2"/>
      <c r="G34" s="42"/>
    </row>
    <row r="35" spans="1:7" x14ac:dyDescent="0.2">
      <c r="A35" t="s">
        <v>18</v>
      </c>
      <c r="B35" s="41">
        <v>1611.84</v>
      </c>
      <c r="C35" s="12">
        <f t="shared" si="1"/>
        <v>0.9107355328686797</v>
      </c>
      <c r="D35" s="2">
        <f t="shared" si="2"/>
        <v>1467.9599612990526</v>
      </c>
    </row>
    <row r="36" spans="1:7" x14ac:dyDescent="0.2">
      <c r="A36" t="s">
        <v>31</v>
      </c>
      <c r="B36" s="41">
        <f>25.8+183.36</f>
        <v>209.16000000000003</v>
      </c>
      <c r="C36" s="12">
        <f t="shared" si="1"/>
        <v>0.9107355328686797</v>
      </c>
      <c r="D36" s="2">
        <f t="shared" si="2"/>
        <v>190.48944405481308</v>
      </c>
      <c r="F36" s="2"/>
    </row>
    <row r="37" spans="1:7" x14ac:dyDescent="0.2">
      <c r="A37" t="s">
        <v>75</v>
      </c>
      <c r="B37" s="41">
        <f>134.8+14.23</f>
        <v>149.03</v>
      </c>
      <c r="C37" s="12">
        <f t="shared" si="1"/>
        <v>0.9107355328686797</v>
      </c>
      <c r="D37" s="2">
        <f t="shared" si="2"/>
        <v>135.72691646341934</v>
      </c>
    </row>
    <row r="38" spans="1:7" x14ac:dyDescent="0.2">
      <c r="A38" t="s">
        <v>60</v>
      </c>
      <c r="B38" s="2">
        <v>-753.24</v>
      </c>
      <c r="C38" s="12">
        <f t="shared" si="1"/>
        <v>0.9107355328686797</v>
      </c>
      <c r="D38" s="2">
        <f t="shared" si="2"/>
        <v>-686.00243277800428</v>
      </c>
    </row>
    <row r="39" spans="1:7" x14ac:dyDescent="0.2">
      <c r="A39" t="s">
        <v>33</v>
      </c>
      <c r="C39" s="12">
        <f t="shared" si="1"/>
        <v>0.9107355328686797</v>
      </c>
      <c r="D39" s="2">
        <f t="shared" si="2"/>
        <v>0</v>
      </c>
    </row>
    <row r="40" spans="1:7" ht="13.5" thickBot="1" x14ac:dyDescent="0.25">
      <c r="D40" s="13">
        <f>SUM(D29:D39)</f>
        <v>1527.4492063060352</v>
      </c>
      <c r="F40" s="2"/>
    </row>
    <row r="41" spans="1:7" ht="13.5" thickTop="1" x14ac:dyDescent="0.2">
      <c r="A41" s="1" t="s">
        <v>19</v>
      </c>
    </row>
    <row r="42" spans="1:7" ht="13.5" thickBot="1" x14ac:dyDescent="0.25">
      <c r="A42" t="s">
        <v>20</v>
      </c>
      <c r="B42" s="79">
        <f>14173268.9/12*4</f>
        <v>4724422.9666666668</v>
      </c>
      <c r="C42" s="105">
        <v>1.6000000000000001E-3</v>
      </c>
      <c r="D42" s="13">
        <f>B42*C42</f>
        <v>7559.0767466666675</v>
      </c>
    </row>
    <row r="43" spans="1:7" ht="13.5" thickTop="1" x14ac:dyDescent="0.2"/>
  </sheetData>
  <phoneticPr fontId="2" type="noConversion"/>
  <printOptions horizontalCentered="1"/>
  <pageMargins left="0.5" right="0.5" top="0.5" bottom="0.5" header="0.5" footer="0.5"/>
  <pageSetup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8"/>
  <sheetViews>
    <sheetView topLeftCell="A7" workbookViewId="0">
      <selection activeCell="A25" sqref="A25:F26"/>
    </sheetView>
  </sheetViews>
  <sheetFormatPr defaultColWidth="9.140625" defaultRowHeight="12.75" x14ac:dyDescent="0.2"/>
  <cols>
    <col min="2" max="2" width="13.7109375" customWidth="1"/>
    <col min="3" max="3" width="15.7109375" customWidth="1"/>
    <col min="4" max="4" width="16.7109375" style="6" customWidth="1"/>
    <col min="5" max="5" width="15.7109375" style="2" customWidth="1"/>
    <col min="6" max="6" width="14.7109375" customWidth="1"/>
  </cols>
  <sheetData>
    <row r="1" spans="1:6" ht="15" x14ac:dyDescent="0.2">
      <c r="A1" s="14"/>
      <c r="B1" s="14"/>
      <c r="C1" s="14"/>
      <c r="D1" s="15"/>
      <c r="E1" s="16"/>
      <c r="F1" s="14"/>
    </row>
    <row r="2" spans="1:6" ht="15.75" x14ac:dyDescent="0.25">
      <c r="A2" s="121" t="s">
        <v>32</v>
      </c>
      <c r="B2" s="121"/>
      <c r="C2" s="121"/>
      <c r="D2" s="121"/>
      <c r="E2" s="121"/>
      <c r="F2" s="121"/>
    </row>
    <row r="3" spans="1:6" ht="15.75" x14ac:dyDescent="0.25">
      <c r="A3" s="121" t="s">
        <v>21</v>
      </c>
      <c r="B3" s="121"/>
      <c r="C3" s="121"/>
      <c r="D3" s="121"/>
      <c r="E3" s="121"/>
      <c r="F3" s="121"/>
    </row>
    <row r="4" spans="1:6" ht="15.75" x14ac:dyDescent="0.25">
      <c r="A4" s="121" t="s">
        <v>145</v>
      </c>
      <c r="B4" s="121"/>
      <c r="C4" s="121"/>
      <c r="D4" s="121"/>
      <c r="E4" s="121"/>
      <c r="F4" s="121"/>
    </row>
    <row r="5" spans="1:6" ht="15.75" x14ac:dyDescent="0.25">
      <c r="A5" s="17"/>
      <c r="B5" s="17"/>
      <c r="C5" s="17"/>
      <c r="D5" s="17"/>
      <c r="E5" s="17"/>
      <c r="F5" s="17"/>
    </row>
    <row r="6" spans="1:6" ht="15.75" x14ac:dyDescent="0.25">
      <c r="A6" s="17"/>
      <c r="B6" s="17"/>
      <c r="C6" s="17"/>
      <c r="D6" s="17"/>
      <c r="E6" s="17"/>
      <c r="F6" s="17"/>
    </row>
    <row r="7" spans="1:6" ht="15" x14ac:dyDescent="0.2">
      <c r="A7" s="14"/>
      <c r="B7" s="14"/>
      <c r="C7" s="14"/>
      <c r="D7" s="15"/>
      <c r="E7" s="16"/>
      <c r="F7" s="14"/>
    </row>
    <row r="8" spans="1:6" ht="15.75" x14ac:dyDescent="0.25">
      <c r="A8" s="18" t="s">
        <v>22</v>
      </c>
      <c r="B8" s="14"/>
      <c r="C8" s="14"/>
      <c r="D8" s="15"/>
      <c r="E8" s="16"/>
      <c r="F8" s="19">
        <f>'Norm-Detail 4-30'!D14</f>
        <v>264064.48000000004</v>
      </c>
    </row>
    <row r="9" spans="1:6" ht="15" x14ac:dyDescent="0.2">
      <c r="A9" s="14"/>
      <c r="B9" s="14"/>
      <c r="C9" s="14"/>
      <c r="D9" s="15"/>
      <c r="E9" s="16"/>
      <c r="F9" s="16"/>
    </row>
    <row r="10" spans="1:6" ht="16.5" thickBot="1" x14ac:dyDescent="0.3">
      <c r="A10" s="18" t="s">
        <v>23</v>
      </c>
      <c r="B10" s="14"/>
      <c r="C10" s="16"/>
      <c r="D10" s="20"/>
      <c r="E10" s="16"/>
      <c r="F10" s="27">
        <f>'Norm-Detail 4-30'!D27</f>
        <v>108420.09053286868</v>
      </c>
    </row>
    <row r="11" spans="1:6" ht="15" x14ac:dyDescent="0.2">
      <c r="A11" s="14"/>
      <c r="B11" s="14"/>
      <c r="C11" s="14"/>
      <c r="D11" s="15"/>
      <c r="E11" s="16"/>
      <c r="F11" s="16"/>
    </row>
    <row r="12" spans="1:6" ht="15.75" x14ac:dyDescent="0.25">
      <c r="A12" s="21" t="s">
        <v>24</v>
      </c>
      <c r="B12" s="14"/>
      <c r="C12" s="14"/>
      <c r="D12" s="15"/>
      <c r="E12" s="16"/>
      <c r="F12" s="19">
        <f>F8-F10+0.5</f>
        <v>155644.88946713135</v>
      </c>
    </row>
    <row r="13" spans="1:6" ht="15" x14ac:dyDescent="0.2">
      <c r="A13" s="14"/>
      <c r="B13" s="14"/>
      <c r="C13" s="14"/>
      <c r="D13" s="15"/>
      <c r="E13" s="16"/>
      <c r="F13" s="16"/>
    </row>
    <row r="14" spans="1:6" ht="16.5" thickBot="1" x14ac:dyDescent="0.3">
      <c r="A14" s="18" t="s">
        <v>12</v>
      </c>
      <c r="B14" s="14"/>
      <c r="C14" s="16"/>
      <c r="D14" s="20"/>
      <c r="E14" s="16"/>
      <c r="F14" s="27">
        <f>'Norm-Detail 4-30'!D40</f>
        <v>1527.4492063060352</v>
      </c>
    </row>
    <row r="15" spans="1:6" ht="15" x14ac:dyDescent="0.2">
      <c r="A15" s="14"/>
      <c r="B15" s="14"/>
      <c r="C15" s="14"/>
      <c r="D15" s="15"/>
      <c r="E15" s="16"/>
      <c r="F15" s="16"/>
    </row>
    <row r="16" spans="1:6" ht="15.75" x14ac:dyDescent="0.25">
      <c r="A16" s="21" t="s">
        <v>25</v>
      </c>
      <c r="B16" s="14"/>
      <c r="C16" s="14"/>
      <c r="D16" s="15"/>
      <c r="E16" s="16"/>
      <c r="F16" s="19">
        <f>F12-F14</f>
        <v>154117.4402608253</v>
      </c>
    </row>
    <row r="17" spans="1:6" ht="15" x14ac:dyDescent="0.2">
      <c r="A17" s="14"/>
      <c r="B17" s="14"/>
      <c r="C17" s="14"/>
      <c r="D17" s="15"/>
      <c r="E17" s="16"/>
      <c r="F17" s="16"/>
    </row>
    <row r="18" spans="1:6" ht="15.75" x14ac:dyDescent="0.25">
      <c r="A18" s="18" t="s">
        <v>26</v>
      </c>
      <c r="B18" s="14"/>
      <c r="C18" s="14"/>
      <c r="D18" s="15"/>
      <c r="E18" s="16"/>
      <c r="F18" s="16"/>
    </row>
    <row r="19" spans="1:6" ht="16.5" thickBot="1" x14ac:dyDescent="0.3">
      <c r="A19" s="14" t="s">
        <v>27</v>
      </c>
      <c r="B19" s="14"/>
      <c r="C19" s="16"/>
      <c r="D19" s="20"/>
      <c r="E19" s="16"/>
      <c r="F19" s="27">
        <f>'Norm-Detail 4-30'!D42</f>
        <v>7559.0767466666675</v>
      </c>
    </row>
    <row r="20" spans="1:6" ht="15" x14ac:dyDescent="0.2">
      <c r="A20" s="14"/>
      <c r="B20" s="14"/>
      <c r="C20" s="14"/>
      <c r="D20" s="15"/>
      <c r="E20" s="16"/>
      <c r="F20" s="16"/>
    </row>
    <row r="21" spans="1:6" ht="16.5" thickBot="1" x14ac:dyDescent="0.3">
      <c r="A21" s="21" t="s">
        <v>28</v>
      </c>
      <c r="B21" s="14"/>
      <c r="C21" s="14"/>
      <c r="D21" s="15"/>
      <c r="E21" s="16"/>
      <c r="F21" s="22">
        <f>F16-F19</f>
        <v>146558.36351415864</v>
      </c>
    </row>
    <row r="22" spans="1:6" ht="15.75" thickTop="1" x14ac:dyDescent="0.2">
      <c r="A22" s="14"/>
      <c r="B22" s="14"/>
      <c r="C22" s="14"/>
      <c r="D22" s="15"/>
      <c r="E22" s="16"/>
      <c r="F22" s="16"/>
    </row>
    <row r="23" spans="1:6" ht="15.75" x14ac:dyDescent="0.25">
      <c r="A23" s="21" t="s">
        <v>34</v>
      </c>
      <c r="F23" s="30">
        <f>ROUND(F21*50%,0)</f>
        <v>73279</v>
      </c>
    </row>
    <row r="24" spans="1:6" ht="15.75" x14ac:dyDescent="0.25">
      <c r="A24" s="21"/>
      <c r="F24" s="30"/>
    </row>
    <row r="25" spans="1:6" ht="15.75" x14ac:dyDescent="0.25">
      <c r="A25" s="21" t="s">
        <v>109</v>
      </c>
      <c r="F25" s="30">
        <v>-56420</v>
      </c>
    </row>
    <row r="26" spans="1:6" ht="15.75" x14ac:dyDescent="0.25">
      <c r="A26" s="21" t="s">
        <v>59</v>
      </c>
      <c r="F26" s="30">
        <v>-21193</v>
      </c>
    </row>
    <row r="27" spans="1:6" ht="15.75" x14ac:dyDescent="0.25">
      <c r="A27" s="21"/>
      <c r="F27" s="30"/>
    </row>
    <row r="28" spans="1:6" ht="15.75" x14ac:dyDescent="0.25">
      <c r="A28" s="21" t="s">
        <v>146</v>
      </c>
      <c r="F28" s="30">
        <f>SUM(F23:F27)</f>
        <v>-4334</v>
      </c>
    </row>
    <row r="30" spans="1:6" ht="15.75" x14ac:dyDescent="0.25">
      <c r="A30" s="21" t="s">
        <v>129</v>
      </c>
    </row>
    <row r="31" spans="1:6" ht="15" x14ac:dyDescent="0.2">
      <c r="A31" s="14"/>
      <c r="B31" s="31" t="s">
        <v>35</v>
      </c>
      <c r="C31" s="31" t="s">
        <v>1</v>
      </c>
      <c r="D31" s="32" t="s">
        <v>36</v>
      </c>
      <c r="E31" s="33" t="s">
        <v>37</v>
      </c>
      <c r="F31" s="31" t="s">
        <v>38</v>
      </c>
    </row>
    <row r="32" spans="1:6" ht="15" x14ac:dyDescent="0.2">
      <c r="A32" s="14"/>
      <c r="B32" s="34">
        <v>0.22</v>
      </c>
      <c r="C32" s="34">
        <v>0.316</v>
      </c>
      <c r="D32" s="34">
        <v>0.107</v>
      </c>
      <c r="E32" s="34">
        <v>0.215</v>
      </c>
      <c r="F32" s="34">
        <v>0.14199999999999999</v>
      </c>
    </row>
    <row r="33" spans="1:6" ht="15" x14ac:dyDescent="0.2">
      <c r="A33" s="35" t="s">
        <v>39</v>
      </c>
      <c r="B33" s="36">
        <f>F23*B32</f>
        <v>16121.38</v>
      </c>
      <c r="C33" s="36">
        <f>F23*C32</f>
        <v>23156.164000000001</v>
      </c>
      <c r="D33" s="36">
        <f>F23*D32</f>
        <v>7840.8530000000001</v>
      </c>
      <c r="E33" s="36">
        <f>F23*E32</f>
        <v>15754.985000000001</v>
      </c>
      <c r="F33" s="36">
        <f>F23*F32</f>
        <v>10405.617999999999</v>
      </c>
    </row>
    <row r="34" spans="1:6" x14ac:dyDescent="0.2">
      <c r="A34" s="37" t="s">
        <v>40</v>
      </c>
      <c r="F34" s="38"/>
    </row>
    <row r="36" spans="1:6" x14ac:dyDescent="0.2">
      <c r="A36" t="s">
        <v>41</v>
      </c>
      <c r="F36" s="39">
        <f>B33+C33+D33+E33+F33</f>
        <v>73279</v>
      </c>
    </row>
    <row r="38" spans="1:6" x14ac:dyDescent="0.2">
      <c r="A38" s="63" t="s">
        <v>130</v>
      </c>
      <c r="F38" s="40">
        <f>B34+F34</f>
        <v>0</v>
      </c>
    </row>
  </sheetData>
  <mergeCells count="3">
    <mergeCell ref="A2:F2"/>
    <mergeCell ref="A3:F3"/>
    <mergeCell ref="A4:F4"/>
  </mergeCells>
  <phoneticPr fontId="2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opLeftCell="A4" zoomScaleNormal="100" workbookViewId="0">
      <selection activeCell="B42" sqref="B42"/>
    </sheetView>
  </sheetViews>
  <sheetFormatPr defaultRowHeight="12.75" x14ac:dyDescent="0.2"/>
  <cols>
    <col min="1" max="1" width="34" customWidth="1"/>
    <col min="2" max="2" width="14" style="2" bestFit="1" customWidth="1"/>
    <col min="3" max="3" width="9.28515625" bestFit="1" customWidth="1"/>
    <col min="4" max="4" width="12.7109375" style="2" customWidth="1"/>
    <col min="5" max="5" width="32" customWidth="1"/>
    <col min="6" max="6" width="10.28515625" bestFit="1" customWidth="1"/>
    <col min="7" max="7" width="9.28515625" bestFit="1" customWidth="1"/>
  </cols>
  <sheetData>
    <row r="1" spans="1:5" x14ac:dyDescent="0.2">
      <c r="A1" s="1" t="s">
        <v>0</v>
      </c>
    </row>
    <row r="2" spans="1:5" x14ac:dyDescent="0.2">
      <c r="A2" s="25"/>
    </row>
    <row r="3" spans="1:5" x14ac:dyDescent="0.2">
      <c r="A3" s="1" t="s">
        <v>29</v>
      </c>
      <c r="B3" s="3" t="s">
        <v>1</v>
      </c>
      <c r="C3" s="113" t="s">
        <v>2</v>
      </c>
      <c r="D3" s="3" t="s">
        <v>3</v>
      </c>
      <c r="E3" s="113" t="s">
        <v>4</v>
      </c>
    </row>
    <row r="4" spans="1:5" x14ac:dyDescent="0.2">
      <c r="A4" s="1"/>
      <c r="B4" s="3"/>
      <c r="C4" s="113"/>
      <c r="D4" s="3"/>
      <c r="E4" s="113"/>
    </row>
    <row r="5" spans="1:5" x14ac:dyDescent="0.2">
      <c r="A5" s="63" t="s">
        <v>123</v>
      </c>
      <c r="B5" s="2">
        <v>1440</v>
      </c>
      <c r="C5" s="63" t="s">
        <v>124</v>
      </c>
      <c r="D5" s="23">
        <v>122853.4</v>
      </c>
      <c r="E5" s="63" t="s">
        <v>125</v>
      </c>
    </row>
    <row r="6" spans="1:5" x14ac:dyDescent="0.2">
      <c r="A6" s="5" t="s">
        <v>76</v>
      </c>
      <c r="B6" s="2">
        <v>487.5</v>
      </c>
      <c r="C6" s="63" t="s">
        <v>126</v>
      </c>
      <c r="D6" s="23">
        <f>71017.11</f>
        <v>71017.11</v>
      </c>
      <c r="E6" s="7" t="s">
        <v>127</v>
      </c>
    </row>
    <row r="7" spans="1:5" x14ac:dyDescent="0.2">
      <c r="A7" s="63" t="s">
        <v>131</v>
      </c>
      <c r="B7" s="2">
        <v>360</v>
      </c>
      <c r="C7" s="63" t="s">
        <v>132</v>
      </c>
      <c r="D7" s="23">
        <v>36315.33</v>
      </c>
      <c r="E7" s="109" t="s">
        <v>140</v>
      </c>
    </row>
    <row r="8" spans="1:5" x14ac:dyDescent="0.2">
      <c r="A8" s="63" t="s">
        <v>114</v>
      </c>
      <c r="B8" s="2">
        <v>96</v>
      </c>
      <c r="C8" s="63" t="s">
        <v>133</v>
      </c>
      <c r="D8" s="23">
        <v>9305.42</v>
      </c>
      <c r="E8" s="63" t="s">
        <v>134</v>
      </c>
    </row>
    <row r="9" spans="1:5" x14ac:dyDescent="0.2">
      <c r="A9" s="63" t="s">
        <v>123</v>
      </c>
      <c r="B9" s="2">
        <v>192</v>
      </c>
      <c r="C9" s="63" t="s">
        <v>135</v>
      </c>
      <c r="D9" s="23">
        <v>16380.45</v>
      </c>
      <c r="E9" s="63" t="s">
        <v>136</v>
      </c>
    </row>
    <row r="10" spans="1:5" x14ac:dyDescent="0.2">
      <c r="A10" s="63" t="s">
        <v>137</v>
      </c>
      <c r="B10" s="2">
        <v>67.5</v>
      </c>
      <c r="C10" s="63" t="s">
        <v>138</v>
      </c>
      <c r="D10" s="23">
        <v>6542.88</v>
      </c>
      <c r="E10" s="63" t="s">
        <v>139</v>
      </c>
    </row>
    <row r="11" spans="1:5" x14ac:dyDescent="0.2">
      <c r="A11" s="63" t="s">
        <v>142</v>
      </c>
      <c r="B11" s="2">
        <v>2.5</v>
      </c>
      <c r="C11" s="63" t="s">
        <v>143</v>
      </c>
      <c r="D11" s="23">
        <v>1649.89</v>
      </c>
      <c r="E11" s="7" t="s">
        <v>144</v>
      </c>
    </row>
    <row r="12" spans="1:5" x14ac:dyDescent="0.2">
      <c r="A12" s="63" t="s">
        <v>137</v>
      </c>
      <c r="B12" s="2">
        <v>195</v>
      </c>
      <c r="C12" s="63" t="s">
        <v>147</v>
      </c>
      <c r="D12" s="23">
        <v>18901.64</v>
      </c>
      <c r="E12" s="63" t="s">
        <v>149</v>
      </c>
    </row>
    <row r="13" spans="1:5" x14ac:dyDescent="0.2">
      <c r="A13" s="5"/>
      <c r="C13" s="63"/>
      <c r="D13" s="8"/>
      <c r="E13" s="7"/>
    </row>
    <row r="14" spans="1:5" ht="13.5" thickBot="1" x14ac:dyDescent="0.25">
      <c r="B14" s="9">
        <f>SUM(B5:B13)</f>
        <v>2840.5</v>
      </c>
      <c r="D14" s="9">
        <f>SUM(D5:D13)</f>
        <v>282966.12000000005</v>
      </c>
    </row>
    <row r="15" spans="1:5" ht="13.5" thickTop="1" x14ac:dyDescent="0.2">
      <c r="A15" t="s">
        <v>5</v>
      </c>
    </row>
    <row r="16" spans="1:5" x14ac:dyDescent="0.2">
      <c r="A16" s="10" t="s">
        <v>6</v>
      </c>
      <c r="B16" s="41">
        <f>282966.12+12683.15+59708.92</f>
        <v>355358.19</v>
      </c>
      <c r="C16" s="26"/>
      <c r="D16" s="11">
        <f>D14/B16</f>
        <v>0.7962842224066935</v>
      </c>
    </row>
    <row r="17" spans="1:6" x14ac:dyDescent="0.2">
      <c r="A17" s="10"/>
      <c r="B17" s="41"/>
    </row>
    <row r="18" spans="1:6" x14ac:dyDescent="0.2">
      <c r="A18" s="1" t="s">
        <v>7</v>
      </c>
    </row>
    <row r="19" spans="1:6" x14ac:dyDescent="0.2">
      <c r="A19" s="1" t="s">
        <v>8</v>
      </c>
      <c r="B19" s="29"/>
      <c r="E19" s="24"/>
    </row>
    <row r="20" spans="1:6" x14ac:dyDescent="0.2">
      <c r="A20" t="s">
        <v>77</v>
      </c>
      <c r="B20" s="2">
        <f>9151.36+1070.87</f>
        <v>10222.23</v>
      </c>
      <c r="C20" s="12">
        <v>1</v>
      </c>
      <c r="D20" s="2">
        <f t="shared" ref="D20:D26" si="0">B20*C20</f>
        <v>10222.23</v>
      </c>
      <c r="E20" s="26"/>
    </row>
    <row r="21" spans="1:6" x14ac:dyDescent="0.2">
      <c r="A21" t="s">
        <v>42</v>
      </c>
      <c r="C21" s="12">
        <f>$D$16</f>
        <v>0.7962842224066935</v>
      </c>
      <c r="D21" s="2">
        <f t="shared" si="0"/>
        <v>0</v>
      </c>
      <c r="E21" s="26"/>
    </row>
    <row r="22" spans="1:6" x14ac:dyDescent="0.2">
      <c r="A22" t="s">
        <v>9</v>
      </c>
      <c r="B22" s="2">
        <f>$B$14</f>
        <v>2840.5</v>
      </c>
      <c r="C22" s="2">
        <v>1.75</v>
      </c>
      <c r="D22" s="2">
        <f t="shared" si="0"/>
        <v>4970.875</v>
      </c>
    </row>
    <row r="23" spans="1:6" x14ac:dyDescent="0.2">
      <c r="A23" t="s">
        <v>10</v>
      </c>
      <c r="B23" s="2">
        <f>$B$14</f>
        <v>2840.5</v>
      </c>
      <c r="C23" s="2">
        <v>26</v>
      </c>
      <c r="D23" s="2">
        <f t="shared" si="0"/>
        <v>73853</v>
      </c>
      <c r="F23" s="2"/>
    </row>
    <row r="24" spans="1:6" x14ac:dyDescent="0.2">
      <c r="A24" t="s">
        <v>11</v>
      </c>
      <c r="B24" s="2">
        <f>$B$14</f>
        <v>2840.5</v>
      </c>
      <c r="C24" s="2">
        <v>6.5</v>
      </c>
      <c r="D24" s="2">
        <f t="shared" si="0"/>
        <v>18463.25</v>
      </c>
    </row>
    <row r="25" spans="1:6" x14ac:dyDescent="0.2">
      <c r="A25" t="s">
        <v>58</v>
      </c>
      <c r="C25" s="12">
        <v>1</v>
      </c>
      <c r="D25" s="2">
        <f t="shared" si="0"/>
        <v>0</v>
      </c>
    </row>
    <row r="26" spans="1:6" x14ac:dyDescent="0.2">
      <c r="A26" t="s">
        <v>30</v>
      </c>
      <c r="B26" s="41">
        <f>1000+2600+3000</f>
        <v>6600</v>
      </c>
      <c r="C26" s="12">
        <f>$D$16</f>
        <v>0.7962842224066935</v>
      </c>
      <c r="D26" s="2">
        <f t="shared" si="0"/>
        <v>5255.4758678841772</v>
      </c>
      <c r="E26" s="28"/>
    </row>
    <row r="27" spans="1:6" ht="13.5" thickBot="1" x14ac:dyDescent="0.25">
      <c r="A27" s="1"/>
      <c r="D27" s="13">
        <f>SUM(D20:D26)</f>
        <v>112764.83086788417</v>
      </c>
    </row>
    <row r="28" spans="1:6" ht="13.5" thickTop="1" x14ac:dyDescent="0.2">
      <c r="A28" s="1" t="s">
        <v>12</v>
      </c>
      <c r="B28" s="29"/>
    </row>
    <row r="29" spans="1:6" x14ac:dyDescent="0.2">
      <c r="A29" t="s">
        <v>13</v>
      </c>
      <c r="B29" s="41"/>
      <c r="C29" s="12">
        <f t="shared" ref="C29:C39" si="1">$D$16</f>
        <v>0.7962842224066935</v>
      </c>
      <c r="D29" s="2">
        <f t="shared" ref="D29:D39" si="2">B29*C29</f>
        <v>0</v>
      </c>
    </row>
    <row r="30" spans="1:6" x14ac:dyDescent="0.2">
      <c r="A30" t="s">
        <v>14</v>
      </c>
      <c r="B30" s="41">
        <v>358.85</v>
      </c>
      <c r="C30" s="12">
        <f t="shared" si="1"/>
        <v>0.7962842224066935</v>
      </c>
      <c r="D30" s="2">
        <f t="shared" si="2"/>
        <v>285.746593210642</v>
      </c>
    </row>
    <row r="31" spans="1:6" x14ac:dyDescent="0.2">
      <c r="A31" t="s">
        <v>106</v>
      </c>
      <c r="B31" s="41">
        <v>240</v>
      </c>
      <c r="C31" s="12">
        <f t="shared" si="1"/>
        <v>0.7962842224066935</v>
      </c>
      <c r="D31" s="2">
        <f t="shared" si="2"/>
        <v>191.10821337760643</v>
      </c>
    </row>
    <row r="32" spans="1:6" x14ac:dyDescent="0.2">
      <c r="A32" t="s">
        <v>15</v>
      </c>
      <c r="B32" s="41"/>
      <c r="C32" s="12">
        <f t="shared" si="1"/>
        <v>0.7962842224066935</v>
      </c>
      <c r="D32" s="2">
        <f t="shared" si="2"/>
        <v>0</v>
      </c>
    </row>
    <row r="33" spans="1:7" x14ac:dyDescent="0.2">
      <c r="A33" t="s">
        <v>16</v>
      </c>
      <c r="B33" s="41"/>
      <c r="C33" s="12">
        <f t="shared" si="1"/>
        <v>0.7962842224066935</v>
      </c>
      <c r="D33" s="2">
        <f t="shared" si="2"/>
        <v>0</v>
      </c>
    </row>
    <row r="34" spans="1:7" x14ac:dyDescent="0.2">
      <c r="A34" t="s">
        <v>17</v>
      </c>
      <c r="B34" s="41">
        <v>342.59</v>
      </c>
      <c r="C34" s="12">
        <f t="shared" si="1"/>
        <v>0.7962842224066935</v>
      </c>
      <c r="D34" s="2">
        <f t="shared" si="2"/>
        <v>272.79901175430911</v>
      </c>
    </row>
    <row r="35" spans="1:7" x14ac:dyDescent="0.2">
      <c r="A35" t="s">
        <v>18</v>
      </c>
      <c r="B35" s="41">
        <v>3223.68</v>
      </c>
      <c r="C35" s="12">
        <f t="shared" si="1"/>
        <v>0.7962842224066935</v>
      </c>
      <c r="D35" s="2">
        <f t="shared" si="2"/>
        <v>2566.9655220880095</v>
      </c>
      <c r="F35" s="2"/>
      <c r="G35" s="42"/>
    </row>
    <row r="36" spans="1:7" x14ac:dyDescent="0.2">
      <c r="A36" t="s">
        <v>31</v>
      </c>
      <c r="B36" s="41">
        <f>51.6+366.78</f>
        <v>418.38</v>
      </c>
      <c r="C36" s="12">
        <f t="shared" si="1"/>
        <v>0.7962842224066935</v>
      </c>
      <c r="D36" s="2">
        <f t="shared" si="2"/>
        <v>333.14939297051239</v>
      </c>
    </row>
    <row r="37" spans="1:7" x14ac:dyDescent="0.2">
      <c r="A37" t="s">
        <v>75</v>
      </c>
      <c r="B37" s="41">
        <f>209.12+11.62</f>
        <v>220.74</v>
      </c>
      <c r="C37" s="12">
        <f t="shared" si="1"/>
        <v>0.7962842224066935</v>
      </c>
      <c r="D37" s="2">
        <f t="shared" si="2"/>
        <v>175.77177925405354</v>
      </c>
      <c r="F37" s="2"/>
    </row>
    <row r="38" spans="1:7" x14ac:dyDescent="0.2">
      <c r="A38" t="s">
        <v>60</v>
      </c>
      <c r="B38" s="2">
        <v>-753.24</v>
      </c>
      <c r="C38" s="12">
        <f t="shared" si="1"/>
        <v>0.7962842224066935</v>
      </c>
      <c r="D38" s="2">
        <f t="shared" si="2"/>
        <v>-599.79312768561783</v>
      </c>
    </row>
    <row r="39" spans="1:7" x14ac:dyDescent="0.2">
      <c r="A39" t="s">
        <v>33</v>
      </c>
      <c r="C39" s="12">
        <f t="shared" si="1"/>
        <v>0.7962842224066935</v>
      </c>
      <c r="D39" s="2">
        <f t="shared" si="2"/>
        <v>0</v>
      </c>
    </row>
    <row r="40" spans="1:7" ht="13.5" thickBot="1" x14ac:dyDescent="0.25">
      <c r="D40" s="13">
        <f>SUM(D29:D39)</f>
        <v>3225.7473849695148</v>
      </c>
    </row>
    <row r="41" spans="1:7" ht="13.5" thickTop="1" x14ac:dyDescent="0.2">
      <c r="A41" s="1" t="s">
        <v>19</v>
      </c>
      <c r="F41" s="2"/>
    </row>
    <row r="42" spans="1:7" ht="13.5" thickBot="1" x14ac:dyDescent="0.25">
      <c r="A42" t="s">
        <v>20</v>
      </c>
      <c r="B42" s="79">
        <f>14173268.9/12*8</f>
        <v>9448845.9333333336</v>
      </c>
      <c r="C42" s="105">
        <v>1.6000000000000001E-3</v>
      </c>
      <c r="D42" s="13">
        <f>B42*C42</f>
        <v>15118.153493333335</v>
      </c>
    </row>
    <row r="43" spans="1:7" ht="13.5" thickTop="1" x14ac:dyDescent="0.2"/>
  </sheetData>
  <printOptions horizontalCentered="1"/>
  <pageMargins left="0.5" right="0.5" top="0.5" bottom="0.5" header="0.5" footer="0.5"/>
  <pageSetup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4" workbookViewId="0">
      <selection activeCell="F37" sqref="F37"/>
    </sheetView>
  </sheetViews>
  <sheetFormatPr defaultColWidth="9.140625" defaultRowHeight="12.75" x14ac:dyDescent="0.2"/>
  <cols>
    <col min="2" max="2" width="13.7109375" customWidth="1"/>
    <col min="3" max="3" width="15.7109375" customWidth="1"/>
    <col min="4" max="4" width="16.7109375" style="6" customWidth="1"/>
    <col min="5" max="5" width="15.7109375" style="2" customWidth="1"/>
    <col min="6" max="6" width="14.7109375" customWidth="1"/>
  </cols>
  <sheetData>
    <row r="1" spans="1:6" ht="15" x14ac:dyDescent="0.2">
      <c r="A1" s="14"/>
      <c r="B1" s="14"/>
      <c r="C1" s="14"/>
      <c r="D1" s="15"/>
      <c r="E1" s="16"/>
      <c r="F1" s="14"/>
    </row>
    <row r="2" spans="1:6" ht="15.75" x14ac:dyDescent="0.25">
      <c r="A2" s="121" t="s">
        <v>32</v>
      </c>
      <c r="B2" s="121"/>
      <c r="C2" s="121"/>
      <c r="D2" s="121"/>
      <c r="E2" s="121"/>
      <c r="F2" s="121"/>
    </row>
    <row r="3" spans="1:6" ht="15.75" x14ac:dyDescent="0.25">
      <c r="A3" s="121" t="s">
        <v>21</v>
      </c>
      <c r="B3" s="121"/>
      <c r="C3" s="121"/>
      <c r="D3" s="121"/>
      <c r="E3" s="121"/>
      <c r="F3" s="121"/>
    </row>
    <row r="4" spans="1:6" ht="15.75" x14ac:dyDescent="0.25">
      <c r="A4" s="121" t="s">
        <v>148</v>
      </c>
      <c r="B4" s="121"/>
      <c r="C4" s="121"/>
      <c r="D4" s="121"/>
      <c r="E4" s="121"/>
      <c r="F4" s="121"/>
    </row>
    <row r="5" spans="1:6" ht="15.75" x14ac:dyDescent="0.25">
      <c r="A5" s="112"/>
      <c r="B5" s="112"/>
      <c r="C5" s="112"/>
      <c r="D5" s="112"/>
      <c r="E5" s="112"/>
      <c r="F5" s="112"/>
    </row>
    <row r="6" spans="1:6" ht="15.75" x14ac:dyDescent="0.25">
      <c r="A6" s="112"/>
      <c r="B6" s="112"/>
      <c r="C6" s="112"/>
      <c r="D6" s="112"/>
      <c r="E6" s="112"/>
      <c r="F6" s="112"/>
    </row>
    <row r="7" spans="1:6" ht="15" x14ac:dyDescent="0.2">
      <c r="A7" s="14"/>
      <c r="B7" s="14"/>
      <c r="C7" s="14"/>
      <c r="D7" s="15"/>
      <c r="E7" s="16"/>
      <c r="F7" s="14"/>
    </row>
    <row r="8" spans="1:6" ht="15.75" x14ac:dyDescent="0.25">
      <c r="A8" s="18" t="s">
        <v>22</v>
      </c>
      <c r="B8" s="14"/>
      <c r="C8" s="14"/>
      <c r="D8" s="15"/>
      <c r="E8" s="16"/>
      <c r="F8" s="19">
        <v>282966.12000000005</v>
      </c>
    </row>
    <row r="9" spans="1:6" ht="15" x14ac:dyDescent="0.2">
      <c r="A9" s="14"/>
      <c r="B9" s="14"/>
      <c r="C9" s="14"/>
      <c r="D9" s="15"/>
      <c r="E9" s="16"/>
      <c r="F9" s="16"/>
    </row>
    <row r="10" spans="1:6" ht="16.5" thickBot="1" x14ac:dyDescent="0.3">
      <c r="A10" s="18" t="s">
        <v>23</v>
      </c>
      <c r="B10" s="14"/>
      <c r="C10" s="16"/>
      <c r="D10" s="20"/>
      <c r="E10" s="16"/>
      <c r="F10" s="27">
        <v>112764.83086788417</v>
      </c>
    </row>
    <row r="11" spans="1:6" ht="15" x14ac:dyDescent="0.2">
      <c r="A11" s="14"/>
      <c r="B11" s="14"/>
      <c r="C11" s="14"/>
      <c r="D11" s="15"/>
      <c r="E11" s="16"/>
      <c r="F11" s="16"/>
    </row>
    <row r="12" spans="1:6" ht="15.75" x14ac:dyDescent="0.25">
      <c r="A12" s="21" t="s">
        <v>24</v>
      </c>
      <c r="B12" s="14"/>
      <c r="C12" s="14"/>
      <c r="D12" s="15"/>
      <c r="E12" s="16"/>
      <c r="F12" s="19">
        <f>F8-F10</f>
        <v>170201.2891321159</v>
      </c>
    </row>
    <row r="13" spans="1:6" ht="15" x14ac:dyDescent="0.2">
      <c r="A13" s="14"/>
      <c r="B13" s="14"/>
      <c r="C13" s="14"/>
      <c r="D13" s="15"/>
      <c r="E13" s="16"/>
      <c r="F13" s="16"/>
    </row>
    <row r="14" spans="1:6" ht="16.5" thickBot="1" x14ac:dyDescent="0.3">
      <c r="A14" s="18" t="s">
        <v>12</v>
      </c>
      <c r="B14" s="14"/>
      <c r="C14" s="16"/>
      <c r="D14" s="20"/>
      <c r="E14" s="16"/>
      <c r="F14" s="27">
        <v>3225.7473849695148</v>
      </c>
    </row>
    <row r="15" spans="1:6" ht="15" x14ac:dyDescent="0.2">
      <c r="A15" s="14"/>
      <c r="B15" s="14"/>
      <c r="C15" s="14"/>
      <c r="D15" s="15"/>
      <c r="E15" s="16"/>
      <c r="F15" s="16"/>
    </row>
    <row r="16" spans="1:6" ht="15.75" x14ac:dyDescent="0.25">
      <c r="A16" s="21" t="s">
        <v>25</v>
      </c>
      <c r="B16" s="14"/>
      <c r="C16" s="14"/>
      <c r="D16" s="15"/>
      <c r="E16" s="16"/>
      <c r="F16" s="19">
        <f>F12-F14-0.1</f>
        <v>166975.44174714637</v>
      </c>
    </row>
    <row r="17" spans="1:6" ht="15" x14ac:dyDescent="0.2">
      <c r="A17" s="14"/>
      <c r="B17" s="14"/>
      <c r="C17" s="14"/>
      <c r="D17" s="15"/>
      <c r="E17" s="16"/>
      <c r="F17" s="16"/>
    </row>
    <row r="18" spans="1:6" ht="15.75" x14ac:dyDescent="0.25">
      <c r="A18" s="18" t="s">
        <v>26</v>
      </c>
      <c r="B18" s="14"/>
      <c r="C18" s="14"/>
      <c r="D18" s="15"/>
      <c r="E18" s="16"/>
      <c r="F18" s="16"/>
    </row>
    <row r="19" spans="1:6" ht="16.5" thickBot="1" x14ac:dyDescent="0.3">
      <c r="A19" s="14" t="s">
        <v>27</v>
      </c>
      <c r="B19" s="14"/>
      <c r="C19" s="16"/>
      <c r="D19" s="20"/>
      <c r="E19" s="16"/>
      <c r="F19" s="27">
        <v>15118.153493333335</v>
      </c>
    </row>
    <row r="20" spans="1:6" ht="15" x14ac:dyDescent="0.2">
      <c r="A20" s="14"/>
      <c r="B20" s="14"/>
      <c r="C20" s="14"/>
      <c r="D20" s="15"/>
      <c r="E20" s="16"/>
      <c r="F20" s="16"/>
    </row>
    <row r="21" spans="1:6" ht="16.5" thickBot="1" x14ac:dyDescent="0.3">
      <c r="A21" s="21" t="s">
        <v>28</v>
      </c>
      <c r="B21" s="14"/>
      <c r="C21" s="14"/>
      <c r="D21" s="15"/>
      <c r="E21" s="16"/>
      <c r="F21" s="22">
        <f>F16-F19+0.2</f>
        <v>151857.48825381303</v>
      </c>
    </row>
    <row r="22" spans="1:6" ht="15.75" thickTop="1" x14ac:dyDescent="0.2">
      <c r="A22" s="14"/>
      <c r="B22" s="14"/>
      <c r="C22" s="14"/>
      <c r="D22" s="15"/>
      <c r="E22" s="16"/>
      <c r="F22" s="16"/>
    </row>
    <row r="23" spans="1:6" ht="15.75" x14ac:dyDescent="0.25">
      <c r="A23" s="21" t="s">
        <v>34</v>
      </c>
      <c r="F23" s="30">
        <f>ROUND(F21*50%,0)</f>
        <v>75929</v>
      </c>
    </row>
    <row r="24" spans="1:6" ht="15.75" x14ac:dyDescent="0.25">
      <c r="A24" s="21" t="s">
        <v>116</v>
      </c>
      <c r="F24" s="30">
        <f>-F37</f>
        <v>-10781.918</v>
      </c>
    </row>
    <row r="25" spans="1:6" ht="15.75" x14ac:dyDescent="0.25">
      <c r="A25" s="21"/>
      <c r="F25" s="30"/>
    </row>
    <row r="26" spans="1:6" ht="15.75" x14ac:dyDescent="0.25">
      <c r="A26" s="21" t="s">
        <v>109</v>
      </c>
      <c r="F26" s="30">
        <v>-56420</v>
      </c>
    </row>
    <row r="27" spans="1:6" ht="15.75" x14ac:dyDescent="0.25">
      <c r="A27" s="21" t="s">
        <v>59</v>
      </c>
      <c r="F27" s="30">
        <v>-21193</v>
      </c>
    </row>
    <row r="28" spans="1:6" ht="15.75" x14ac:dyDescent="0.25">
      <c r="A28" s="21"/>
      <c r="F28" s="30"/>
    </row>
    <row r="29" spans="1:6" ht="15.75" x14ac:dyDescent="0.25">
      <c r="A29" s="21" t="s">
        <v>115</v>
      </c>
      <c r="F29" s="30">
        <f>SUM(F22:F27)</f>
        <v>-12465.917999999998</v>
      </c>
    </row>
    <row r="31" spans="1:6" ht="15.75" x14ac:dyDescent="0.25">
      <c r="A31" s="21"/>
      <c r="F31" s="30"/>
    </row>
    <row r="33" spans="1:6" ht="15.75" x14ac:dyDescent="0.25">
      <c r="A33" s="21" t="s">
        <v>112</v>
      </c>
    </row>
    <row r="34" spans="1:6" ht="15" x14ac:dyDescent="0.2">
      <c r="A34" s="14"/>
      <c r="B34" s="31" t="s">
        <v>35</v>
      </c>
      <c r="C34" s="31" t="s">
        <v>1</v>
      </c>
      <c r="D34" s="32" t="s">
        <v>36</v>
      </c>
      <c r="E34" s="33" t="s">
        <v>37</v>
      </c>
      <c r="F34" s="31" t="s">
        <v>38</v>
      </c>
    </row>
    <row r="35" spans="1:6" ht="15" x14ac:dyDescent="0.2">
      <c r="A35" s="14"/>
      <c r="B35" s="34">
        <v>0.22</v>
      </c>
      <c r="C35" s="34">
        <v>0.316</v>
      </c>
      <c r="D35" s="34">
        <v>0.107</v>
      </c>
      <c r="E35" s="34">
        <v>0.215</v>
      </c>
      <c r="F35" s="34">
        <v>0.14199999999999999</v>
      </c>
    </row>
    <row r="36" spans="1:6" ht="15" x14ac:dyDescent="0.2">
      <c r="A36" s="35" t="s">
        <v>39</v>
      </c>
      <c r="B36" s="36">
        <f>F23*B35</f>
        <v>16704.38</v>
      </c>
      <c r="C36" s="36">
        <f>F23*C35</f>
        <v>23993.563999999998</v>
      </c>
      <c r="D36" s="36">
        <f>F23*D35</f>
        <v>8124.4030000000002</v>
      </c>
      <c r="E36" s="36">
        <f>F23*E35</f>
        <v>16324.735000000001</v>
      </c>
      <c r="F36" s="36">
        <v>0</v>
      </c>
    </row>
    <row r="37" spans="1:6" x14ac:dyDescent="0.2">
      <c r="A37" s="37" t="s">
        <v>40</v>
      </c>
      <c r="F37" s="92">
        <f>F23*F35</f>
        <v>10781.918</v>
      </c>
    </row>
    <row r="39" spans="1:6" x14ac:dyDescent="0.2">
      <c r="A39" t="s">
        <v>41</v>
      </c>
      <c r="F39" s="39">
        <f>B36+C36+D36+E36+F36</f>
        <v>65147.082000000002</v>
      </c>
    </row>
    <row r="41" spans="1:6" x14ac:dyDescent="0.2">
      <c r="A41" s="63" t="s">
        <v>113</v>
      </c>
      <c r="F41" s="40">
        <f>B37+F37</f>
        <v>10781.918</v>
      </c>
    </row>
  </sheetData>
  <mergeCells count="3">
    <mergeCell ref="A2:F2"/>
    <mergeCell ref="A3:F3"/>
    <mergeCell ref="A4:F4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43"/>
  <sheetViews>
    <sheetView zoomScaleNormal="100" workbookViewId="0">
      <selection activeCell="B38" sqref="B38"/>
    </sheetView>
  </sheetViews>
  <sheetFormatPr defaultRowHeight="12.75" x14ac:dyDescent="0.2"/>
  <cols>
    <col min="1" max="1" width="34" customWidth="1"/>
    <col min="2" max="2" width="14" style="2" bestFit="1" customWidth="1"/>
    <col min="3" max="3" width="9.28515625" bestFit="1" customWidth="1"/>
    <col min="4" max="4" width="12.7109375" style="2" customWidth="1"/>
    <col min="5" max="5" width="32" customWidth="1"/>
    <col min="6" max="6" width="10.28515625" bestFit="1" customWidth="1"/>
    <col min="7" max="7" width="9.28515625" bestFit="1" customWidth="1"/>
  </cols>
  <sheetData>
    <row r="1" spans="1:5" x14ac:dyDescent="0.2">
      <c r="A1" s="1" t="s">
        <v>0</v>
      </c>
    </row>
    <row r="2" spans="1:5" x14ac:dyDescent="0.2">
      <c r="A2" s="25"/>
    </row>
    <row r="3" spans="1:5" x14ac:dyDescent="0.2">
      <c r="A3" s="1" t="s">
        <v>29</v>
      </c>
      <c r="B3" s="3" t="s">
        <v>1</v>
      </c>
      <c r="C3" s="104" t="s">
        <v>2</v>
      </c>
      <c r="D3" s="3" t="s">
        <v>3</v>
      </c>
      <c r="E3" s="104" t="s">
        <v>4</v>
      </c>
    </row>
    <row r="4" spans="1:5" x14ac:dyDescent="0.2">
      <c r="A4" s="1"/>
      <c r="B4" s="3"/>
      <c r="C4" s="104"/>
      <c r="D4" s="3"/>
      <c r="E4" s="104"/>
    </row>
    <row r="5" spans="1:5" x14ac:dyDescent="0.2">
      <c r="A5" s="63" t="s">
        <v>123</v>
      </c>
      <c r="B5" s="2">
        <v>1440</v>
      </c>
      <c r="C5" s="63" t="s">
        <v>124</v>
      </c>
      <c r="D5" s="23">
        <v>122853.4</v>
      </c>
      <c r="E5" s="63" t="s">
        <v>125</v>
      </c>
    </row>
    <row r="6" spans="1:5" x14ac:dyDescent="0.2">
      <c r="A6" s="5" t="s">
        <v>76</v>
      </c>
      <c r="B6" s="2">
        <v>487.5</v>
      </c>
      <c r="C6" s="63" t="s">
        <v>126</v>
      </c>
      <c r="D6" s="23">
        <f>71017.11</f>
        <v>71017.11</v>
      </c>
      <c r="E6" s="7" t="s">
        <v>127</v>
      </c>
    </row>
    <row r="7" spans="1:5" x14ac:dyDescent="0.2">
      <c r="A7" s="63" t="s">
        <v>131</v>
      </c>
      <c r="B7" s="2">
        <v>360</v>
      </c>
      <c r="C7" s="63" t="s">
        <v>132</v>
      </c>
      <c r="D7" s="23">
        <v>36315.33</v>
      </c>
      <c r="E7" s="109" t="s">
        <v>140</v>
      </c>
    </row>
    <row r="8" spans="1:5" x14ac:dyDescent="0.2">
      <c r="A8" s="63" t="s">
        <v>114</v>
      </c>
      <c r="B8" s="2">
        <v>96</v>
      </c>
      <c r="C8" s="63" t="s">
        <v>133</v>
      </c>
      <c r="D8" s="23">
        <v>9305.42</v>
      </c>
      <c r="E8" s="63" t="s">
        <v>134</v>
      </c>
    </row>
    <row r="9" spans="1:5" x14ac:dyDescent="0.2">
      <c r="A9" s="63" t="s">
        <v>123</v>
      </c>
      <c r="B9" s="2">
        <v>192</v>
      </c>
      <c r="C9" s="63" t="s">
        <v>135</v>
      </c>
      <c r="D9" s="23">
        <v>16380.45</v>
      </c>
      <c r="E9" s="63" t="s">
        <v>136</v>
      </c>
    </row>
    <row r="10" spans="1:5" x14ac:dyDescent="0.2">
      <c r="A10" s="63" t="s">
        <v>137</v>
      </c>
      <c r="B10" s="2">
        <v>67.5</v>
      </c>
      <c r="C10" s="63" t="s">
        <v>138</v>
      </c>
      <c r="D10" s="23">
        <v>6542.88</v>
      </c>
      <c r="E10" s="63" t="s">
        <v>139</v>
      </c>
    </row>
    <row r="11" spans="1:5" x14ac:dyDescent="0.2">
      <c r="A11" s="63" t="s">
        <v>142</v>
      </c>
      <c r="B11" s="2">
        <v>2.5</v>
      </c>
      <c r="C11" s="63" t="s">
        <v>143</v>
      </c>
      <c r="D11" s="23">
        <v>1649.89</v>
      </c>
      <c r="E11" s="7" t="s">
        <v>144</v>
      </c>
    </row>
    <row r="12" spans="1:5" x14ac:dyDescent="0.2">
      <c r="A12" s="63" t="s">
        <v>137</v>
      </c>
      <c r="B12" s="2">
        <v>195</v>
      </c>
      <c r="C12" s="63" t="s">
        <v>147</v>
      </c>
      <c r="D12" s="23">
        <v>18901.64</v>
      </c>
      <c r="E12" s="63" t="s">
        <v>149</v>
      </c>
    </row>
    <row r="13" spans="1:5" x14ac:dyDescent="0.2">
      <c r="A13" s="5"/>
      <c r="C13" s="63"/>
      <c r="D13" s="8"/>
      <c r="E13" s="7"/>
    </row>
    <row r="14" spans="1:5" ht="13.5" thickBot="1" x14ac:dyDescent="0.25">
      <c r="B14" s="9">
        <f>SUM(B5:B13)</f>
        <v>2840.5</v>
      </c>
      <c r="D14" s="9">
        <f>SUM(D5:D13)</f>
        <v>282966.12000000005</v>
      </c>
    </row>
    <row r="15" spans="1:5" ht="13.5" thickTop="1" x14ac:dyDescent="0.2">
      <c r="A15" t="s">
        <v>5</v>
      </c>
    </row>
    <row r="16" spans="1:5" x14ac:dyDescent="0.2">
      <c r="A16" s="10" t="s">
        <v>6</v>
      </c>
      <c r="B16" s="41">
        <f>282966.12+12683.15+62664.58</f>
        <v>358313.85000000003</v>
      </c>
      <c r="C16" s="26"/>
      <c r="D16" s="11">
        <f>D14/B16</f>
        <v>0.78971583152590952</v>
      </c>
    </row>
    <row r="17" spans="1:6" x14ac:dyDescent="0.2">
      <c r="A17" s="10"/>
      <c r="B17" s="41"/>
    </row>
    <row r="18" spans="1:6" x14ac:dyDescent="0.2">
      <c r="A18" s="1" t="s">
        <v>7</v>
      </c>
    </row>
    <row r="19" spans="1:6" x14ac:dyDescent="0.2">
      <c r="A19" s="1" t="s">
        <v>8</v>
      </c>
      <c r="B19" s="29"/>
      <c r="E19" s="24"/>
    </row>
    <row r="20" spans="1:6" x14ac:dyDescent="0.2">
      <c r="A20" t="s">
        <v>77</v>
      </c>
      <c r="B20" s="2">
        <f>9151.36+1070.87</f>
        <v>10222.23</v>
      </c>
      <c r="C20" s="12">
        <v>1</v>
      </c>
      <c r="D20" s="2">
        <f t="shared" ref="D20:D26" si="0">B20*C20</f>
        <v>10222.23</v>
      </c>
      <c r="E20" s="26"/>
    </row>
    <row r="21" spans="1:6" x14ac:dyDescent="0.2">
      <c r="A21" t="s">
        <v>42</v>
      </c>
      <c r="C21" s="12">
        <f>$D$16</f>
        <v>0.78971583152590952</v>
      </c>
      <c r="D21" s="2">
        <f t="shared" si="0"/>
        <v>0</v>
      </c>
      <c r="E21" s="26"/>
    </row>
    <row r="22" spans="1:6" x14ac:dyDescent="0.2">
      <c r="A22" t="s">
        <v>9</v>
      </c>
      <c r="B22" s="2">
        <f>$B$14</f>
        <v>2840.5</v>
      </c>
      <c r="C22" s="2">
        <v>1.75</v>
      </c>
      <c r="D22" s="2">
        <f t="shared" si="0"/>
        <v>4970.875</v>
      </c>
    </row>
    <row r="23" spans="1:6" x14ac:dyDescent="0.2">
      <c r="A23" t="s">
        <v>10</v>
      </c>
      <c r="B23" s="2">
        <f>$B$14</f>
        <v>2840.5</v>
      </c>
      <c r="C23" s="2">
        <v>26</v>
      </c>
      <c r="D23" s="2">
        <f t="shared" si="0"/>
        <v>73853</v>
      </c>
      <c r="F23" s="2"/>
    </row>
    <row r="24" spans="1:6" x14ac:dyDescent="0.2">
      <c r="A24" t="s">
        <v>11</v>
      </c>
      <c r="B24" s="2">
        <f>$B$14</f>
        <v>2840.5</v>
      </c>
      <c r="C24" s="2">
        <v>6.5</v>
      </c>
      <c r="D24" s="2">
        <f t="shared" si="0"/>
        <v>18463.25</v>
      </c>
    </row>
    <row r="25" spans="1:6" x14ac:dyDescent="0.2">
      <c r="A25" t="s">
        <v>58</v>
      </c>
      <c r="C25" s="12">
        <v>1</v>
      </c>
      <c r="D25" s="2">
        <f t="shared" si="0"/>
        <v>0</v>
      </c>
    </row>
    <row r="26" spans="1:6" x14ac:dyDescent="0.2">
      <c r="A26" t="s">
        <v>30</v>
      </c>
      <c r="B26" s="41">
        <f>1000+2600+3000</f>
        <v>6600</v>
      </c>
      <c r="C26" s="12">
        <f>$D$16</f>
        <v>0.78971583152590952</v>
      </c>
      <c r="D26" s="2">
        <f t="shared" si="0"/>
        <v>5212.1244880710028</v>
      </c>
      <c r="E26" s="28"/>
    </row>
    <row r="27" spans="1:6" ht="13.5" thickBot="1" x14ac:dyDescent="0.25">
      <c r="A27" s="1"/>
      <c r="D27" s="13">
        <f>SUM(D20:D26)</f>
        <v>112721.479488071</v>
      </c>
    </row>
    <row r="28" spans="1:6" ht="13.5" thickTop="1" x14ac:dyDescent="0.2">
      <c r="A28" s="1" t="s">
        <v>12</v>
      </c>
      <c r="B28" s="29"/>
    </row>
    <row r="29" spans="1:6" x14ac:dyDescent="0.2">
      <c r="A29" t="s">
        <v>13</v>
      </c>
      <c r="B29" s="41"/>
      <c r="C29" s="12">
        <f t="shared" ref="C29:C39" si="1">$D$16</f>
        <v>0.78971583152590952</v>
      </c>
      <c r="D29" s="2">
        <f t="shared" ref="D29:D39" si="2">B29*C29</f>
        <v>0</v>
      </c>
    </row>
    <row r="30" spans="1:6" x14ac:dyDescent="0.2">
      <c r="A30" t="s">
        <v>14</v>
      </c>
      <c r="B30" s="41">
        <v>447.08</v>
      </c>
      <c r="C30" s="12">
        <f t="shared" si="1"/>
        <v>0.78971583152590952</v>
      </c>
      <c r="D30" s="2">
        <f t="shared" si="2"/>
        <v>353.06615395860359</v>
      </c>
    </row>
    <row r="31" spans="1:6" x14ac:dyDescent="0.2">
      <c r="A31" t="s">
        <v>106</v>
      </c>
      <c r="B31" s="41">
        <v>300</v>
      </c>
      <c r="C31" s="12">
        <f t="shared" si="1"/>
        <v>0.78971583152590952</v>
      </c>
      <c r="D31" s="2">
        <f t="shared" si="2"/>
        <v>236.91474945777284</v>
      </c>
    </row>
    <row r="32" spans="1:6" x14ac:dyDescent="0.2">
      <c r="A32" t="s">
        <v>15</v>
      </c>
      <c r="B32" s="41"/>
      <c r="C32" s="12">
        <f t="shared" si="1"/>
        <v>0.78971583152590952</v>
      </c>
      <c r="D32" s="2">
        <f t="shared" si="2"/>
        <v>0</v>
      </c>
    </row>
    <row r="33" spans="1:7" x14ac:dyDescent="0.2">
      <c r="A33" t="s">
        <v>16</v>
      </c>
      <c r="B33" s="41"/>
      <c r="C33" s="12">
        <f t="shared" si="1"/>
        <v>0.78971583152590952</v>
      </c>
      <c r="D33" s="2">
        <f t="shared" si="2"/>
        <v>0</v>
      </c>
    </row>
    <row r="34" spans="1:7" x14ac:dyDescent="0.2">
      <c r="A34" t="s">
        <v>17</v>
      </c>
      <c r="B34" s="41">
        <v>424.88</v>
      </c>
      <c r="C34" s="12">
        <f t="shared" si="1"/>
        <v>0.78971583152590952</v>
      </c>
      <c r="D34" s="2">
        <f t="shared" si="2"/>
        <v>335.53446249872843</v>
      </c>
    </row>
    <row r="35" spans="1:7" x14ac:dyDescent="0.2">
      <c r="A35" t="s">
        <v>18</v>
      </c>
      <c r="B35" s="41">
        <v>4029.6</v>
      </c>
      <c r="C35" s="12">
        <f t="shared" si="1"/>
        <v>0.78971583152590952</v>
      </c>
      <c r="D35" s="2">
        <f t="shared" si="2"/>
        <v>3182.2389147168051</v>
      </c>
      <c r="F35" s="2"/>
      <c r="G35" s="42"/>
    </row>
    <row r="36" spans="1:7" x14ac:dyDescent="0.2">
      <c r="A36" t="s">
        <v>31</v>
      </c>
      <c r="B36" s="41">
        <f>64.5+458.52</f>
        <v>523.02</v>
      </c>
      <c r="C36" s="12">
        <f t="shared" si="1"/>
        <v>0.78971583152590952</v>
      </c>
      <c r="D36" s="2">
        <f t="shared" si="2"/>
        <v>413.03717420468121</v>
      </c>
    </row>
    <row r="37" spans="1:7" x14ac:dyDescent="0.2">
      <c r="A37" t="s">
        <v>75</v>
      </c>
      <c r="B37" s="114">
        <f>0.61-17.34</f>
        <v>-16.73</v>
      </c>
      <c r="C37" s="12">
        <f t="shared" si="1"/>
        <v>0.78971583152590952</v>
      </c>
      <c r="D37" s="2">
        <f t="shared" si="2"/>
        <v>-13.211945861428466</v>
      </c>
      <c r="F37" s="2"/>
    </row>
    <row r="38" spans="1:7" x14ac:dyDescent="0.2">
      <c r="A38" t="s">
        <v>60</v>
      </c>
      <c r="B38" s="2">
        <v>-753.24</v>
      </c>
      <c r="C38" s="12">
        <f t="shared" si="1"/>
        <v>0.78971583152590952</v>
      </c>
      <c r="D38" s="2">
        <f t="shared" si="2"/>
        <v>-594.84555293857613</v>
      </c>
    </row>
    <row r="39" spans="1:7" x14ac:dyDescent="0.2">
      <c r="A39" t="s">
        <v>33</v>
      </c>
      <c r="C39" s="12">
        <f t="shared" si="1"/>
        <v>0.78971583152590952</v>
      </c>
      <c r="D39" s="2">
        <f t="shared" si="2"/>
        <v>0</v>
      </c>
    </row>
    <row r="40" spans="1:7" ht="13.5" thickBot="1" x14ac:dyDescent="0.25">
      <c r="D40" s="13">
        <f>SUM(D29:D39)</f>
        <v>3912.7339560365858</v>
      </c>
    </row>
    <row r="41" spans="1:7" ht="13.5" thickTop="1" x14ac:dyDescent="0.2">
      <c r="A41" s="1" t="s">
        <v>19</v>
      </c>
      <c r="F41" s="2"/>
    </row>
    <row r="42" spans="1:7" ht="13.5" thickBot="1" x14ac:dyDescent="0.25">
      <c r="A42" t="s">
        <v>20</v>
      </c>
      <c r="B42" s="79">
        <f>14173268.9/12*10</f>
        <v>11811057.416666668</v>
      </c>
      <c r="C42" s="105">
        <v>1.6000000000000001E-3</v>
      </c>
      <c r="D42" s="13">
        <f>B42*C42</f>
        <v>18897.691866666668</v>
      </c>
    </row>
    <row r="43" spans="1:7" ht="13.5" thickTop="1" x14ac:dyDescent="0.2"/>
  </sheetData>
  <printOptions horizontalCentered="1"/>
  <pageMargins left="0.5" right="0.5" top="0.5" bottom="0.5" header="0.5" footer="0.5"/>
  <pageSetup scale="9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2015-03-31T07:00:00+00:00</OpenedDate>
    <Date1 xmlns="dc463f71-b30c-4ab2-9473-d307f9d35888">2015-03-31T07:00:00+00:00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US Ecology Washington, Inc.</CaseCompanyNames>
    <DocketNumber xmlns="dc463f71-b30c-4ab2-9473-d307f9d35888">150517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171B36BCACBC842A8FC4F3D22C2EA9E" ma:contentTypeVersion="119" ma:contentTypeDescription="" ma:contentTypeScope="" ma:versionID="8507a62450b13e26052376ffcfefb2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191B883-6EB2-4960-A242-D5C47F458F54}"/>
</file>

<file path=customXml/itemProps2.xml><?xml version="1.0" encoding="utf-8"?>
<ds:datastoreItem xmlns:ds="http://schemas.openxmlformats.org/officeDocument/2006/customXml" ds:itemID="{9B849074-17A3-4BAC-A196-D0A0FFD1E9F6}"/>
</file>

<file path=customXml/itemProps3.xml><?xml version="1.0" encoding="utf-8"?>
<ds:datastoreItem xmlns:ds="http://schemas.openxmlformats.org/officeDocument/2006/customXml" ds:itemID="{EC115A7A-E2A6-4AF3-993C-1D66B8AD7936}"/>
</file>

<file path=customXml/itemProps4.xml><?xml version="1.0" encoding="utf-8"?>
<ds:datastoreItem xmlns:ds="http://schemas.openxmlformats.org/officeDocument/2006/customXml" ds:itemID="{58C12242-FBB8-4C70-A66A-9B04BE5D7A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Norm-Detail 2-28</vt:lpstr>
      <vt:lpstr>Norm 2-28 50% Refund</vt:lpstr>
      <vt:lpstr>Norm-Detail 3-31</vt:lpstr>
      <vt:lpstr>Norm 3-31 50% Refund</vt:lpstr>
      <vt:lpstr>Norm-Detail 4-30</vt:lpstr>
      <vt:lpstr>Norm 4-30 50% Refund</vt:lpstr>
      <vt:lpstr>Norm-Detail 8-31</vt:lpstr>
      <vt:lpstr>Norm 8-31 50% Refund</vt:lpstr>
      <vt:lpstr>Norm-Detail 10-31</vt:lpstr>
      <vt:lpstr>Norm 10-31 50% Refund</vt:lpstr>
      <vt:lpstr>Norm-Detail 11-30</vt:lpstr>
      <vt:lpstr>Norm 11-30 50% Refund</vt:lpstr>
      <vt:lpstr>Norm-Detail 12-31</vt:lpstr>
      <vt:lpstr>Norm 12-31 50% Refund</vt:lpstr>
      <vt:lpstr>Rate Calculation</vt:lpstr>
      <vt:lpstr>Norm Corp Allocation 2014</vt:lpstr>
      <vt:lpstr>Norm 12-31 P&amp;L</vt:lpstr>
      <vt:lpstr>Richland Corp Allocation</vt:lpstr>
      <vt:lpstr>LLRW Richland 12-31 P&amp;L</vt:lpstr>
    </vt:vector>
  </TitlesOfParts>
  <Company>US Ecology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Candace Shofstall</cp:lastModifiedBy>
  <cp:lastPrinted>2015-01-12T19:53:15Z</cp:lastPrinted>
  <dcterms:created xsi:type="dcterms:W3CDTF">2004-10-27T16:23:45Z</dcterms:created>
  <dcterms:modified xsi:type="dcterms:W3CDTF">2015-03-17T18:40:49Z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0x0101006E56B4D1795A2E4DB2F0B01679ED314A002171B36BCACBC842A8FC4F3D22C2EA9E</vt:lpwstr>
  </property>
  <property fmtid="{D5CDD505-2E9C-101B-9397-08002B2CF9AE}" pid="3" name="_docset_NoMedatataSyncRequired">
    <vt:lpwstr>False</vt:lpwstr>
  </property>
</Properties>
</file>