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7.bin" ContentType="application/vnd.openxmlformats-officedocument.spreadsheetml.customProperty"/>
  <Override PartName="/xl/customProperty1.bin" ContentType="application/vnd.openxmlformats-officedocument.spreadsheetml.customProperty"/>
  <Override PartName="/xl/externalLinks/externalLink5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22665" yWindow="435" windowWidth="20370" windowHeight="7965" tabRatio="931"/>
  </bookViews>
  <sheets>
    <sheet name="Exh. JAP-11 Page 1" sheetId="120" r:id="rId1"/>
    <sheet name="Exh. JAP-11 Page 2" sheetId="5" r:id="rId2"/>
    <sheet name="Exh. JAP-11 Page 3" sheetId="189" r:id="rId3"/>
    <sheet name="Exh. JAP-11 Page 3a" sheetId="215" r:id="rId4"/>
    <sheet name="Exh. JAP-11 Page 4" sheetId="54" r:id="rId5"/>
    <sheet name="Work Papers For Exhibits--&gt;" sheetId="36" r:id="rId6"/>
    <sheet name="12ME Dec 2018 Cust Data" sheetId="302" r:id="rId7"/>
    <sheet name="2019 GRC PCA Cost" sheetId="303" r:id="rId8"/>
    <sheet name="Exhibit A-1" sheetId="304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</externalReferences>
  <definedNames>
    <definedName name="______Jun09">" BS!$AI$7:$AI$1643"</definedName>
    <definedName name="_____Jun09">" BS!$AI$7:$AI$1643"</definedName>
    <definedName name="____Jun09">" BS!$AI$7:$AI$1643"</definedName>
    <definedName name="___Jun09">" BS!$AI$7:$AI$1643"</definedName>
    <definedName name="__123Graph_A">[1]Quant!$D$71:$O$71</definedName>
    <definedName name="__123Graph_ABUDG6_DSCRPR">[1]Quant!$D$71:$O$71</definedName>
    <definedName name="__123Graph_ABUDG6_ESCRPR1">[1]Quant!$D$100:$O$100</definedName>
    <definedName name="__123Graph_B">[1]Quant!$D$72:$O$72</definedName>
    <definedName name="__123Graph_BBUDG6_DSCRPR">[1]Quant!$D$72:$O$72</definedName>
    <definedName name="__123Graph_BBUDG6_ESCRPR1">[1]Quant!$D$88:$O$88</definedName>
    <definedName name="__123Graph_X">[1]Quant!$D$5:$O$5</definedName>
    <definedName name="__123Graph_XBUDG6_DSCRPR">[1]Quant!$D$5:$O$5</definedName>
    <definedName name="__123Graph_XBUDG6_ESCRPR1">[1]Quant!$D$5:$O$5</definedName>
    <definedName name="__Dec03">[2]BS!$T$7:$T$3582</definedName>
    <definedName name="__Dec04">[3]BS!$AC$7:$AC$3580</definedName>
    <definedName name="__Jul04">[3]BS!$X$7:$X$3582</definedName>
    <definedName name="__Jun04">[3]BS!$W$7:$W$3582</definedName>
    <definedName name="__Jun09">" BS!$AI$7:$AI$1643"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1__123Graph_ABUDG6_D_ESCRPR">[1]Quant!$D$71:$O$71</definedName>
    <definedName name="_3__123Graph_BBUDG6_D_ESCRPR">[1]Quant!$D$72:$O$72</definedName>
    <definedName name="_4__123Graph_BBUDG6_Dtons_inv">[1]Quant!$D$9:$O$9</definedName>
    <definedName name="_5__123Graph_CBUDG6_D_ESCRPR">[1]Quant!$D$100:$O$100</definedName>
    <definedName name="_6__123Graph_DBUDG6_D_ESCRPR">[1]Quant!$D$88:$O$88</definedName>
    <definedName name="_7__123Graph_XBUDG6_D_ESCRPR">[1]Quant!$D$5:$O$5</definedName>
    <definedName name="_8__123Graph_XBUDG6_Dtons_inv">[1]Quant!$D$5:$O$5</definedName>
    <definedName name="_Apr04">[3]BS!$U$7:$U$3582</definedName>
    <definedName name="_Aug04">[3]BS!$Y$7:$Y$3582</definedName>
    <definedName name="_Dec03">[2]BS!$T$7:$T$3582</definedName>
    <definedName name="_Dec04">[3]BS!$AC$7:$AC$3580</definedName>
    <definedName name="_Feb04">[3]BS!$S$7:$S$3582</definedName>
    <definedName name="_Jan04">[3]BS!$R$7:$R$3582</definedName>
    <definedName name="_Jul04">[3]BS!$X$7:$X$3582</definedName>
    <definedName name="_Jun04">[3]BS!$W$7:$W$3582</definedName>
    <definedName name="_Jun09">" BS!$AI$7:$AI$1643"</definedName>
    <definedName name="_Mar04">[3]BS!$T$7:$T$3582</definedName>
    <definedName name="_May04">[3]BS!$V$7:$V$3582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>255</definedName>
    <definedName name="_Order2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[2]BS!$Q$7:$Q$3582</definedName>
    <definedName name="_Sep04">[3]BS!$Z$7:$Z$3582</definedName>
    <definedName name="a">[5]model!$A$6</definedName>
    <definedName name="AccessDatabase">"I:\COMTREL\FINICLE\TradeSummary.mdb"</definedName>
    <definedName name="Acct2281SO">'[6]Func Study'!$H$2190</definedName>
    <definedName name="Acct2283SO">'[6]Func Study'!$H$2198</definedName>
    <definedName name="Acct228SO">'[6]Func Study'!$H$2194</definedName>
    <definedName name="Acct350">'[6]Func Study'!$H$1628</definedName>
    <definedName name="Acct352">'[6]Func Study'!$H$1635</definedName>
    <definedName name="Acct353">'[6]Func Study'!$H$1641</definedName>
    <definedName name="Acct354">'[6]Func Study'!$H$1647</definedName>
    <definedName name="Acct355">'[6]Func Study'!$H$1654</definedName>
    <definedName name="Acct356">'[6]Func Study'!$H$1660</definedName>
    <definedName name="Acct357">'[6]Func Study'!$H$1666</definedName>
    <definedName name="Acct358">'[6]Func Study'!$H$1672</definedName>
    <definedName name="Acct359">'[6]Func Study'!$H$1678</definedName>
    <definedName name="Acct360">'[6]Func Study'!$H$1698</definedName>
    <definedName name="Acct361">'[6]Func Study'!$H$1704</definedName>
    <definedName name="Acct362">'[6]Func Study'!$H$1710</definedName>
    <definedName name="Acct364">'[6]Func Study'!$H$1717</definedName>
    <definedName name="Acct365">'[6]Func Study'!$H$1724</definedName>
    <definedName name="Acct366">'[6]Func Study'!$H$1731</definedName>
    <definedName name="Acct367">'[6]Func Study'!$H$1738</definedName>
    <definedName name="Acct368">'[6]Func Study'!$H$1744</definedName>
    <definedName name="Acct369">'[6]Func Study'!$H$1751</definedName>
    <definedName name="Acct370">'[6]Func Study'!$H$1762</definedName>
    <definedName name="Acct371">'[6]Func Study'!$H$1769</definedName>
    <definedName name="Acct372">'[6]Func Study'!$H$1776</definedName>
    <definedName name="Acct372A">'[6]Func Study'!$H$1775</definedName>
    <definedName name="Acct372DP">'[6]Func Study'!$H$1773</definedName>
    <definedName name="Acct372DS">'[6]Func Study'!$H$1774</definedName>
    <definedName name="Acct373">'[6]Func Study'!$H$1782</definedName>
    <definedName name="Acct448S">'[6]Func Study'!$H$274</definedName>
    <definedName name="Acct450S">'[6]Func Study'!$H$302</definedName>
    <definedName name="Acct451S">'[6]Func Study'!$H$307</definedName>
    <definedName name="Acct454S">'[6]Func Study'!$H$318</definedName>
    <definedName name="Acct456S">'[6]Func Study'!$H$325</definedName>
    <definedName name="ACCT557CAGE">'[6]Func Study'!$H$683</definedName>
    <definedName name="Acct557CT">'[6]Func Study'!$H$681</definedName>
    <definedName name="Acct580">'[6]Func Study'!$H$791</definedName>
    <definedName name="Acct581">'[6]Func Study'!$H$796</definedName>
    <definedName name="Acct582">'[6]Func Study'!$H$801</definedName>
    <definedName name="Acct583">'[6]Func Study'!$H$806</definedName>
    <definedName name="Acct584">'[6]Func Study'!$H$811</definedName>
    <definedName name="Acct585">'[6]Func Study'!$H$816</definedName>
    <definedName name="Acct586">'[6]Func Study'!$H$821</definedName>
    <definedName name="Acct587">'[6]Func Study'!$H$826</definedName>
    <definedName name="Acct588">'[6]Func Study'!$H$831</definedName>
    <definedName name="Acct589">'[6]Func Study'!$H$836</definedName>
    <definedName name="Acct590">'[6]Func Study'!$H$841</definedName>
    <definedName name="Acct591">'[6]Func Study'!$H$846</definedName>
    <definedName name="Acct592">'[6]Func Study'!$H$851</definedName>
    <definedName name="Acct593">'[6]Func Study'!$H$856</definedName>
    <definedName name="Acct594">'[6]Func Study'!$H$861</definedName>
    <definedName name="Acct595">'[6]Func Study'!$H$866</definedName>
    <definedName name="Acct596">'[6]Func Study'!$H$876</definedName>
    <definedName name="Acct597">'[6]Func Study'!$H$881</definedName>
    <definedName name="Acct598">'[6]Func Study'!$H$886</definedName>
    <definedName name="AcctAGA">'[6]Func Study'!$H$296</definedName>
    <definedName name="AcctTable">[7]Variables!$AK$42:$AK$396</definedName>
    <definedName name="AcctTS0">'[6]Func Study'!$H$1686</definedName>
    <definedName name="Acq1Plant">'[8]Acquisition Inputs'!$C$8</definedName>
    <definedName name="Acq2Plant">'[8]Acquisition Inputs'!$C$70</definedName>
    <definedName name="ActualROR">'[9]G+T+D+R+M'!$H$61</definedName>
    <definedName name="ADJPTDCE.T">[4]INTERNAL!$A$31:$IV$33</definedName>
    <definedName name="Adjs2avg">[10]Inputs!$L$255:'[10]Inputs'!$T$505</definedName>
    <definedName name="After_Tax_Cash_Discount">'[11]Assumptions (Input)'!$D$37</definedName>
    <definedName name="afudc_flag">'[11]Assumptions (Input)'!$B$13</definedName>
    <definedName name="ANCIL">[4]EXTERNAL!$A$163:$IV$165</definedName>
    <definedName name="Apr04AMA">[3]BS!$AG$7:$AG$3582</definedName>
    <definedName name="AS2DocOpenMode">"AS2DocumentEdit"</definedName>
    <definedName name="Assessment_Rate">'[11]Assumptions (Input)'!$B$7</definedName>
    <definedName name="Aug04AMA">[3]BS!$AK$7:$AK$3582</definedName>
    <definedName name="Aurora_Prices">"Monthly Price Summary'!$C$4:$H$63"</definedName>
    <definedName name="AvgFactors">[7]Factors!$B$3:$P$99</definedName>
    <definedName name="Beg_Unb_KWHs">[12]LeadSht!$L$10</definedName>
    <definedName name="BOOK_LIFE">'[13]Lvl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[14]Readings!$B$2</definedName>
    <definedName name="Capital_Inflation">'[11]Assumptions (Input)'!$B$11</definedName>
    <definedName name="CASE">[15]INPUTS!$C$11</definedName>
    <definedName name="Case_Name">'[16]KJB-6,13 Cmn Adj'!$B$8</definedName>
    <definedName name="CaseDescription">'[8]Dispatch Cases'!$C$11</definedName>
    <definedName name="CBWorkbookPriority">-2060790043</definedName>
    <definedName name="CCGT_HeatRate">[8]Assumptions!$H$23</definedName>
    <definedName name="CCGTPrice">[8]Assumptions!$H$22</definedName>
    <definedName name="CL_RT2">'[17]Transp Data'!$A$6:$C$81</definedName>
    <definedName name="Classification">'[6]Func Study'!$AB$251</definedName>
    <definedName name="Close_Date">'[11]Capital Projects(Input)'!$D$7:$D$53</definedName>
    <definedName name="Construction_OH">'[18]Virtual 49 Back-Up'!$E$54</definedName>
    <definedName name="ConversionFactor">[8]Assumptions!$I$65</definedName>
    <definedName name="COSFacVal">[6]Inputs!$R$5</definedName>
    <definedName name="CurrQtr">'[19]Inc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">'[20]Mix Variance'!$B$1:$N$31</definedName>
    <definedName name="Data.Avg">'[19]Avg Amts'!$A$5:$BP$34</definedName>
    <definedName name="Data.Qtrs.Avg">'[19]Avg Amts'!$A$5:$IV$5</definedName>
    <definedName name="data1">'[21]Mix Variance'!$O$5:$T$25</definedName>
    <definedName name="DebtPerc">[8]Assumptions!$I$58</definedName>
    <definedName name="Dec03AMA">[2]BS!$AJ$7:$AJ$3582</definedName>
    <definedName name="Dec04AMA">[3]BS!$AO$7:$AO$3582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">[9]Inputs!$D$8</definedName>
    <definedName name="Demand2">[22]Inputs!$D$11</definedName>
    <definedName name="DES1.T">[4]INTERNAL!$A$40:$IV$42</definedName>
    <definedName name="DES2.T">[4]INTERNAL!$A$43:$IV$45</definedName>
    <definedName name="DF_HeatRate">[8]Assumptions!$L$23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'[6]Func Study'!$AB$250</definedName>
    <definedName name="DisFac">'[6]Func Dist Factor Table'!$A$11:$G$25</definedName>
    <definedName name="DocketNumber">'[23]JHS-4'!$AP$2</definedName>
    <definedName name="DP.T">[4]INTERNAL!$A$46:$IV$48</definedName>
    <definedName name="EBFIT.T">[4]INTERNAL!$A$88:$IV$90</definedName>
    <definedName name="EffTax">[15]INPUTS!$F$36</definedName>
    <definedName name="Electric_Prices">'[24]Monthly Price Summary'!$B$4:$E$27</definedName>
    <definedName name="ElecWC_LineItems">[25]BS!$AO$7:$AO$3420</definedName>
    <definedName name="ElRBLine">[3]BS!$AQ$7:$AQ$3303</definedName>
    <definedName name="EndDate">[8]Assumptions!$C$11</definedName>
    <definedName name="energy">[14]Readings!$B$3</definedName>
    <definedName name="ENERGY_1">[4]EXTERNAL!$A$4:$IV$6</definedName>
    <definedName name="ENERGY_2">[4]EXTERNAL!$A$145:$IV$147</definedName>
    <definedName name="Engy">[9]Inputs!$D$9</definedName>
    <definedName name="Engy2">[22]Inputs!$D$12</definedName>
    <definedName name="EPIS.T">[4]INTERNAL!$A$49:$IV$51</definedName>
    <definedName name="Escalator">1.025</definedName>
    <definedName name="Factorck">'[6]COS Factor Table'!$O$15:$O$113</definedName>
    <definedName name="FactorType">[7]Variables!$AK$2:$AL$12</definedName>
    <definedName name="FactSum">'[6]COS Factor Table'!$A$14:$O$113</definedName>
    <definedName name="FCR">'[18]Virtual 49 Back-Up'!$B$20</definedName>
    <definedName name="Feb04AMA">[3]BS!$AE$7:$AE$3582</definedName>
    <definedName name="Fed_Cap_Tax">[26]Inputs!$E$112</definedName>
    <definedName name="FedTaxRate">[8]Assumptions!$C$33</definedName>
    <definedName name="FIT">'[27]ROR &amp; CONV FACTOR'!$J$20</definedName>
    <definedName name="FIT_Tax_Rate">'[11]Assumptions (Input)'!$B$5</definedName>
    <definedName name="FranchiseTax">[10]Variables!$D$26</definedName>
    <definedName name="FTAX">[15]INPUTS!$F$35</definedName>
    <definedName name="Func">'[6]Func Factor Table'!$A$10:$H$77</definedName>
    <definedName name="Function">'[6]Func Study'!$AB$250</definedName>
    <definedName name="GasRBLine">[3]BS!$AS$7:$AS$3631</definedName>
    <definedName name="GasWC_LineItem">[3]BS!$AR$7:$AR$3631</definedName>
    <definedName name="GP.T">[4]INTERNAL!$A$52:$IV$54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taxrate">0.4</definedName>
    <definedName name="Insurance_Rate">'[11]Assumptions (Input)'!$B$9</definedName>
    <definedName name="INTRESEXCH">[28]Sheet1!$AG$1</definedName>
    <definedName name="Jan04AMA">[3]BS!$AD$7:$AD$3582</definedName>
    <definedName name="jjj">[29]Inputs!$N$18</definedName>
    <definedName name="Jul04AMA">[3]BS!$AJ$7:$AJ$3582</definedName>
    <definedName name="Jun04AMA">[3]BS!$AI$7:$AI$3582</definedName>
    <definedName name="Jurisdiction">[7]Variables!$AK$15</definedName>
    <definedName name="JurisNumber">[7]Variables!$AL$15</definedName>
    <definedName name="k_Docket_Number">'[16]KJB-12 Sum'!$AS$2</definedName>
    <definedName name="k_FITrate">'[16]KJB-3,11 Def'!$L$20</definedName>
    <definedName name="keep_Docket_Number">'[30]KJB-3 Sum'!$AQ$2</definedName>
    <definedName name="keep_FIT">'[30]KJB-7 Def'!$L$20</definedName>
    <definedName name="keep_KJB_3_Rate_Increase">'[30]KJB-7 Def'!$C$3</definedName>
    <definedName name="keep_KJB_4_Electric_Summary">'[30]KJB-3 Sum'!$AQ$3</definedName>
    <definedName name="keep_KJB_8_Common_Adjs">'[30]KJB-5 Cmn Adj'!$L$3</definedName>
    <definedName name="keep_KJB_9_Electric_Only">'[30]KJB-5 El Adj'!$E$3</definedName>
    <definedName name="keep_TESTYEAR">'[30]KJB-5 Cmn Adj'!$B$7</definedName>
    <definedName name="LATEPAY">[28]Sheet1!$E$3:$E$25</definedName>
    <definedName name="Levy_Rate">'[11]Assumptions (Input)'!$B$6</definedName>
    <definedName name="limcount">1</definedName>
    <definedName name="LINE.T">[4]INTERNAL!$A$55:$IV$57</definedName>
    <definedName name="LinkCos">'[6]JAM Download'!$K$4</definedName>
    <definedName name="LoadArray">'[31]Load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[32]M9100F4!$A$1:$V$99</definedName>
    <definedName name="MACRS">'[11]MACRS RATES'!$A$3:$AT$10</definedName>
    <definedName name="Mar04AMA">[3]BS!$AF$7:$AF$3582</definedName>
    <definedName name="May04AMA">[3]BS!$AH$7:$AH$3582</definedName>
    <definedName name="MERGER_COST">[33]Sheet1!$AF$3:$AJ$28</definedName>
    <definedName name="Method">[9]Inputs!$C$6</definedName>
    <definedName name="monthlist">[34]Table!$R$2:$S$13</definedName>
    <definedName name="monthtotals">'[34]WA SBC'!$D$40:$O$40</definedName>
    <definedName name="MTD_Format">[35]Mthly!$B$11:$D$11,[35]Mthly!$B$32:$D$32</definedName>
    <definedName name="MTR_YR3">[36]Variables!$E$14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[6]Inputs!$G$8</definedName>
    <definedName name="NetToGross">[10]Variables!$D$23</definedName>
    <definedName name="Nov03AMA">[2]BS!$AI$7:$AI$3582</definedName>
    <definedName name="Nov04AMA">[3]BS!$AN$7:$AN$3582</definedName>
    <definedName name="NPC">[37]Inputs!$N$18</definedName>
    <definedName name="NRG">[4]CLASSIFIERS!$A$5:$IV$5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'[11]MiscItems(Input)'!$B$5:$AO$8,'[11]MiscItems(Input)'!$B$13:$AO$13,'[11]MiscItems(Input)'!$B$15:$B$17,'[11]MiscItems(Input)'!$B$17:$AO$17,'[11]MiscItems(Input)'!$B$15:$AO$15</definedName>
    <definedName name="O_M_Rate">'[18]Virtual 49 Back-Up'!$B$21</definedName>
    <definedName name="OBCLEASE">[28]Sheet1!$AF$4:$AI$23</definedName>
    <definedName name="Oct03AMA">[2]BS!$AH$7:$AH$3582</definedName>
    <definedName name="Oct04AMA">[3]BS!$AM$7:$AM$3582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'[38]Dist Misc'!$F$120</definedName>
    <definedName name="OthRCF">[39]INPUTS!$F$41</definedName>
    <definedName name="OthUnc">[4]INPUTS!$F$36</definedName>
    <definedName name="outlookdata">'[40]pivoted data'!$D$3:$Q$90</definedName>
    <definedName name="PeakMethod">[9]Inputs!$T$5</definedName>
    <definedName name="Percent_debt">[26]Inputs!$E$129</definedName>
    <definedName name="Plant_Input">'[11]Plant(Input)'!$B$7:$AP$9,'[11]Plant(Input)'!$B$11,'[11]Plant(Input)'!$B$15:$AP$15,'[11]Plant(Input)'!$B$18,'[11]Plant(Input)'!$B$20:$AP$20</definedName>
    <definedName name="POWER.T">[4]INTERNAL!$A$58:$IV$60</definedName>
    <definedName name="PP.T">[4]INTERNAL!$A$61:$IV$63</definedName>
    <definedName name="PreTaxDebtCost">[8]Assumptions!$I$56</definedName>
    <definedName name="PreTaxWACC">[8]Assumptions!$I$62</definedName>
    <definedName name="Prices_Aurora">'[24]Monthly Price Summary'!$C$4:$H$63</definedName>
    <definedName name="Prior_Month">[12]Sch_120!$I$21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v_Cap_Tax">[26]Inputs!$E$111</definedName>
    <definedName name="PTDGP.T">[4]INTERNAL!$A$64:$IV$66</definedName>
    <definedName name="PTDP.T">[4]INTERNAL!$A$67:$IV$69</definedName>
    <definedName name="QTD_Format">[41]QTD!$B$11:$D$11,[41]QTD!$B$35:$D$35</definedName>
    <definedName name="RATE2">'[17]Transp Data'!$A$8:$I$112</definedName>
    <definedName name="Rates">[42]Codes!$A$1:$C$500</definedName>
    <definedName name="RB.T">[4]INTERNAL!$A$70:$IV$72</definedName>
    <definedName name="Requlated_scenario">'[11]Assumptions (Input)'!$B$12</definedName>
    <definedName name="ResExchCrRate">[43]Sch_194!$M$31</definedName>
    <definedName name="RESID">[4]EXTERNAL!$A$88:$IV$90</definedName>
    <definedName name="resource_lookup">'[44]#REF'!$B$3:$C$112</definedName>
    <definedName name="ResourceSupplier">[10]Variables!$D$28</definedName>
    <definedName name="ResRCF">[15]INPUTS!$F$44</definedName>
    <definedName name="ResUnc">[15]INPUTS!$F$39</definedName>
    <definedName name="RevClass">[42]Codes!$F$2:$G$10</definedName>
    <definedName name="revenue_flag">'[11]Assumptions (Input)'!$C$12</definedName>
    <definedName name="Revenue_Taxes">'[11]Assumptions (Input)'!$B$8</definedName>
    <definedName name="REVFAC1.T">[4]INTERNAL!$A$73:$IV$75</definedName>
    <definedName name="ROD">[15]INPUTS!$F$30</definedName>
    <definedName name="ROR">[45]INPUTS!$F$29</definedName>
    <definedName name="SAPBEXhrIndnt">"Wide"</definedName>
    <definedName name="SAPsysID">"708C5W7SBKP804JT78WJ0JNKI"</definedName>
    <definedName name="SAPwbID">"ARS"</definedName>
    <definedName name="SBRCF">[39]INPUTS!$F$40</definedName>
    <definedName name="SbUnc">[4]INPUTS!$F$35</definedName>
    <definedName name="Schedule">[37]Inputs!$N$14</definedName>
    <definedName name="Sep03AMA">[2]BS!$AG$7:$AG$3582</definedName>
    <definedName name="Sep04AMA">[3]BS!$AL$7:$AL$3582</definedName>
    <definedName name="solver_eval">0</definedName>
    <definedName name="solver_ntri">1000</definedName>
    <definedName name="solver_rsmp">1</definedName>
    <definedName name="solver_seed">0</definedName>
    <definedName name="StartDate">[8]Assumptions!$C$9</definedName>
    <definedName name="STAX">[15]INPUTS!$F$34</definedName>
    <definedName name="SW.T">[4]INTERNAL!$A$76:$IV$78</definedName>
    <definedName name="SWPTD.T">[4]INTERNAL!$A$79:$IV$81</definedName>
    <definedName name="TableName">"Dummy"</definedName>
    <definedName name="TargetROR">[9]Inputs!$G$29</definedName>
    <definedName name="TDP.T">[4]INTERNAL!$A$82:$IV$84</definedName>
    <definedName name="TEMPADJ">[28]Sheet1!$A$4:$E$40</definedName>
    <definedName name="TestPeriod">[6]Inputs!$C$5</definedName>
    <definedName name="TESTYEAR">'[23]JHS-6'!$A$7</definedName>
    <definedName name="TFR">[4]CLASSIFIERS!$A$11:$IV$11</definedName>
    <definedName name="ThermalBookLife">[8]Assumptions!$C$25</definedName>
    <definedName name="Title">[8]Assumptions!$A$1</definedName>
    <definedName name="Total_Payment">Scheduled_Payment+Extra_Payment</definedName>
    <definedName name="TotalRateBase">'[6]G+T+D+R+M'!$H$58</definedName>
    <definedName name="TP.T">[4]INTERNAL!$A$91:$IV$93</definedName>
    <definedName name="transdb">'[46]Transp Unbilled'!$A$8:$E$174</definedName>
    <definedName name="TRANSM_2">[47]Transm2!$A$1:$M$461:'[47]10 Yr FC'!$M$47</definedName>
    <definedName name="UAcct103">'[6]Func Study'!$AB$1613</definedName>
    <definedName name="UAcct105Dnpg">'[6]Func Study'!$AB$2010</definedName>
    <definedName name="UAcct105S">'[6]Func Study'!$AB$2005</definedName>
    <definedName name="UAcct105Seu">'[6]Func Study'!$AB$2009</definedName>
    <definedName name="UAcct105Snppo">'[6]Func Study'!$AB$2008</definedName>
    <definedName name="UAcct105Snpps">'[6]Func Study'!$AB$2006</definedName>
    <definedName name="UAcct105Snpt">'[6]Func Study'!$AB$2007</definedName>
    <definedName name="UAcct1081390">'[6]Func Study'!$AB$2451</definedName>
    <definedName name="UAcct1081390Rcl">'[6]Func Study'!$AB$2450</definedName>
    <definedName name="UAcct1081399">'[6]Func Study'!$AB$2459</definedName>
    <definedName name="UAcct1081399Rcl">'[6]Func Study'!$AB$2458</definedName>
    <definedName name="UAcct108360">'[6]Func Study'!$AB$2355</definedName>
    <definedName name="UAcct108361">'[6]Func Study'!$AB$2359</definedName>
    <definedName name="UAcct108362">'[6]Func Study'!$AB$2363</definedName>
    <definedName name="UAcct108364">'[6]Func Study'!$AB$2367</definedName>
    <definedName name="UAcct108365">'[6]Func Study'!$AB$2371</definedName>
    <definedName name="UAcct108366">'[6]Func Study'!$AB$2375</definedName>
    <definedName name="UAcct108367">'[6]Func Study'!$AB$2379</definedName>
    <definedName name="UAcct108368">'[6]Func Study'!$AB$2383</definedName>
    <definedName name="UAcct108369">'[6]Func Study'!$AB$2387</definedName>
    <definedName name="UAcct108370">'[6]Func Study'!$AB$2391</definedName>
    <definedName name="UAcct108371">'[6]Func Study'!$AB$2395</definedName>
    <definedName name="UAcct108372">'[6]Func Study'!$AB$2399</definedName>
    <definedName name="UAcct108373">'[6]Func Study'!$AB$2403</definedName>
    <definedName name="UAcct108D">'[6]Func Study'!$AB$2415</definedName>
    <definedName name="UAcct108D00">'[6]Func Study'!$AB$2407</definedName>
    <definedName name="UAcct108Ds">'[6]Func Study'!$AB$2411</definedName>
    <definedName name="UAcct108Ep">'[6]Func Study'!$AB$2327</definedName>
    <definedName name="UAcct108Gpcn">'[6]Func Study'!$AB$2429</definedName>
    <definedName name="UAcct108Gps">'[6]Func Study'!$AB$2425</definedName>
    <definedName name="UAcct108Gpse">'[6]Func Study'!$AB$2431</definedName>
    <definedName name="UAcct108Gpsg">'[6]Func Study'!$AB$2428</definedName>
    <definedName name="UAcct108Gpsgp">'[6]Func Study'!$AB$2426</definedName>
    <definedName name="UAcct108Gpsgu">'[6]Func Study'!$AB$2427</definedName>
    <definedName name="UAcct108Gpso">'[6]Func Study'!$AB$2430</definedName>
    <definedName name="UACCT108GPSSGCH">'[6]Func Study'!$AB$2434</definedName>
    <definedName name="UACCT108GPSSGCT">'[6]Func Study'!$AB$2433</definedName>
    <definedName name="UAcct108Hp">'[6]Func Study'!$AB$2313</definedName>
    <definedName name="UAcct108Mp">'[6]Func Study'!$AB$2444</definedName>
    <definedName name="UAcct108Np">'[6]Func Study'!$AB$2305</definedName>
    <definedName name="UAcct108Op">'[6]Func Study'!$AB$2322</definedName>
    <definedName name="UACCT108OPSSCCT">'[6]Func Study'!$AB$2321</definedName>
    <definedName name="UAcct108Sp">'[6]Func Study'!$AB$2299</definedName>
    <definedName name="UACCT108SPSSGCH">'[6]Func Study'!$AB$2298</definedName>
    <definedName name="UAcct108Tp">'[6]Func Study'!$AB$2346</definedName>
    <definedName name="UAcct111Clg">'[6]Func Study'!$AB$2487</definedName>
    <definedName name="UAcct111Clgsou">'[6]Func Study'!$AB$2485</definedName>
    <definedName name="UAcct111Clh">'[6]Func Study'!$AB$2493</definedName>
    <definedName name="UAcct111Cls">'[6]Func Study'!$AB$2478</definedName>
    <definedName name="UAcct111Ipcn">'[6]Func Study'!$AB$2502</definedName>
    <definedName name="UAcct111Ips">'[6]Func Study'!$AB$2497</definedName>
    <definedName name="UAcct111Ipse">'[6]Func Study'!$AB$2500</definedName>
    <definedName name="UAcct111Ipsg">'[6]Func Study'!$AB$2501</definedName>
    <definedName name="UAcct111Ipsgp">'[6]Func Study'!$AB$2498</definedName>
    <definedName name="UAcct111Ipsgu">'[6]Func Study'!$AB$2499</definedName>
    <definedName name="UAcct111Ipso">'[6]Func Study'!$AB$2506</definedName>
    <definedName name="UACCT111IPSSGCH">'[6]Func Study'!$AB$2505</definedName>
    <definedName name="UACCT111IPSSGCT">'[6]Func Study'!$AB$2504</definedName>
    <definedName name="UAcct114">'[6]Func Study'!$AB$2017</definedName>
    <definedName name="UAcct120">'[6]Func Study'!$AB$2021</definedName>
    <definedName name="UAcct124">'[6]Func Study'!$AB$2026</definedName>
    <definedName name="UAcct141">'[6]Func Study'!$AB$2173</definedName>
    <definedName name="UAcct151">'[6]Func Study'!$AB$2049</definedName>
    <definedName name="Uacct151SSECT">'[6]Func Study'!$AB$2047</definedName>
    <definedName name="UAcct154">'[6]Func Study'!$AB$2083</definedName>
    <definedName name="Uacct154SSGCT">'[6]Func Study'!$AB$2080</definedName>
    <definedName name="UAcct163">'[6]Func Study'!$AB$2093</definedName>
    <definedName name="UAcct165">'[6]Func Study'!$AB$2108</definedName>
    <definedName name="UAcct165Gps">'[6]Func Study'!$AB$2104</definedName>
    <definedName name="UAcct182">'[6]Func Study'!$AB$2033</definedName>
    <definedName name="UAcct18222">'[6]Func Study'!$AB$2163</definedName>
    <definedName name="UAcct182M">'[6]Func Study'!$AB$2118</definedName>
    <definedName name="UAcct182MSSGCH">'[6]Func Study'!$AB$2113</definedName>
    <definedName name="UAcct186">'[6]Func Study'!$AB$2041</definedName>
    <definedName name="UAcct1869">'[6]Func Study'!$AB$2168</definedName>
    <definedName name="UAcct186M">'[6]Func Study'!$AB$2129</definedName>
    <definedName name="UAcct190">'[6]Func Study'!$AB$2243</definedName>
    <definedName name="UAcct190Baddebt">'[6]Func Study'!$AB$2237</definedName>
    <definedName name="UAcct190Dop">'[6]Func Study'!$AB$2235</definedName>
    <definedName name="UAcct2281">'[6]Func Study'!$AB$2191</definedName>
    <definedName name="UAcct2282">'[6]Func Study'!$AB$2195</definedName>
    <definedName name="UAcct2283">'[6]Func Study'!$AB$2200</definedName>
    <definedName name="UACCT22841SG">'[6]Func Study'!$AB$2205</definedName>
    <definedName name="UAcct22842">'[6]Func Study'!$AB$2211</definedName>
    <definedName name="UAcct235">'[6]Func Study'!$AB$2187</definedName>
    <definedName name="UACCT235CN">'[6]Func Study'!$AB$2186</definedName>
    <definedName name="UAcct252">'[6]Func Study'!$AB$2219</definedName>
    <definedName name="UAcct25316">'[6]Func Study'!$AB$2057</definedName>
    <definedName name="UAcct25317">'[6]Func Study'!$AB$2061</definedName>
    <definedName name="UAcct25318">'[6]Func Study'!$AB$2098</definedName>
    <definedName name="UAcct25319">'[6]Func Study'!$AB$2065</definedName>
    <definedName name="uacct25398">'[6]Func Study'!$AB$2222</definedName>
    <definedName name="UAcct25399">'[6]Func Study'!$AB$2230</definedName>
    <definedName name="UACCT254SO">'[6]Func Study'!$AB$2202</definedName>
    <definedName name="UAcct255">'[6]Func Study'!$AB$2284</definedName>
    <definedName name="UAcct281">'[6]Func Study'!$AB$2249</definedName>
    <definedName name="UAcct282">'[6]Func Study'!$AB$2259</definedName>
    <definedName name="UAcct282Cn">'[6]Func Study'!$AB$2256</definedName>
    <definedName name="UAcct282So">'[6]Func Study'!$AB$2255</definedName>
    <definedName name="UAcct283">'[6]Func Study'!$AB$2271</definedName>
    <definedName name="UAcct283So">'[6]Func Study'!$AB$2265</definedName>
    <definedName name="UAcct301S">'[6]Func Study'!$AB$1964</definedName>
    <definedName name="UAcct301Sg">'[6]Func Study'!$AB$1966</definedName>
    <definedName name="UAcct301So">'[6]Func Study'!$AB$1965</definedName>
    <definedName name="UAcct302S">'[6]Func Study'!$AB$1969</definedName>
    <definedName name="UAcct302Sg">'[6]Func Study'!$AB$1970</definedName>
    <definedName name="UAcct302Sgp">'[6]Func Study'!$AB$1971</definedName>
    <definedName name="UAcct302Sgu">'[6]Func Study'!$AB$1972</definedName>
    <definedName name="UAcct303Cn">'[6]Func Study'!$AB$1980</definedName>
    <definedName name="UAcct303S">'[6]Func Study'!$AB$1976</definedName>
    <definedName name="UAcct303Se">'[6]Func Study'!$AB$1979</definedName>
    <definedName name="UAcct303Sg">'[6]Func Study'!$AB$1977</definedName>
    <definedName name="UAcct303Sgu">'[6]Func Study'!$AB$1981</definedName>
    <definedName name="UAcct303So">'[6]Func Study'!$AB$1978</definedName>
    <definedName name="UACCT303SSGCH">'[6]Func Study'!$AB$1983</definedName>
    <definedName name="UAcct310">'[6]Func Study'!$AB$1414</definedName>
    <definedName name="UAcct310JBG">'[6]Func Study'!$AB$1413</definedName>
    <definedName name="UAcct311">'[6]Func Study'!$AB$1421</definedName>
    <definedName name="UAcct311JBG">'[6]Func Study'!$AB$1420</definedName>
    <definedName name="UAcct312">'[6]Func Study'!$AB$1428</definedName>
    <definedName name="UAcct312JBG">'[6]Func Study'!$AB$1427</definedName>
    <definedName name="UAcct314">'[6]Func Study'!$AB$1435</definedName>
    <definedName name="UAcct314JBG">'[6]Func Study'!$AB$1434</definedName>
    <definedName name="UAcct315">'[6]Func Study'!$AB$1442</definedName>
    <definedName name="UAcct315JBG">'[6]Func Study'!$AB$1441</definedName>
    <definedName name="UAcct316">'[6]Func Study'!$AB$1450</definedName>
    <definedName name="UAcct316JBG">'[6]Func Study'!$AB$1449</definedName>
    <definedName name="UAcct320">'[6]Func Study'!$AB$1466</definedName>
    <definedName name="UAcct321">'[6]Func Study'!$AB$1471</definedName>
    <definedName name="UAcct322">'[6]Func Study'!$AB$1476</definedName>
    <definedName name="UAcct323">'[6]Func Study'!$AB$1481</definedName>
    <definedName name="UAcct324">'[6]Func Study'!$AB$1486</definedName>
    <definedName name="UAcct325">'[6]Func Study'!$AB$1491</definedName>
    <definedName name="UAcct33">'[6]Func Study'!$AB$295</definedName>
    <definedName name="UAcct330">'[6]Func Study'!$AB$1508</definedName>
    <definedName name="UAcct331">'[6]Func Study'!$AB$1513</definedName>
    <definedName name="UAcct332">'[6]Func Study'!$AB$1518</definedName>
    <definedName name="UAcct333">'[6]Func Study'!$AB$1523</definedName>
    <definedName name="UAcct334">'[6]Func Study'!$AB$1528</definedName>
    <definedName name="UAcct335">'[6]Func Study'!$AB$1533</definedName>
    <definedName name="UAcct336">'[6]Func Study'!$AB$1539</definedName>
    <definedName name="UAcct340Dgu">'[6]Func Study'!$AB$1564</definedName>
    <definedName name="UAcct340Sgu">'[6]Func Study'!$AB$1565</definedName>
    <definedName name="UAcct341Dgu">'[6]Func Study'!$AB$1569</definedName>
    <definedName name="UAcct341Sgu">'[6]Func Study'!$AB$1570</definedName>
    <definedName name="UAcct342Dgu">'[6]Func Study'!$AB$1574</definedName>
    <definedName name="UAcct342Sgu">'[6]Func Study'!$AB$1575</definedName>
    <definedName name="UAcct343">'[6]Func Study'!$AB$1584</definedName>
    <definedName name="UAcct344S">'[6]Func Study'!$AB$1587</definedName>
    <definedName name="UAcct344Sgp">'[6]Func Study'!$AB$1588</definedName>
    <definedName name="UAcct345Dgu">'[6]Func Study'!$AB$1594</definedName>
    <definedName name="UAcct345Sgu">'[6]Func Study'!$AB$1595</definedName>
    <definedName name="UAcct346">'[6]Func Study'!$AB$1601</definedName>
    <definedName name="UAcct350">'[6]Func Study'!$AB$1628</definedName>
    <definedName name="UAcct352">'[6]Func Study'!$AB$1635</definedName>
    <definedName name="UAcct353">'[6]Func Study'!$AB$1641</definedName>
    <definedName name="UAcct354">'[6]Func Study'!$AB$1647</definedName>
    <definedName name="UAcct355">'[6]Func Study'!$AB$1654</definedName>
    <definedName name="UAcct356">'[6]Func Study'!$AB$1660</definedName>
    <definedName name="UAcct357">'[6]Func Study'!$AB$1666</definedName>
    <definedName name="UAcct358">'[6]Func Study'!$AB$1672</definedName>
    <definedName name="UAcct359">'[6]Func Study'!$AB$1678</definedName>
    <definedName name="UAcct360">'[6]Func Study'!$AB$1698</definedName>
    <definedName name="UAcct361">'[6]Func Study'!$AB$1704</definedName>
    <definedName name="UAcct362">'[6]Func Study'!$AB$1710</definedName>
    <definedName name="UAcct368">'[6]Func Study'!$AB$1744</definedName>
    <definedName name="UAcct369">'[6]Func Study'!$AB$1751</definedName>
    <definedName name="UAcct370">'[6]Func Study'!$AB$1762</definedName>
    <definedName name="UAcct372A">'[6]Func Study'!$AB$1775</definedName>
    <definedName name="UAcct372Dp">'[6]Func Study'!$AB$1773</definedName>
    <definedName name="UAcct372Ds">'[6]Func Study'!$AB$1774</definedName>
    <definedName name="UAcct373">'[6]Func Study'!$AB$1782</definedName>
    <definedName name="UAcct389Cn">'[6]Func Study'!$AB$1800</definedName>
    <definedName name="UAcct389S">'[6]Func Study'!$AB$1799</definedName>
    <definedName name="UAcct389Sg">'[6]Func Study'!$AB$1802</definedName>
    <definedName name="UAcct389Sgu">'[6]Func Study'!$AB$1801</definedName>
    <definedName name="UAcct389So">'[6]Func Study'!$AB$1803</definedName>
    <definedName name="UAcct390Cn">'[6]Func Study'!$AB$1810</definedName>
    <definedName name="UAcct390JBG">'[6]Func Study'!$AB$1812</definedName>
    <definedName name="UAcct390L">'[6]Func Study'!$AB$1927</definedName>
    <definedName name="UACCT390LRCL">'[6]Func Study'!$AB$1929</definedName>
    <definedName name="UAcct390S">'[6]Func Study'!$AB$1807</definedName>
    <definedName name="UAcct390Sgp">'[6]Func Study'!$AB$1808</definedName>
    <definedName name="UAcct390Sgu">'[6]Func Study'!$AB$1809</definedName>
    <definedName name="UAcct390Sop">'[6]Func Study'!$AB$1811</definedName>
    <definedName name="UAcct390Sou">'[6]Func Study'!$AB$1813</definedName>
    <definedName name="UAcct391Cn">'[6]Func Study'!$AB$1820</definedName>
    <definedName name="UACCT391JBE">'[6]Func Study'!$AB$1825</definedName>
    <definedName name="UAcct391S">'[6]Func Study'!$AB$1817</definedName>
    <definedName name="UAcct391Sg">'[6]Func Study'!$AB$1821</definedName>
    <definedName name="UAcct391Sgp">'[6]Func Study'!$AB$1818</definedName>
    <definedName name="UAcct391Sgu">'[6]Func Study'!$AB$1819</definedName>
    <definedName name="UAcct391So">'[6]Func Study'!$AB$1823</definedName>
    <definedName name="UACCT391SSGCH">'[6]Func Study'!$AB$1824</definedName>
    <definedName name="UAcct392Cn">'[6]Func Study'!$AB$1832</definedName>
    <definedName name="UAcct392L">'[6]Func Study'!$AB$1935</definedName>
    <definedName name="UAcct392Lrcl">'[6]Func Study'!$AB$1937</definedName>
    <definedName name="UAcct392S">'[6]Func Study'!$AB$1829</definedName>
    <definedName name="UAcct392Se">'[6]Func Study'!$AB$1834</definedName>
    <definedName name="UAcct392Sg">'[6]Func Study'!$AB$1831</definedName>
    <definedName name="UAcct392Sgp">'[6]Func Study'!$AB$1835</definedName>
    <definedName name="UAcct392Sgu">'[6]Func Study'!$AB$1833</definedName>
    <definedName name="UAcct392So">'[6]Func Study'!$AB$1830</definedName>
    <definedName name="UACCT392SSGCH">'[6]Func Study'!$AB$1836</definedName>
    <definedName name="UAcct393S">'[6]Func Study'!$AB$1841</definedName>
    <definedName name="UAcct393Sg">'[6]Func Study'!$AB$1845</definedName>
    <definedName name="UAcct393Sgp">'[6]Func Study'!$AB$1842</definedName>
    <definedName name="UAcct393Sgu">'[6]Func Study'!$AB$1843</definedName>
    <definedName name="UAcct393So">'[6]Func Study'!$AB$1844</definedName>
    <definedName name="UACCT393SSGCT">'[6]Func Study'!$AB$1846</definedName>
    <definedName name="UAcct394S">'[6]Func Study'!$AB$1850</definedName>
    <definedName name="UAcct394Se">'[6]Func Study'!$AB$1854</definedName>
    <definedName name="UAcct394Sg">'[6]Func Study'!$AB$1855</definedName>
    <definedName name="UAcct394Sgp">'[6]Func Study'!$AB$1851</definedName>
    <definedName name="UAcct394Sgu">'[6]Func Study'!$AB$1852</definedName>
    <definedName name="UAcct394So">'[6]Func Study'!$AB$1853</definedName>
    <definedName name="UACCT394SSGCH">'[6]Func Study'!$AB$1856</definedName>
    <definedName name="UAcct395S">'[6]Func Study'!$AB$1861</definedName>
    <definedName name="UAcct395Se">'[6]Func Study'!$AB$1865</definedName>
    <definedName name="UAcct395Sg">'[6]Func Study'!$AB$1866</definedName>
    <definedName name="UAcct395Sgp">'[6]Func Study'!$AB$1862</definedName>
    <definedName name="UAcct395Sgu">'[6]Func Study'!$AB$1863</definedName>
    <definedName name="UAcct395So">'[6]Func Study'!$AB$1864</definedName>
    <definedName name="UACCT395SSGCH">'[6]Func Study'!$AB$1867</definedName>
    <definedName name="UAcct396S">'[6]Func Study'!$AB$1872</definedName>
    <definedName name="UAcct396Se">'[6]Func Study'!$AB$1877</definedName>
    <definedName name="UAcct396Sg">'[6]Func Study'!$AB$1874</definedName>
    <definedName name="UAcct396Sgp">'[6]Func Study'!$AB$1873</definedName>
    <definedName name="UAcct396Sgu">'[6]Func Study'!$AB$1876</definedName>
    <definedName name="UAcct396So">'[6]Func Study'!$AB$1875</definedName>
    <definedName name="UACCT396SSGCH">'[6]Func Study'!$AB$1879</definedName>
    <definedName name="UACCT396SSGCT">'[6]Func Study'!$AB$1878</definedName>
    <definedName name="UAcct397Cn">'[6]Func Study'!$AB$1890</definedName>
    <definedName name="UAcct397JBG">'[6]Func Study'!$AB$1893</definedName>
    <definedName name="UAcct397S">'[6]Func Study'!$AB$1886</definedName>
    <definedName name="UAcct397Se">'[6]Func Study'!$AB$1892</definedName>
    <definedName name="UAcct397Sg">'[6]Func Study'!$AB$1891</definedName>
    <definedName name="UAcct397Sgp">'[6]Func Study'!$AB$1887</definedName>
    <definedName name="UAcct397Sgu">'[6]Func Study'!$AB$1888</definedName>
    <definedName name="UAcct397So">'[6]Func Study'!$AB$1889</definedName>
    <definedName name="UAcct398Cn">'[6]Func Study'!$AB$1902</definedName>
    <definedName name="UAcct398S">'[6]Func Study'!$AB$1899</definedName>
    <definedName name="UAcct398Se">'[6]Func Study'!$AB$1904</definedName>
    <definedName name="UAcct398Sg">'[6]Func Study'!$AB$1905</definedName>
    <definedName name="UAcct398Sgp">'[6]Func Study'!$AB$1900</definedName>
    <definedName name="UAcct398Sgu">'[6]Func Study'!$AB$1901</definedName>
    <definedName name="UAcct398So">'[6]Func Study'!$AB$1903</definedName>
    <definedName name="UACCT398SSGCT">'[6]Func Study'!$AB$1906</definedName>
    <definedName name="UAcct399">'[6]Func Study'!$AB$1913</definedName>
    <definedName name="UAcct399G">'[6]Func Study'!$AB$1955</definedName>
    <definedName name="UAcct399L">'[6]Func Study'!$AB$1917</definedName>
    <definedName name="UAcct399Lrcl">'[6]Func Study'!$AB$1919</definedName>
    <definedName name="UAcct403360">'[6]Func Study'!$AB$1090</definedName>
    <definedName name="UAcct403361">'[6]Func Study'!$AB$1091</definedName>
    <definedName name="UAcct403362">'[6]Func Study'!$AB$1092</definedName>
    <definedName name="UAcct403364">'[6]Func Study'!$AB$1094</definedName>
    <definedName name="UAcct403365">'[6]Func Study'!$AB$1095</definedName>
    <definedName name="UAcct403366">'[6]Func Study'!$AB$1096</definedName>
    <definedName name="UAcct403367">'[6]Func Study'!$AB$1097</definedName>
    <definedName name="UAcct403368">'[6]Func Study'!$AB$1098</definedName>
    <definedName name="UAcct403369">'[6]Func Study'!$AB$1099</definedName>
    <definedName name="UAcct403370">'[6]Func Study'!$AB$1100</definedName>
    <definedName name="UAcct403371">'[6]Func Study'!$AB$1101</definedName>
    <definedName name="UAcct403372">'[6]Func Study'!$AB$1102</definedName>
    <definedName name="UAcct403373">'[6]Func Study'!$AB$1103</definedName>
    <definedName name="UAcct403Ep">'[6]Func Study'!$AB$1130</definedName>
    <definedName name="UAcct403Gpcn">'[6]Func Study'!$AB$1111</definedName>
    <definedName name="UAcct403GPDGP">'[6]Func Study'!$AB$1108</definedName>
    <definedName name="UAcct403GPDGU">'[6]Func Study'!$AB$1109</definedName>
    <definedName name="UAcct403GPJBG">'[6]Func Study'!$AB$1115</definedName>
    <definedName name="UAcct403Gps">'[6]Func Study'!$AB$1107</definedName>
    <definedName name="UAcct403Gpsg">'[6]Func Study'!$AB$1112</definedName>
    <definedName name="UAcct403Gpso">'[6]Func Study'!$AB$1113</definedName>
    <definedName name="UAcct403Gv0">'[6]Func Study'!$AB$1121</definedName>
    <definedName name="UAcct403Hp">'[6]Func Study'!$AB$1072</definedName>
    <definedName name="UACCT403JBE">'[6]Func Study'!$AB$1116</definedName>
    <definedName name="UAcct403Mp">'[6]Func Study'!$AB$1125</definedName>
    <definedName name="UAcct403Np">'[6]Func Study'!$AB$1065</definedName>
    <definedName name="UAcct403Op">'[6]Func Study'!$AB$1080</definedName>
    <definedName name="UAcct403OPCAGE">'[6]Func Study'!$AB$1078</definedName>
    <definedName name="UAcct403Sp">'[6]Func Study'!$AB$1061</definedName>
    <definedName name="UAcct403SPJBG">'[6]Func Study'!$AB$1058</definedName>
    <definedName name="UAcct403Tp">'[6]Func Study'!$AB$1087</definedName>
    <definedName name="UAcct404330">'[6]Func Study'!$AB$1177</definedName>
    <definedName name="UACCT404GP">'[6]Func Study'!$AB$1146</definedName>
    <definedName name="UACCT404GPCN">'[6]Func Study'!$AB$1143</definedName>
    <definedName name="UACCT404GPSO">'[6]Func Study'!$AB$1141</definedName>
    <definedName name="UAcct404Ipcn">'[6]Func Study'!$AB$1158</definedName>
    <definedName name="UAcct404IPJBG">'[6]Func Study'!$AB$1163</definedName>
    <definedName name="UAcct404Ips">'[6]Func Study'!$AB$1154</definedName>
    <definedName name="UAcct404Ipse">'[6]Func Study'!$AB$1155</definedName>
    <definedName name="UAcct404Ipsg">'[6]Func Study'!$AB$1156</definedName>
    <definedName name="UAcct404Ipsg1">'[6]Func Study'!$AB$1159</definedName>
    <definedName name="UAcct404Ipsg2">'[6]Func Study'!$AB$1160</definedName>
    <definedName name="UAcct404Ipso">'[6]Func Study'!$AB$1157</definedName>
    <definedName name="UAcct404M">'[6]Func Study'!$AB$1168</definedName>
    <definedName name="UACCT404OP">'[6]Func Study'!$AB$1172</definedName>
    <definedName name="UACCT404SP">'[6]Func Study'!$AB$1151</definedName>
    <definedName name="UAcct405">'[6]Func Study'!$AB$1185</definedName>
    <definedName name="UAcct406">'[6]Func Study'!$AB$1193</definedName>
    <definedName name="UAcct407">'[6]Func Study'!$AB$1202</definedName>
    <definedName name="UAcct408">'[6]Func Study'!$AB$1221</definedName>
    <definedName name="UAcct408S">'[6]Func Study'!$AB$1213</definedName>
    <definedName name="UAcct41010">'[6]Func Study'!$AB$1294</definedName>
    <definedName name="UAcct41011">'[6]Func Study'!$AB$1309</definedName>
    <definedName name="UAcct41110">'[6]Func Study'!$AB$1325</definedName>
    <definedName name="UAcct41140">'[6]Func Study'!$AB$1232</definedName>
    <definedName name="UAcct41141">'[6]Func Study'!$AB$1237</definedName>
    <definedName name="UAcct41160">'[6]Func Study'!$AB$369</definedName>
    <definedName name="UAcct41170">'[6]Func Study'!$AB$374</definedName>
    <definedName name="UAcct4118">'[6]Func Study'!$AB$378</definedName>
    <definedName name="UAcct41181">'[6]Func Study'!$AB$381</definedName>
    <definedName name="UAcct4194">'[6]Func Study'!$AB$385</definedName>
    <definedName name="UAcct421">'[6]Func Study'!$AB$394</definedName>
    <definedName name="UAcct4311">'[6]Func Study'!$AB$401</definedName>
    <definedName name="UAcct442Se">'[6]Func Study'!$AB$259</definedName>
    <definedName name="UAcct442Sg">'[6]Func Study'!$AB$260</definedName>
    <definedName name="UAcct447">'[6]Func Study'!$AB$281</definedName>
    <definedName name="UACCT447NPC">'[6]Func Study'!$AB$289</definedName>
    <definedName name="UACCT447NPCCAEW">'[6]Func Study'!$AB$286</definedName>
    <definedName name="UACCT447NPCCAGW">'[6]Func Study'!$AB$287</definedName>
    <definedName name="UACCT447NPCDGP">'[6]Func Study'!$AB$288</definedName>
    <definedName name="UAcct447S">'[6]Func Study'!$AB$280</definedName>
    <definedName name="UAcct448S">'[6]Func Study'!$AB$274</definedName>
    <definedName name="UAcct448So">'[6]Func Study'!$AB$275</definedName>
    <definedName name="UAcct449">'[6]Func Study'!$AB$294</definedName>
    <definedName name="UAcct450">'[6]Func Study'!$AB$304</definedName>
    <definedName name="UAcct450S">'[6]Func Study'!$AB$302</definedName>
    <definedName name="UAcct450So">'[6]Func Study'!$AB$303</definedName>
    <definedName name="UAcct451S">'[6]Func Study'!$AB$307</definedName>
    <definedName name="UAcct451Sg">'[6]Func Study'!$AB$308</definedName>
    <definedName name="UAcct451So">'[6]Func Study'!$AB$309</definedName>
    <definedName name="UAcct453">'[6]Func Study'!$AB$315</definedName>
    <definedName name="UAcct454">'[6]Func Study'!$AB$322</definedName>
    <definedName name="UAcct454JBG">'[6]Func Study'!$AB$319</definedName>
    <definedName name="UAcct454S">'[6]Func Study'!$AB$318</definedName>
    <definedName name="UAcct454Sg">'[6]Func Study'!$AB$320</definedName>
    <definedName name="UAcct454So">'[6]Func Study'!$AB$321</definedName>
    <definedName name="UAcct456">'[6]Func Study'!$AB$332</definedName>
    <definedName name="UAcct456CAEW">'[6]Func Study'!$AB$331</definedName>
    <definedName name="UAcct456S">'[6]Func Study'!$AB$325</definedName>
    <definedName name="UAcct456So">'[6]Func Study'!$AB$329</definedName>
    <definedName name="UAcct500">'[6]Func Study'!$AB$416</definedName>
    <definedName name="UAcct500JBG">'[6]Func Study'!$AB$414</definedName>
    <definedName name="UAcct501">'[6]Func Study'!$AB$423</definedName>
    <definedName name="UAcct501CAEW">'[6]Func Study'!$AB$420</definedName>
    <definedName name="UAcct501JBE">'[6]Func Study'!$AB$421</definedName>
    <definedName name="UACCT501NPCCAEW">'[6]Func Study'!$AB$426</definedName>
    <definedName name="UAcct502">'[6]Func Study'!$AB$433</definedName>
    <definedName name="UAcct502CAGE">'[6]Func Study'!$AB$431</definedName>
    <definedName name="UAcct503">'[6]Func Study'!$AB$437</definedName>
    <definedName name="UACCT503NPC">'[6]Func Study'!$AB$443</definedName>
    <definedName name="UAcct505">'[6]Func Study'!$AB$449</definedName>
    <definedName name="UAcct505CAGE">'[6]Func Study'!$AB$447</definedName>
    <definedName name="UAcct506">'[6]Func Study'!$AB$455</definedName>
    <definedName name="UAcct506CAGE">'[6]Func Study'!$AB$452</definedName>
    <definedName name="UAcct507">'[6]Func Study'!$AB$464</definedName>
    <definedName name="UAcct507CAGE">'[6]Func Study'!$AB$462</definedName>
    <definedName name="UAcct510">'[6]Func Study'!$AB$469</definedName>
    <definedName name="UAcct510CAGE">'[6]Func Study'!$AB$467</definedName>
    <definedName name="UAcct511">'[6]Func Study'!$AB$474</definedName>
    <definedName name="UAcct511CAGE">'[6]Func Study'!$AB$472</definedName>
    <definedName name="UAcct512">'[6]Func Study'!$AB$479</definedName>
    <definedName name="UAcct512CAGE">'[6]Func Study'!$AB$477</definedName>
    <definedName name="UAcct513">'[6]Func Study'!$AB$484</definedName>
    <definedName name="UAcct513CAGE">'[6]Func Study'!$AB$482</definedName>
    <definedName name="UAcct514">'[6]Func Study'!$AB$489</definedName>
    <definedName name="UAcct514CAGE">'[6]Func Study'!$AB$487</definedName>
    <definedName name="UAcct517">'[6]Func Study'!$AB$498</definedName>
    <definedName name="UAcct518">'[6]Func Study'!$AB$502</definedName>
    <definedName name="UAcct519">'[6]Func Study'!$AB$507</definedName>
    <definedName name="UAcct520">'[6]Func Study'!$AB$511</definedName>
    <definedName name="UAcct523">'[6]Func Study'!$AB$515</definedName>
    <definedName name="UAcct524">'[6]Func Study'!$AB$519</definedName>
    <definedName name="UAcct528">'[6]Func Study'!$AB$523</definedName>
    <definedName name="UAcct529">'[6]Func Study'!$AB$527</definedName>
    <definedName name="UAcct530">'[6]Func Study'!$AB$531</definedName>
    <definedName name="UAcct531">'[6]Func Study'!$AB$535</definedName>
    <definedName name="UAcct532">'[6]Func Study'!$AB$539</definedName>
    <definedName name="UAcct535">'[6]Func Study'!$AB$551</definedName>
    <definedName name="UAcct536">'[6]Func Study'!$AB$555</definedName>
    <definedName name="UAcct537">'[6]Func Study'!$AB$559</definedName>
    <definedName name="UAcct538">'[6]Func Study'!$AB$563</definedName>
    <definedName name="UAcct539">'[6]Func Study'!$AB$568</definedName>
    <definedName name="UAcct540">'[6]Func Study'!$AB$572</definedName>
    <definedName name="UAcct541">'[6]Func Study'!$AB$576</definedName>
    <definedName name="UAcct542">'[6]Func Study'!$AB$580</definedName>
    <definedName name="UAcct543">'[6]Func Study'!$AB$584</definedName>
    <definedName name="UAcct544">'[6]Func Study'!$AB$588</definedName>
    <definedName name="UAcct545">'[6]Func Study'!$AB$592</definedName>
    <definedName name="UAcct546">'[6]Func Study'!$AB$606</definedName>
    <definedName name="UAcct546CAGE">'[6]Func Study'!$AB$605</definedName>
    <definedName name="UAcct547CAEW">'[6]Func Study'!$AB$610</definedName>
    <definedName name="UACCT547NPCCAEW">'[6]Func Study'!$AB$613</definedName>
    <definedName name="UAcct547Se">'[6]Func Study'!$AB$609</definedName>
    <definedName name="UAcct548">'[6]Func Study'!$AB$621</definedName>
    <definedName name="UACCT548CAGE">'[6]Func Study'!$AB$620</definedName>
    <definedName name="UAcct549">'[6]Func Study'!$AB$626</definedName>
    <definedName name="Uacct549CAGE">'[6]Func Study'!$AB$625</definedName>
    <definedName name="UAcct551CAGE">'[6]Func Study'!$AB$634</definedName>
    <definedName name="UACCT551SG">'[6]Func Study'!$AB$635</definedName>
    <definedName name="UACCT552CAGE">'[6]Func Study'!$AB$640</definedName>
    <definedName name="UAcct552SG">'[6]Func Study'!$AB$639</definedName>
    <definedName name="UACCT553CAGE">'[6]Func Study'!$AB$646</definedName>
    <definedName name="UAcct553SG">'[6]Func Study'!$AB$645</definedName>
    <definedName name="UACCT554CAGE">'[6]Func Study'!$AB$651</definedName>
    <definedName name="UAcct554SG">'[6]Func Study'!$AB$650</definedName>
    <definedName name="UAcct555CAEW">'[6]Func Study'!$AB$665</definedName>
    <definedName name="UAcct555CAGW">'[6]Func Study'!$AB$664</definedName>
    <definedName name="UACCT555DGP">'[6]Func Study'!$AB$670</definedName>
    <definedName name="UACCT555NPCCAEW">'[6]Func Study'!$AB$669</definedName>
    <definedName name="UACCT555NPCCAGW">'[6]Func Study'!$AB$668</definedName>
    <definedName name="UAcct555S">'[6]Func Study'!$AB$663</definedName>
    <definedName name="UAcct555Se">'[6]Func Study'!$AB$665</definedName>
    <definedName name="UACCT555SG">'[6]Func Study'!$AB$664</definedName>
    <definedName name="UAcct556">'[6]Func Study'!$AB$676</definedName>
    <definedName name="UAcct557">'[6]Func Study'!$AB$685</definedName>
    <definedName name="UAcct560">'[6]Func Study'!$AB$715</definedName>
    <definedName name="UAcct561">'[6]Func Study'!$AB$720</definedName>
    <definedName name="UAcct562">'[6]Func Study'!$AB$726</definedName>
    <definedName name="UAcct563">'[6]Func Study'!$AB$731</definedName>
    <definedName name="UAcct564">'[6]Func Study'!$AB$735</definedName>
    <definedName name="UAcct565">'[6]Func Study'!$AB$739</definedName>
    <definedName name="UACCT565NPC">'[6]Func Study'!$AB$744</definedName>
    <definedName name="UACCT565NPCCAGW">'[6]Func Study'!$AB$742</definedName>
    <definedName name="UAcct566">'[6]Func Study'!$AB$748</definedName>
    <definedName name="UAcct567">'[6]Func Study'!$AB$752</definedName>
    <definedName name="UAcct568">'[6]Func Study'!$AB$756</definedName>
    <definedName name="UAcct569">'[6]Func Study'!$AB$760</definedName>
    <definedName name="UAcct570">'[6]Func Study'!$AB$765</definedName>
    <definedName name="UAcct571">'[6]Func Study'!$AB$770</definedName>
    <definedName name="UAcct572">'[6]Func Study'!$AB$774</definedName>
    <definedName name="UAcct573">'[6]Func Study'!$AB$778</definedName>
    <definedName name="UAcct580">'[6]Func Study'!$AB$791</definedName>
    <definedName name="UAcct581">'[6]Func Study'!$AB$796</definedName>
    <definedName name="UAcct582">'[6]Func Study'!$AB$801</definedName>
    <definedName name="UAcct583">'[6]Func Study'!$AB$806</definedName>
    <definedName name="UAcct584">'[6]Func Study'!$AB$811</definedName>
    <definedName name="UAcct585">'[6]Func Study'!$AB$816</definedName>
    <definedName name="UAcct586">'[6]Func Study'!$AB$821</definedName>
    <definedName name="UAcct587">'[6]Func Study'!$AB$826</definedName>
    <definedName name="UAcct588">'[6]Func Study'!$AB$831</definedName>
    <definedName name="UAcct589">'[6]Func Study'!$AB$836</definedName>
    <definedName name="UAcct590">'[6]Func Study'!$AB$841</definedName>
    <definedName name="UAcct591">'[6]Func Study'!$AB$846</definedName>
    <definedName name="UAcct592">'[6]Func Study'!$AB$851</definedName>
    <definedName name="UAcct593">'[6]Func Study'!$AB$856</definedName>
    <definedName name="UAcct594">'[6]Func Study'!$AB$861</definedName>
    <definedName name="UAcct595">'[6]Func Study'!$AB$866</definedName>
    <definedName name="UAcct596">'[6]Func Study'!$AB$876</definedName>
    <definedName name="UAcct597">'[6]Func Study'!$AB$881</definedName>
    <definedName name="UAcct598">'[6]Func Study'!$AB$886</definedName>
    <definedName name="UAcct901">'[6]Func Study'!$AB$898</definedName>
    <definedName name="UAcct902">'[6]Func Study'!$AB$903</definedName>
    <definedName name="UAcct903">'[6]Func Study'!$AB$908</definedName>
    <definedName name="UAcct904">'[6]Func Study'!$AB$914</definedName>
    <definedName name="UAcct905">'[6]Func Study'!$AB$919</definedName>
    <definedName name="UAcct907">'[6]Func Study'!$AB$933</definedName>
    <definedName name="UAcct908">'[6]Func Study'!$AB$938</definedName>
    <definedName name="UAcct909">'[6]Func Study'!$AB$943</definedName>
    <definedName name="UAcct910">'[6]Func Study'!$AB$948</definedName>
    <definedName name="UAcct911">'[6]Func Study'!$AB$959</definedName>
    <definedName name="UAcct912">'[6]Func Study'!$AB$964</definedName>
    <definedName name="UAcct913">'[6]Func Study'!$AB$969</definedName>
    <definedName name="UAcct916">'[6]Func Study'!$AB$974</definedName>
    <definedName name="UAcct920">'[6]Func Study'!$AB$985</definedName>
    <definedName name="UAcct920Cn">'[6]Func Study'!$AB$983</definedName>
    <definedName name="UAcct921">'[6]Func Study'!$AB$991</definedName>
    <definedName name="UAcct921Cn">'[6]Func Study'!$AB$989</definedName>
    <definedName name="UAcct923">'[6]Func Study'!$AB$997</definedName>
    <definedName name="UAcct923CAGW">'[6]Func Study'!$AB$995</definedName>
    <definedName name="UAcct924">'[6]Func Study'!$AB$1001</definedName>
    <definedName name="UAcct925">'[6]Func Study'!$AB$1005</definedName>
    <definedName name="UAcct926">'[6]Func Study'!$AB$1011</definedName>
    <definedName name="UAcct927">'[6]Func Study'!$AB$1016</definedName>
    <definedName name="UAcct928">'[6]Func Study'!$AB$1023</definedName>
    <definedName name="UAcct929">'[6]Func Study'!$AB$1028</definedName>
    <definedName name="UAcct930">'[6]Func Study'!$AB$1034</definedName>
    <definedName name="UAcct931">'[6]Func Study'!$AB$1039</definedName>
    <definedName name="UAcct935">'[6]Func Study'!$AB$1045</definedName>
    <definedName name="UAcctAGA">'[6]Func Study'!$AB$296</definedName>
    <definedName name="UAcctcwc">'[6]Func Study'!$AB$2136</definedName>
    <definedName name="UAcctd00">'[6]Func Study'!$AB$1786</definedName>
    <definedName name="UAcctds0">'[6]Func Study'!$AB$1790</definedName>
    <definedName name="UACCTECDDGP">'[6]Func Study'!$AB$687</definedName>
    <definedName name="UACCTECDMC">'[6]Func Study'!$AB$689</definedName>
    <definedName name="UACCTECDS">'[6]Func Study'!$AB$691</definedName>
    <definedName name="UACCTECDSG1">'[6]Func Study'!$AB$688</definedName>
    <definedName name="UACCTECDSG2">'[6]Func Study'!$AB$690</definedName>
    <definedName name="UACCTECDSG3">'[6]Func Study'!$AB$692</definedName>
    <definedName name="UAcctfit">'[6]Func Study'!$AB$1395</definedName>
    <definedName name="UAcctg00">'[6]Func Study'!$AB$1947</definedName>
    <definedName name="UAccth00">'[6]Func Study'!$AB$1545</definedName>
    <definedName name="UAccti00">'[6]Func Study'!$AB$1993</definedName>
    <definedName name="UAcctn00">'[6]Func Study'!$AB$1496</definedName>
    <definedName name="UAccto00">'[6]Func Study'!$AB$1606</definedName>
    <definedName name="UAcctowc">'[6]Func Study'!$AB$2149</definedName>
    <definedName name="UACCTOWCSSECH">'[6]Func Study'!$AB$2148</definedName>
    <definedName name="UAccts00">'[6]Func Study'!$AB$1455</definedName>
    <definedName name="UAcctsttax">'[6]Func Study'!$AB$1377</definedName>
    <definedName name="UAcctt00">'[6]Func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[10]Variables!$D$25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[10]Variables!$D$29</definedName>
    <definedName name="ValidAccount">[7]Variables!$AK$43:$AK$369</definedName>
    <definedName name="Values_Entered">IF(Loan_Amount*Interest_Rate*Loan_Years*Loan_Start&gt;0,1,0)</definedName>
    <definedName name="VOMEsc">[8]Assumptions!$C$21</definedName>
    <definedName name="WACC">[8]Assumptions!$I$61</definedName>
    <definedName name="WaRevenueTax">[10]Variables!$D$27</definedName>
    <definedName name="Winter">'[48]Input Tab'!$B$11</definedName>
    <definedName name="WinterPeak">'[49]Load Data'!$D$9:$H$12,'[49]Load Data'!$D$20:$H$22</definedName>
    <definedName name="x">'[50]Weather Present'!$K$7</definedName>
    <definedName name="y">'[51]DSM Output'!$B$21:$B$23</definedName>
    <definedName name="Years_evaluated">'[52]Revison Inputs'!$B$6</definedName>
    <definedName name="YEFactors">[7]Factors!$S$3:$AG$99</definedName>
    <definedName name="YTD_Format">[41]YTD!$B$13:$D$13,[41]YTD!$B$36:$D$36</definedName>
    <definedName name="z">'[51]DSM Output'!$G$21:$G$23</definedName>
  </definedNames>
  <calcPr calcId="162913" iterate="1" calcOnSave="0"/>
</workbook>
</file>

<file path=xl/calcChain.xml><?xml version="1.0" encoding="utf-8"?>
<calcChain xmlns="http://schemas.openxmlformats.org/spreadsheetml/2006/main">
  <c r="G15" i="215" l="1"/>
  <c r="F15" i="215"/>
  <c r="M16" i="120"/>
  <c r="L16" i="120"/>
  <c r="I16" i="120"/>
  <c r="M12" i="120"/>
  <c r="L12" i="120"/>
  <c r="I12" i="120"/>
  <c r="G14" i="189"/>
  <c r="G16" i="120"/>
  <c r="G12" i="120"/>
  <c r="E15" i="215"/>
  <c r="D15" i="215"/>
  <c r="F14" i="189"/>
  <c r="E14" i="189"/>
  <c r="K16" i="120"/>
  <c r="H16" i="120"/>
  <c r="E16" i="120"/>
  <c r="K12" i="120"/>
  <c r="H12" i="120"/>
  <c r="E12" i="120"/>
  <c r="D14" i="189"/>
  <c r="D16" i="120"/>
  <c r="D12" i="120"/>
  <c r="C13" i="303"/>
  <c r="C12" i="303"/>
  <c r="P6" i="303"/>
  <c r="O6" i="303"/>
  <c r="N6" i="303"/>
  <c r="M6" i="303"/>
  <c r="L6" i="303"/>
  <c r="K6" i="303"/>
  <c r="J6" i="303"/>
  <c r="I6" i="303"/>
  <c r="H6" i="303"/>
  <c r="G6" i="303"/>
  <c r="F6" i="303"/>
  <c r="E6" i="303"/>
  <c r="C6" i="303"/>
  <c r="B6" i="303"/>
  <c r="A6" i="303"/>
  <c r="A4" i="303"/>
  <c r="A3" i="303"/>
  <c r="A2" i="303"/>
  <c r="A1" i="303"/>
  <c r="K81" i="304" l="1"/>
  <c r="K77" i="304"/>
  <c r="K73" i="304"/>
  <c r="K69" i="304"/>
  <c r="K61" i="304"/>
  <c r="D53" i="304"/>
  <c r="D52" i="304"/>
  <c r="D51" i="304"/>
  <c r="C39" i="304"/>
  <c r="C37" i="304"/>
  <c r="G37" i="304" s="1"/>
  <c r="L35" i="304"/>
  <c r="K34" i="304"/>
  <c r="C34" i="304"/>
  <c r="K46" i="304" s="1"/>
  <c r="C33" i="304"/>
  <c r="F33" i="304" s="1"/>
  <c r="C32" i="304"/>
  <c r="F32" i="304" s="1"/>
  <c r="C31" i="304"/>
  <c r="C30" i="304"/>
  <c r="K80" i="304" s="1"/>
  <c r="K29" i="304"/>
  <c r="C29" i="304"/>
  <c r="C28" i="304"/>
  <c r="C27" i="304"/>
  <c r="D27" i="304" s="1"/>
  <c r="C26" i="304"/>
  <c r="C25" i="304"/>
  <c r="L24" i="304"/>
  <c r="C24" i="304"/>
  <c r="K42" i="304" s="1"/>
  <c r="K23" i="304"/>
  <c r="K28" i="304" s="1"/>
  <c r="C23" i="304"/>
  <c r="K22" i="304"/>
  <c r="K27" i="304" s="1"/>
  <c r="C22" i="304"/>
  <c r="K21" i="304"/>
  <c r="K26" i="304" s="1"/>
  <c r="C21" i="304"/>
  <c r="K20" i="304"/>
  <c r="K25" i="304" s="1"/>
  <c r="C20" i="304"/>
  <c r="K19" i="304"/>
  <c r="C19" i="304"/>
  <c r="K18" i="304"/>
  <c r="C18" i="304"/>
  <c r="K58" i="304" s="1"/>
  <c r="K17" i="304"/>
  <c r="K16" i="304"/>
  <c r="C15" i="304"/>
  <c r="K67" i="304" s="1"/>
  <c r="L13" i="304"/>
  <c r="L30" i="304" s="1"/>
  <c r="C10" i="304"/>
  <c r="A9" i="304"/>
  <c r="A10" i="304" s="1"/>
  <c r="A11" i="304" s="1"/>
  <c r="A12" i="304" s="1"/>
  <c r="C8" i="304"/>
  <c r="C7" i="304"/>
  <c r="C6" i="304"/>
  <c r="C14" i="304" s="1"/>
  <c r="D29" i="304" l="1"/>
  <c r="K45" i="304"/>
  <c r="D19" i="304"/>
  <c r="D21" i="304"/>
  <c r="D23" i="304"/>
  <c r="D25" i="304"/>
  <c r="D28" i="304"/>
  <c r="D33" i="304"/>
  <c r="F28" i="304"/>
  <c r="D20" i="304"/>
  <c r="D22" i="304"/>
  <c r="D26" i="304"/>
  <c r="D31" i="304"/>
  <c r="K33" i="304"/>
  <c r="K35" i="304" s="1"/>
  <c r="M35" i="304" s="1"/>
  <c r="C17" i="304"/>
  <c r="F17" i="304" s="1"/>
  <c r="K44" i="304"/>
  <c r="K72" i="304"/>
  <c r="K74" i="304" s="1"/>
  <c r="G27" i="304"/>
  <c r="K82" i="304"/>
  <c r="D32" i="304"/>
  <c r="K24" i="304"/>
  <c r="K30" i="304" s="1"/>
  <c r="G26" i="304"/>
  <c r="G30" i="304"/>
  <c r="D54" i="304"/>
  <c r="C35" i="304" s="1"/>
  <c r="K66" i="304"/>
  <c r="K76" i="304"/>
  <c r="K78" i="304" s="1"/>
  <c r="C16" i="304"/>
  <c r="K52" i="304" s="1"/>
  <c r="G25" i="304"/>
  <c r="F29" i="304"/>
  <c r="F34" i="304"/>
  <c r="D17" i="304"/>
  <c r="F14" i="304"/>
  <c r="D14" i="304"/>
  <c r="C9" i="304"/>
  <c r="D15" i="304"/>
  <c r="G18" i="304"/>
  <c r="G19" i="304"/>
  <c r="F20" i="304"/>
  <c r="F21" i="304"/>
  <c r="F22" i="304"/>
  <c r="G23" i="304"/>
  <c r="F24" i="304"/>
  <c r="G31" i="304"/>
  <c r="F37" i="304"/>
  <c r="K39" i="304"/>
  <c r="K43" i="304"/>
  <c r="K47" i="304"/>
  <c r="K59" i="304"/>
  <c r="K60" i="304" s="1"/>
  <c r="K62" i="304" s="1"/>
  <c r="K64" i="304"/>
  <c r="K13" i="304"/>
  <c r="M13" i="304" s="1"/>
  <c r="G15" i="304"/>
  <c r="D30" i="304"/>
  <c r="D34" i="304"/>
  <c r="K40" i="304"/>
  <c r="K65" i="304"/>
  <c r="K41" i="304"/>
  <c r="D18" i="304"/>
  <c r="D24" i="304"/>
  <c r="M24" i="304" l="1"/>
  <c r="D55" i="304"/>
  <c r="F16" i="304"/>
  <c r="K68" i="304"/>
  <c r="K70" i="304" s="1"/>
  <c r="C36" i="304"/>
  <c r="C38" i="304" s="1"/>
  <c r="D16" i="304"/>
  <c r="M30" i="304"/>
  <c r="G36" i="304"/>
  <c r="G38" i="304" s="1"/>
  <c r="C20" i="303" s="1"/>
  <c r="C46" i="304"/>
  <c r="D46" i="304" s="1"/>
  <c r="K38" i="304"/>
  <c r="K48" i="304" s="1"/>
  <c r="K50" i="304" s="1"/>
  <c r="K54" i="304" s="1"/>
  <c r="K55" i="304" s="1"/>
  <c r="F35" i="304"/>
  <c r="F36" i="304" s="1"/>
  <c r="F38" i="304" s="1"/>
  <c r="C19" i="303" s="1"/>
  <c r="D35" i="304"/>
  <c r="C45" i="304" l="1"/>
  <c r="D45" i="304" s="1"/>
  <c r="D47" i="304" s="1"/>
  <c r="D36" i="304"/>
  <c r="C44" i="304" s="1"/>
  <c r="D44" i="304" s="1"/>
  <c r="H36" i="304"/>
  <c r="H38" i="304"/>
  <c r="C47" i="304" l="1"/>
  <c r="O31" i="302"/>
  <c r="P31" i="302" s="1"/>
  <c r="O30" i="302"/>
  <c r="P30" i="302" s="1"/>
  <c r="O29" i="302"/>
  <c r="P29" i="302" s="1"/>
  <c r="O28" i="302"/>
  <c r="P28" i="302" s="1"/>
  <c r="O27" i="302"/>
  <c r="P27" i="302" s="1"/>
  <c r="D33" i="302"/>
  <c r="E33" i="302"/>
  <c r="F33" i="302"/>
  <c r="G33" i="302"/>
  <c r="H33" i="302"/>
  <c r="I33" i="302"/>
  <c r="J33" i="302"/>
  <c r="K33" i="302"/>
  <c r="L33" i="302"/>
  <c r="M33" i="302"/>
  <c r="N33" i="302"/>
  <c r="O32" i="302" l="1"/>
  <c r="P32" i="302" s="1"/>
  <c r="P33" i="302" s="1"/>
  <c r="C33" i="302"/>
  <c r="O33" i="302" l="1"/>
  <c r="G14" i="5"/>
  <c r="D47" i="54" l="1"/>
  <c r="Q22" i="54" l="1"/>
  <c r="M23" i="54" s="1"/>
  <c r="O23" i="54" l="1"/>
  <c r="H23" i="54"/>
  <c r="G23" i="54"/>
  <c r="L23" i="54"/>
  <c r="N23" i="54"/>
  <c r="E23" i="54"/>
  <c r="J23" i="54"/>
  <c r="I23" i="54"/>
  <c r="K23" i="54"/>
  <c r="F23" i="54"/>
  <c r="P23" i="54"/>
  <c r="Q23" i="54" l="1"/>
  <c r="C21" i="303" l="1"/>
  <c r="A2" i="54"/>
  <c r="A3" i="54"/>
  <c r="A1" i="54"/>
  <c r="A2" i="215"/>
  <c r="A3" i="215"/>
  <c r="A1" i="215"/>
  <c r="A2" i="189"/>
  <c r="A3" i="189"/>
  <c r="A1" i="189"/>
  <c r="A2" i="5"/>
  <c r="A3" i="5"/>
  <c r="A1" i="5"/>
  <c r="A10" i="303" l="1"/>
  <c r="A11" i="303" s="1"/>
  <c r="A12" i="303" s="1"/>
  <c r="A13" i="303" s="1"/>
  <c r="A14" i="303" s="1"/>
  <c r="A15" i="303" s="1"/>
  <c r="A16" i="303" s="1"/>
  <c r="A17" i="303" s="1"/>
  <c r="A18" i="303" s="1"/>
  <c r="A19" i="303" s="1"/>
  <c r="A20" i="303" s="1"/>
  <c r="A21" i="303" s="1"/>
  <c r="A22" i="303" s="1"/>
  <c r="A23" i="303" s="1"/>
  <c r="A24" i="303" s="1"/>
  <c r="A25" i="303" s="1"/>
  <c r="A26" i="303" s="1"/>
  <c r="A27" i="303" s="1"/>
  <c r="A28" i="303" s="1"/>
  <c r="A29" i="303" s="1"/>
  <c r="A30" i="303" s="1"/>
  <c r="D30" i="54" l="1"/>
  <c r="D26" i="54"/>
  <c r="D18" i="54"/>
  <c r="D14" i="54"/>
  <c r="D22" i="54" s="1"/>
  <c r="D39" i="54"/>
  <c r="O23" i="302" l="1"/>
  <c r="O7" i="302"/>
  <c r="O8" i="302"/>
  <c r="O9" i="302"/>
  <c r="O10" i="302"/>
  <c r="O11" i="302"/>
  <c r="O12" i="302"/>
  <c r="O13" i="302"/>
  <c r="O14" i="302"/>
  <c r="O15" i="302"/>
  <c r="O16" i="302"/>
  <c r="O17" i="302"/>
  <c r="O18" i="302"/>
  <c r="O19" i="302"/>
  <c r="O20" i="302"/>
  <c r="O21" i="302"/>
  <c r="O22" i="302"/>
  <c r="O6" i="302"/>
  <c r="L24" i="302"/>
  <c r="M24" i="302"/>
  <c r="N24" i="302"/>
  <c r="P23" i="302" l="1"/>
  <c r="P22" i="302"/>
  <c r="P21" i="302"/>
  <c r="P20" i="302"/>
  <c r="P19" i="302"/>
  <c r="P18" i="302"/>
  <c r="P17" i="302"/>
  <c r="P16" i="302"/>
  <c r="P15" i="302"/>
  <c r="P14" i="302"/>
  <c r="I14" i="5" s="1"/>
  <c r="P13" i="302"/>
  <c r="P12" i="302"/>
  <c r="H14" i="5" s="1"/>
  <c r="P11" i="302"/>
  <c r="P10" i="302"/>
  <c r="E14" i="5" s="1"/>
  <c r="P9" i="302"/>
  <c r="P8" i="302"/>
  <c r="D14" i="5" s="1"/>
  <c r="P7" i="302"/>
  <c r="K24" i="302"/>
  <c r="J24" i="302"/>
  <c r="I24" i="302"/>
  <c r="H24" i="302"/>
  <c r="G24" i="302"/>
  <c r="F24" i="302"/>
  <c r="E24" i="302"/>
  <c r="D24" i="302"/>
  <c r="C24" i="302"/>
  <c r="D5" i="302"/>
  <c r="E5" i="302" s="1"/>
  <c r="F5" i="302" s="1"/>
  <c r="G5" i="302" s="1"/>
  <c r="H5" i="302" s="1"/>
  <c r="I5" i="302" s="1"/>
  <c r="J5" i="302" s="1"/>
  <c r="K5" i="302" s="1"/>
  <c r="L5" i="302" s="1"/>
  <c r="M5" i="302" s="1"/>
  <c r="N5" i="302" s="1"/>
  <c r="F14" i="5" l="1"/>
  <c r="P6" i="302"/>
  <c r="P24" i="302" s="1"/>
  <c r="O24" i="302"/>
  <c r="C17" i="215" l="1"/>
  <c r="A13" i="189" l="1"/>
  <c r="A14" i="189" s="1"/>
  <c r="A15" i="189" s="1"/>
  <c r="A16" i="189" s="1"/>
  <c r="C16" i="189" l="1"/>
  <c r="C30" i="54" l="1"/>
  <c r="B42" i="54"/>
  <c r="D55" i="54"/>
  <c r="B54" i="54"/>
  <c r="D51" i="54"/>
  <c r="B50" i="54"/>
  <c r="D43" i="54"/>
  <c r="C18" i="54"/>
  <c r="C14" i="54"/>
  <c r="C22" i="54" s="1"/>
  <c r="Q26" i="54" l="1"/>
  <c r="N27" i="54" s="1"/>
  <c r="Q30" i="54"/>
  <c r="P31" i="54" s="1"/>
  <c r="K27" i="54" l="1"/>
  <c r="O27" i="54"/>
  <c r="E27" i="54"/>
  <c r="E31" i="54"/>
  <c r="G31" i="54"/>
  <c r="H31" i="54"/>
  <c r="I27" i="54"/>
  <c r="F27" i="54"/>
  <c r="K31" i="54"/>
  <c r="F31" i="54"/>
  <c r="M27" i="54"/>
  <c r="M31" i="54"/>
  <c r="J31" i="54"/>
  <c r="O31" i="54"/>
  <c r="L31" i="54"/>
  <c r="N31" i="54"/>
  <c r="I31" i="54"/>
  <c r="G27" i="54"/>
  <c r="P27" i="54"/>
  <c r="L27" i="54"/>
  <c r="H27" i="54"/>
  <c r="J27" i="54"/>
  <c r="Q31" i="54" l="1"/>
  <c r="Q27" i="54"/>
  <c r="B38" i="54" l="1"/>
  <c r="B34" i="54"/>
  <c r="A12" i="120" l="1"/>
  <c r="A13" i="120" l="1"/>
  <c r="A14" i="120" s="1"/>
  <c r="A15" i="120" l="1"/>
  <c r="A16" i="120" s="1"/>
  <c r="A17" i="120" s="1"/>
  <c r="A18" i="120" s="1"/>
  <c r="C14" i="120"/>
  <c r="C18" i="120" l="1"/>
  <c r="A10" i="54" l="1"/>
  <c r="A11" i="54" s="1"/>
  <c r="A12" i="54" l="1"/>
  <c r="A13" i="54" s="1"/>
  <c r="A14" i="54" s="1"/>
  <c r="A15" i="54" s="1"/>
  <c r="A16" i="54" l="1"/>
  <c r="A17" i="54" s="1"/>
  <c r="A18" i="54" s="1"/>
  <c r="A19" i="54" s="1"/>
  <c r="A20" i="54" s="1"/>
  <c r="A21" i="54" s="1"/>
  <c r="A22" i="54" s="1"/>
  <c r="A23" i="54" l="1"/>
  <c r="A13" i="5"/>
  <c r="A24" i="54" l="1"/>
  <c r="A25" i="54" s="1"/>
  <c r="A26" i="54" s="1"/>
  <c r="A27" i="54" s="1"/>
  <c r="A28" i="54" s="1"/>
  <c r="A29" i="54" s="1"/>
  <c r="A30" i="54" s="1"/>
  <c r="A31" i="54" s="1"/>
  <c r="A32" i="54" l="1"/>
  <c r="A33" i="54" s="1"/>
  <c r="A34" i="54" s="1"/>
  <c r="A35" i="54" s="1"/>
  <c r="A36" i="54" l="1"/>
  <c r="A37" i="54" s="1"/>
  <c r="A38" i="54" s="1"/>
  <c r="A39" i="54" s="1"/>
  <c r="D36" i="54"/>
  <c r="A40" i="54" l="1"/>
  <c r="A41" i="54" s="1"/>
  <c r="A42" i="54" s="1"/>
  <c r="A43" i="54" s="1"/>
  <c r="D40" i="54"/>
  <c r="A44" i="54" l="1"/>
  <c r="A45" i="54" s="1"/>
  <c r="D44" i="54"/>
  <c r="A46" i="54" l="1"/>
  <c r="A47" i="54" s="1"/>
  <c r="A48" i="54" l="1"/>
  <c r="A49" i="54" s="1"/>
  <c r="A50" i="54" s="1"/>
  <c r="A51" i="54" s="1"/>
  <c r="A52" i="54" s="1"/>
  <c r="A53" i="54" s="1"/>
  <c r="A54" i="54" s="1"/>
  <c r="A55" i="54" s="1"/>
  <c r="D48" i="54"/>
  <c r="D52" i="54"/>
  <c r="A56" i="54"/>
  <c r="D56" i="54"/>
  <c r="A14" i="5"/>
  <c r="C16" i="5" l="1"/>
  <c r="A15" i="5"/>
  <c r="A16" i="5" s="1"/>
  <c r="F16" i="120" l="1"/>
  <c r="Q18" i="54" l="1"/>
  <c r="Q10" i="54"/>
  <c r="Q14" i="54"/>
  <c r="J11" i="54" l="1"/>
  <c r="L19" i="54"/>
  <c r="N19" i="54"/>
  <c r="L11" i="54"/>
  <c r="P11" i="54"/>
  <c r="H11" i="54"/>
  <c r="K11" i="54"/>
  <c r="N11" i="54"/>
  <c r="G11" i="54"/>
  <c r="I19" i="54"/>
  <c r="L15" i="54"/>
  <c r="H15" i="54"/>
  <c r="N15" i="54"/>
  <c r="J15" i="54"/>
  <c r="M15" i="54"/>
  <c r="O15" i="54"/>
  <c r="K15" i="54"/>
  <c r="P15" i="54"/>
  <c r="E15" i="54"/>
  <c r="I15" i="54"/>
  <c r="F15" i="54"/>
  <c r="J19" i="54"/>
  <c r="O11" i="54"/>
  <c r="F19" i="54"/>
  <c r="F11" i="54"/>
  <c r="H19" i="54"/>
  <c r="E11" i="54"/>
  <c r="M19" i="54"/>
  <c r="P19" i="54"/>
  <c r="G15" i="54"/>
  <c r="G19" i="54"/>
  <c r="K19" i="54"/>
  <c r="E19" i="54"/>
  <c r="O19" i="54"/>
  <c r="I11" i="54"/>
  <c r="M11" i="54"/>
  <c r="Q15" i="54" l="1"/>
  <c r="Q11" i="54"/>
  <c r="Q19" i="54"/>
  <c r="F12" i="120" l="1"/>
  <c r="N10" i="303" l="1"/>
  <c r="P10" i="303"/>
  <c r="H10" i="303"/>
  <c r="M9" i="303"/>
  <c r="M10" i="303"/>
  <c r="K9" i="303"/>
  <c r="I9" i="303"/>
  <c r="F9" i="303"/>
  <c r="O9" i="303"/>
  <c r="F10" i="303"/>
  <c r="J9" i="303"/>
  <c r="E9" i="303"/>
  <c r="E10" i="303"/>
  <c r="G9" i="303"/>
  <c r="N9" i="303"/>
  <c r="P9" i="303"/>
  <c r="L10" i="303"/>
  <c r="G10" i="303"/>
  <c r="I10" i="303"/>
  <c r="K10" i="303"/>
  <c r="H9" i="303"/>
  <c r="O10" i="303"/>
  <c r="L9" i="303"/>
  <c r="J10" i="303"/>
  <c r="L11" i="303" l="1"/>
  <c r="L24" i="303" s="1"/>
  <c r="P11" i="303"/>
  <c r="P24" i="303" s="1"/>
  <c r="J11" i="303"/>
  <c r="I11" i="303"/>
  <c r="I24" i="303" s="1"/>
  <c r="M11" i="303"/>
  <c r="H11" i="303"/>
  <c r="G11" i="303"/>
  <c r="G23" i="303" s="1"/>
  <c r="E11" i="303"/>
  <c r="E24" i="303" s="1"/>
  <c r="O11" i="303"/>
  <c r="O23" i="303" s="1"/>
  <c r="F11" i="303"/>
  <c r="N11" i="303"/>
  <c r="N24" i="303" s="1"/>
  <c r="K11" i="303"/>
  <c r="K24" i="303" s="1"/>
  <c r="E23" i="303"/>
  <c r="F24" i="303"/>
  <c r="F23" i="303"/>
  <c r="M24" i="303"/>
  <c r="M23" i="303"/>
  <c r="H24" i="303"/>
  <c r="H23" i="303"/>
  <c r="L23" i="303"/>
  <c r="J24" i="303"/>
  <c r="J23" i="303"/>
  <c r="C9" i="303"/>
  <c r="J28" i="303" s="1"/>
  <c r="C10" i="303"/>
  <c r="E29" i="303" s="1"/>
  <c r="K28" i="303" l="1"/>
  <c r="N23" i="303"/>
  <c r="O28" i="303"/>
  <c r="I23" i="303"/>
  <c r="C23" i="303" s="1"/>
  <c r="F28" i="303"/>
  <c r="K23" i="303"/>
  <c r="O24" i="303"/>
  <c r="O25" i="303" s="1"/>
  <c r="G24" i="303"/>
  <c r="G25" i="303" s="1"/>
  <c r="K13" i="120" s="1"/>
  <c r="P23" i="303"/>
  <c r="P25" i="303" s="1"/>
  <c r="M25" i="303"/>
  <c r="C11" i="303"/>
  <c r="N25" i="303"/>
  <c r="E28" i="303"/>
  <c r="N28" i="303"/>
  <c r="H28" i="303"/>
  <c r="H30" i="303" s="1"/>
  <c r="G28" i="303"/>
  <c r="F25" i="303"/>
  <c r="E13" i="120" s="1"/>
  <c r="E14" i="120" s="1"/>
  <c r="E18" i="120" s="1"/>
  <c r="I25" i="303"/>
  <c r="I13" i="120" s="1"/>
  <c r="I14" i="120" s="1"/>
  <c r="I18" i="120" s="1"/>
  <c r="F13" i="215" s="1"/>
  <c r="F17" i="215" s="1"/>
  <c r="J25" i="303"/>
  <c r="L13" i="120" s="1"/>
  <c r="L14" i="120" s="1"/>
  <c r="L18" i="120" s="1"/>
  <c r="L25" i="303"/>
  <c r="G13" i="120" s="1"/>
  <c r="G14" i="120" s="1"/>
  <c r="G18" i="120" s="1"/>
  <c r="H25" i="303"/>
  <c r="H13" i="120" s="1"/>
  <c r="H14" i="120" s="1"/>
  <c r="H18" i="120" s="1"/>
  <c r="K25" i="303"/>
  <c r="M13" i="120" s="1"/>
  <c r="M14" i="120" s="1"/>
  <c r="M18" i="120" s="1"/>
  <c r="N29" i="303"/>
  <c r="L29" i="303"/>
  <c r="P29" i="303"/>
  <c r="G29" i="303"/>
  <c r="G30" i="303" s="1"/>
  <c r="E30" i="303"/>
  <c r="J29" i="303"/>
  <c r="J30" i="303" s="1"/>
  <c r="H29" i="303"/>
  <c r="I29" i="303"/>
  <c r="H12" i="5"/>
  <c r="H16" i="5" s="1"/>
  <c r="Q51" i="54" s="1"/>
  <c r="E13" i="215"/>
  <c r="E17" i="215" s="1"/>
  <c r="D13" i="215"/>
  <c r="D17" i="215" s="1"/>
  <c r="M29" i="303"/>
  <c r="O29" i="303"/>
  <c r="O30" i="303" s="1"/>
  <c r="I28" i="303"/>
  <c r="L28" i="303"/>
  <c r="F29" i="303"/>
  <c r="M28" i="303"/>
  <c r="P28" i="303"/>
  <c r="P30" i="303" s="1"/>
  <c r="E25" i="303"/>
  <c r="F30" i="303"/>
  <c r="K29" i="303"/>
  <c r="K30" i="303" s="1"/>
  <c r="N30" i="303"/>
  <c r="I12" i="5"/>
  <c r="I16" i="5" s="1"/>
  <c r="Q55" i="54" s="1"/>
  <c r="G12" i="5"/>
  <c r="G16" i="5" s="1"/>
  <c r="Q47" i="54" s="1"/>
  <c r="G12" i="189"/>
  <c r="G16" i="189" s="1"/>
  <c r="E12" i="5"/>
  <c r="E16" i="5" s="1"/>
  <c r="Q39" i="54" s="1"/>
  <c r="E12" i="189"/>
  <c r="E16" i="189" s="1"/>
  <c r="G13" i="215" l="1"/>
  <c r="G17" i="215" s="1"/>
  <c r="I30" i="303"/>
  <c r="C24" i="303"/>
  <c r="M30" i="303"/>
  <c r="C29" i="303"/>
  <c r="P48" i="54"/>
  <c r="E48" i="54"/>
  <c r="I48" i="54"/>
  <c r="O48" i="54"/>
  <c r="G48" i="54"/>
  <c r="H48" i="54"/>
  <c r="N48" i="54"/>
  <c r="M48" i="54"/>
  <c r="K48" i="54"/>
  <c r="L48" i="54"/>
  <c r="F48" i="54"/>
  <c r="J48" i="54"/>
  <c r="D13" i="120"/>
  <c r="D14" i="120" s="1"/>
  <c r="D18" i="120" s="1"/>
  <c r="C25" i="303"/>
  <c r="L30" i="303"/>
  <c r="C30" i="303" s="1"/>
  <c r="E40" i="54"/>
  <c r="H40" i="54"/>
  <c r="J40" i="54"/>
  <c r="F40" i="54"/>
  <c r="I40" i="54"/>
  <c r="N40" i="54"/>
  <c r="M40" i="54"/>
  <c r="O40" i="54"/>
  <c r="L40" i="54"/>
  <c r="K40" i="54"/>
  <c r="P40" i="54"/>
  <c r="G40" i="54"/>
  <c r="M56" i="54"/>
  <c r="L56" i="54"/>
  <c r="J56" i="54"/>
  <c r="G56" i="54"/>
  <c r="P56" i="54"/>
  <c r="O56" i="54"/>
  <c r="H56" i="54"/>
  <c r="I56" i="54"/>
  <c r="K56" i="54"/>
  <c r="N56" i="54"/>
  <c r="F56" i="54"/>
  <c r="E56" i="54"/>
  <c r="F13" i="120"/>
  <c r="F14" i="120" s="1"/>
  <c r="F18" i="120" s="1"/>
  <c r="K14" i="120"/>
  <c r="K18" i="120" s="1"/>
  <c r="E52" i="54"/>
  <c r="G52" i="54"/>
  <c r="N52" i="54"/>
  <c r="O52" i="54"/>
  <c r="K52" i="54"/>
  <c r="P52" i="54"/>
  <c r="M52" i="54"/>
  <c r="F52" i="54"/>
  <c r="H52" i="54"/>
  <c r="J52" i="54"/>
  <c r="L52" i="54"/>
  <c r="I52" i="54"/>
  <c r="C28" i="303"/>
  <c r="F12" i="189" l="1"/>
  <c r="F16" i="189" s="1"/>
  <c r="F12" i="5"/>
  <c r="F16" i="5" s="1"/>
  <c r="Q43" i="54" s="1"/>
  <c r="Q40" i="54"/>
  <c r="Q52" i="54"/>
  <c r="Q56" i="54"/>
  <c r="Q48" i="54"/>
  <c r="D12" i="5"/>
  <c r="D16" i="5" s="1"/>
  <c r="Q35" i="54" s="1"/>
  <c r="D12" i="189"/>
  <c r="D16" i="189" s="1"/>
  <c r="P44" i="54" l="1"/>
  <c r="F44" i="54"/>
  <c r="E44" i="54"/>
  <c r="H44" i="54"/>
  <c r="L44" i="54"/>
  <c r="M44" i="54"/>
  <c r="K44" i="54"/>
  <c r="O44" i="54"/>
  <c r="N44" i="54"/>
  <c r="J44" i="54"/>
  <c r="G44" i="54"/>
  <c r="I44" i="54"/>
  <c r="N36" i="54"/>
  <c r="G36" i="54"/>
  <c r="L36" i="54"/>
  <c r="I36" i="54"/>
  <c r="E36" i="54"/>
  <c r="P36" i="54"/>
  <c r="F36" i="54"/>
  <c r="M36" i="54"/>
  <c r="K36" i="54"/>
  <c r="H36" i="54"/>
  <c r="J36" i="54"/>
  <c r="O36" i="54"/>
  <c r="Q44" i="54" l="1"/>
  <c r="Q36" i="54"/>
  <c r="O17" i="303" l="1"/>
  <c r="N17" i="303"/>
  <c r="J17" i="303"/>
  <c r="P17" i="303"/>
  <c r="K17" i="303"/>
  <c r="M17" i="303"/>
  <c r="H17" i="303"/>
  <c r="F17" i="303"/>
  <c r="I17" i="303"/>
  <c r="L17" i="303"/>
  <c r="G17" i="303"/>
  <c r="E17" i="303"/>
  <c r="C17" i="303" l="1"/>
  <c r="H15" i="303" l="1"/>
  <c r="P15" i="303"/>
  <c r="J15" i="303"/>
  <c r="L15" i="303"/>
  <c r="G15" i="303"/>
  <c r="F15" i="303"/>
  <c r="E15" i="303"/>
  <c r="K15" i="303"/>
  <c r="I15" i="303"/>
  <c r="O15" i="303"/>
  <c r="N15" i="303"/>
  <c r="M15" i="303" l="1"/>
  <c r="C15" i="303" s="1"/>
</calcChain>
</file>

<file path=xl/sharedStrings.xml><?xml version="1.0" encoding="utf-8"?>
<sst xmlns="http://schemas.openxmlformats.org/spreadsheetml/2006/main" count="405" uniqueCount="250">
  <si>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</si>
  <si>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</si>
  <si>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</si>
  <si>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</si>
  <si>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</si>
  <si>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</si>
  <si>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</si>
  <si>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</si>
  <si>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</si>
  <si>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</si>
  <si>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</si>
  <si>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</si>
  <si>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</si>
  <si>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</si>
  <si>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Source</t>
  </si>
  <si>
    <t>Line No.</t>
  </si>
  <si>
    <t>Puget Sound Energy</t>
  </si>
  <si>
    <t>Test Year Customers</t>
  </si>
  <si>
    <t>Total</t>
  </si>
  <si>
    <t>(o)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</si>
  <si>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</si>
  <si>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</si>
  <si>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</si>
  <si>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</si>
  <si>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</si>
  <si>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</si>
  <si>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</si>
  <si>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</si>
  <si>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</si>
  <si>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</si>
  <si>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</si>
  <si>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</si>
  <si>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</si>
  <si>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Schedule</t>
  </si>
  <si>
    <t>Average</t>
  </si>
  <si>
    <t>Development of Monthly Allowed Delivery Revenue Per Customer</t>
  </si>
  <si>
    <t>% of Annual Total</t>
  </si>
  <si>
    <t>Sales</t>
  </si>
  <si>
    <t>Schedule 7</t>
  </si>
  <si>
    <t>Lights</t>
  </si>
  <si>
    <t>Other</t>
  </si>
  <si>
    <t>7A</t>
  </si>
  <si>
    <t>Schedules 8 &amp; 24</t>
  </si>
  <si>
    <t>Schedules 12 &amp; 26</t>
  </si>
  <si>
    <t>Schedules 10 &amp; 31</t>
  </si>
  <si>
    <t>8 &amp; 24</t>
  </si>
  <si>
    <t>12 &amp; 26</t>
  </si>
  <si>
    <t>10 &amp; 31</t>
  </si>
  <si>
    <t xml:space="preserve">   Basic Charge Revenue</t>
  </si>
  <si>
    <t xml:space="preserve">   Allocated Power Costs</t>
  </si>
  <si>
    <t>Delivery Revenue:</t>
  </si>
  <si>
    <t>Schedule 12 &amp; 26</t>
  </si>
  <si>
    <t>Test Year Demand Charges (KW)</t>
  </si>
  <si>
    <t>Schedule 10 &amp; 31</t>
  </si>
  <si>
    <t>Test Year Base Sales (kWh)</t>
  </si>
  <si>
    <t xml:space="preserve">Winter  </t>
  </si>
  <si>
    <t xml:space="preserve">Summer   </t>
  </si>
  <si>
    <t>Oct - Mar</t>
  </si>
  <si>
    <t>Apr-Sept</t>
  </si>
  <si>
    <t>Line</t>
  </si>
  <si>
    <t>No.</t>
  </si>
  <si>
    <t xml:space="preserve">Schedule  </t>
  </si>
  <si>
    <t>Schedules</t>
  </si>
  <si>
    <t>7A, 11, 25, 29, 35 &amp; 43</t>
  </si>
  <si>
    <t>7A, 11, 25 &amp; 29</t>
  </si>
  <si>
    <t>Schedules 7A, 11, 25, 29, 35 &amp; 43</t>
  </si>
  <si>
    <t>Development of Delivery Revenue Per Unit Rates ($/KW)</t>
  </si>
  <si>
    <t>Annual Allowed Delivery Revenue Per Customer</t>
  </si>
  <si>
    <t>Test Year Delivery Revenue</t>
  </si>
  <si>
    <t>Volumetric Delivery Revenue Per Unit ($/kWh)</t>
  </si>
  <si>
    <t>Volumetric Delivery Revenue Per Unit ($/KW)</t>
  </si>
  <si>
    <t>Allowed Delivery Revenue Per Customer</t>
  </si>
  <si>
    <t>Monthly Allowed Delivery Revenue Per Customer</t>
  </si>
  <si>
    <t>(e) = Σ (i thru k)</t>
  </si>
  <si>
    <t>% of (C(o):R(2))</t>
  </si>
  <si>
    <t>% of (C(o):R(6))</t>
  </si>
  <si>
    <t>% of (C(o):R(10))</t>
  </si>
  <si>
    <t>% of (C(o):R(14))</t>
  </si>
  <si>
    <t>% of (C(o):R(18))</t>
  </si>
  <si>
    <t>% of (C(o):R(22))</t>
  </si>
  <si>
    <t>Development of Decoupled Delivery Revenue by Decoupling Group</t>
  </si>
  <si>
    <t>Development of Allowed Delivery Revenue Per Customer</t>
  </si>
  <si>
    <t>Development of Delivery Revenue Per Unit Rates ($/kWh)</t>
  </si>
  <si>
    <t>Electric Customers by Rate Schedule</t>
  </si>
  <si>
    <t>Rate Class</t>
  </si>
  <si>
    <t>Total Revenue</t>
  </si>
  <si>
    <t>Electric Decoupling Mechanism (Schedule 142)</t>
  </si>
  <si>
    <t>Work Paper</t>
  </si>
  <si>
    <t>Net Revenue</t>
  </si>
  <si>
    <t>Net Delivery Revenue</t>
  </si>
  <si>
    <t>11 &amp; 25</t>
  </si>
  <si>
    <t xml:space="preserve">Weather-Normalized kWh Sales </t>
  </si>
  <si>
    <t xml:space="preserve">Demand Charge Revenue </t>
  </si>
  <si>
    <t>PC-3</t>
  </si>
  <si>
    <t>NRG</t>
  </si>
  <si>
    <t>DEM</t>
  </si>
  <si>
    <t>Allocate Fixed PCA Costs on PC-3</t>
  </si>
  <si>
    <t>Allocate Variable PCA Costs on PC-3</t>
  </si>
  <si>
    <t>Total PCA Costs Net of Other Revenue</t>
  </si>
  <si>
    <t>Peak Credit Allocation</t>
  </si>
  <si>
    <t>% Applicable to Energy</t>
  </si>
  <si>
    <t>% Applicable to Demand</t>
  </si>
  <si>
    <t>Total Allocation to Class</t>
  </si>
  <si>
    <t>kWh</t>
  </si>
  <si>
    <t>Demand</t>
  </si>
  <si>
    <t>Total Revenue Requirement</t>
  </si>
  <si>
    <t xml:space="preserve">Revenues Other Than Rate Sch. Rev. </t>
  </si>
  <si>
    <t>2019 General Rate Case (GRC)</t>
  </si>
  <si>
    <r>
      <t xml:space="preserve">Test Year Ended </t>
    </r>
    <r>
      <rPr>
        <b/>
        <sz val="8"/>
        <color rgb="FF0000FF"/>
        <rFont val="Arial"/>
        <family val="2"/>
      </rPr>
      <t>December 31, 2018</t>
    </r>
  </si>
  <si>
    <t>Fixed PCA Costs</t>
  </si>
  <si>
    <t>Variable PCA Costs</t>
  </si>
  <si>
    <t>Total PCA Costs</t>
  </si>
  <si>
    <t xml:space="preserve">Special </t>
  </si>
  <si>
    <t>Contracts</t>
  </si>
  <si>
    <t>Special Contracts</t>
  </si>
  <si>
    <t>40*</t>
  </si>
  <si>
    <t>*SCHEDULE 40 Reclass</t>
  </si>
  <si>
    <t xml:space="preserve">Total </t>
  </si>
  <si>
    <t>Note: Schedule 40 has been re-classed to the following customer classes: Schedule 8&amp;24, Schedule 7A, 11, 25, 29, 35, 43, Schedule 12&amp;26 , Schedule 10&amp;31 and Special contracts</t>
  </si>
  <si>
    <t>Exhibit A-1 Power Cost Baseline Rate</t>
  </si>
  <si>
    <t>2019 GRC</t>
  </si>
  <si>
    <t>Row</t>
  </si>
  <si>
    <t>EOP Test Year</t>
  </si>
  <si>
    <t>Regulatory Assets (1) (Variable)</t>
  </si>
  <si>
    <t>Transmission Rate Base (Fixed)</t>
  </si>
  <si>
    <t>Production Rate Base (Fixed)</t>
  </si>
  <si>
    <t>INTERNAL RECON:</t>
  </si>
  <si>
    <r>
      <t>Net of tax rate of return</t>
    </r>
    <r>
      <rPr>
        <sz val="11"/>
        <color rgb="FF0000CC"/>
        <rFont val="Arial"/>
        <family val="2"/>
      </rPr>
      <t xml:space="preserve"> </t>
    </r>
  </si>
  <si>
    <t>Fixed</t>
  </si>
  <si>
    <t>Variable</t>
  </si>
  <si>
    <t>Test Yr</t>
  </si>
  <si>
    <t>Prod Costs</t>
  </si>
  <si>
    <t>Reconciliation to Model</t>
  </si>
  <si>
    <t>$/MWh</t>
  </si>
  <si>
    <t>In Decoupling</t>
  </si>
  <si>
    <t>in PCA</t>
  </si>
  <si>
    <t>Main Items</t>
  </si>
  <si>
    <t>A-1</t>
  </si>
  <si>
    <t>In Model</t>
  </si>
  <si>
    <t>s/b zero</t>
  </si>
  <si>
    <t>9A</t>
  </si>
  <si>
    <t>(I)</t>
  </si>
  <si>
    <t>(II)</t>
  </si>
  <si>
    <t>(III)</t>
  </si>
  <si>
    <t>(IV)</t>
  </si>
  <si>
    <t>(V)</t>
  </si>
  <si>
    <t>PC Lines 10a, 13,14,15,16,17,20</t>
  </si>
  <si>
    <t>Regulatory Asset Recovery (on Row 3)</t>
  </si>
  <si>
    <t>F</t>
  </si>
  <si>
    <t>10a</t>
  </si>
  <si>
    <t>Equity Adder Centralia Coal Transition PPA</t>
  </si>
  <si>
    <t>V</t>
  </si>
  <si>
    <t>From Power Cost Bridge</t>
  </si>
  <si>
    <t>Pwr Cost Bridge</t>
  </si>
  <si>
    <t>Fixed Asset Recovery Other (on Row 4)</t>
  </si>
  <si>
    <t>Purchased Power</t>
  </si>
  <si>
    <t>Fixed Asset Recovery-Prod Factored (on Row 5)</t>
  </si>
  <si>
    <t>Fuel</t>
  </si>
  <si>
    <r>
      <t>501-Steam Fuel</t>
    </r>
    <r>
      <rPr>
        <sz val="8"/>
        <rFont val="Arial"/>
        <family val="2"/>
      </rPr>
      <t xml:space="preserve"> </t>
    </r>
    <r>
      <rPr>
        <sz val="8"/>
        <color rgb="FFFF0000"/>
        <rFont val="Arial"/>
        <family val="2"/>
      </rPr>
      <t>Incl Reg Amort</t>
    </r>
  </si>
  <si>
    <t>Wheeling</t>
  </si>
  <si>
    <r>
      <t>555-Purchased power</t>
    </r>
    <r>
      <rPr>
        <sz val="8"/>
        <rFont val="Arial"/>
        <family val="2"/>
      </rPr>
      <t xml:space="preserve"> </t>
    </r>
    <r>
      <rPr>
        <sz val="8"/>
        <color rgb="FFFF0000"/>
        <rFont val="Arial"/>
        <family val="2"/>
      </rPr>
      <t>Incl Reg Amort</t>
    </r>
  </si>
  <si>
    <t>Sales to Other Utilities</t>
  </si>
  <si>
    <t>557-Other Power Exp</t>
  </si>
  <si>
    <t>Sales of Non Core Gas</t>
  </si>
  <si>
    <t>15a</t>
  </si>
  <si>
    <t>Payroll Overheads - Benefits</t>
  </si>
  <si>
    <t>Production O&amp;M</t>
  </si>
  <si>
    <t>15b</t>
  </si>
  <si>
    <t>Property Insurance</t>
  </si>
  <si>
    <t>Transmission Exp - 500KV</t>
  </si>
  <si>
    <t>15c</t>
  </si>
  <si>
    <t>Montana Electric Energy Tax</t>
  </si>
  <si>
    <t>Variable Transmission Inc</t>
  </si>
  <si>
    <t>15d</t>
  </si>
  <si>
    <t>Payroll Taxes on Production Wages</t>
  </si>
  <si>
    <t xml:space="preserve">    Subtotal</t>
  </si>
  <si>
    <t>15e</t>
  </si>
  <si>
    <t>Brokerage Fees #55700003</t>
  </si>
  <si>
    <t>Less: Sales of Non Core Gas</t>
  </si>
  <si>
    <r>
      <t xml:space="preserve">547-Fuel </t>
    </r>
    <r>
      <rPr>
        <sz val="8"/>
        <color rgb="FFFF0000"/>
        <rFont val="Arial"/>
        <family val="2"/>
      </rPr>
      <t>Incl Reg Amort</t>
    </r>
  </si>
  <si>
    <t>Less: Production O&amp;M</t>
  </si>
  <si>
    <r>
      <t xml:space="preserve">565-Wheeling </t>
    </r>
    <r>
      <rPr>
        <sz val="8"/>
        <color rgb="FFFF0000"/>
        <rFont val="Arial"/>
        <family val="2"/>
      </rPr>
      <t>Incl Reg Amort</t>
    </r>
  </si>
  <si>
    <t>Less:  Transmission Exp - 500KV</t>
  </si>
  <si>
    <t>Variable Transmission Income</t>
  </si>
  <si>
    <t>Less:  Variable Transmission Trans Inc</t>
  </si>
  <si>
    <t>Add:  Wage and Incentive Adj</t>
  </si>
  <si>
    <t>447-Sales to Others</t>
  </si>
  <si>
    <t>456-Purch/Sales Non-Core Gas</t>
  </si>
  <si>
    <t>Power Cost O&amp;M</t>
  </si>
  <si>
    <t>Depreciation-Production (FERC 403)</t>
  </si>
  <si>
    <t>Wages Increase and Incentive</t>
  </si>
  <si>
    <t>Depreciation-Transmission</t>
  </si>
  <si>
    <t>Total O&amp;M</t>
  </si>
  <si>
    <r>
      <t xml:space="preserve">Amortization  - Reg Assets - </t>
    </r>
    <r>
      <rPr>
        <sz val="8"/>
        <color rgb="FFFF0000"/>
        <rFont val="Arial"/>
        <family val="2"/>
      </rPr>
      <t>Non PC Only</t>
    </r>
  </si>
  <si>
    <t>Subtotal &amp; Baseline Rate</t>
  </si>
  <si>
    <t>Revenue Sensitive Items</t>
  </si>
  <si>
    <t>Other Items in A-1</t>
  </si>
  <si>
    <t>Grossed up for RSI</t>
  </si>
  <si>
    <t>Reg Assets &amp; Liab</t>
  </si>
  <si>
    <t>Test Year DELIVERED Load (MWh's)</t>
  </si>
  <si>
    <t>Payroll Overheads</t>
  </si>
  <si>
    <t>Before Rev.</t>
  </si>
  <si>
    <t>After Rev.</t>
  </si>
  <si>
    <t>Sensitive Items</t>
  </si>
  <si>
    <t>Payroll Taxes on Prod Wages</t>
  </si>
  <si>
    <t>Rev Req (Column (II) )</t>
  </si>
  <si>
    <t>Power Cost Baseline Rate</t>
  </si>
  <si>
    <t xml:space="preserve">Fixed Production Costs </t>
  </si>
  <si>
    <t>Depreciation &amp; Amort Prod (FERC 403)</t>
  </si>
  <si>
    <t>Variable Production Costs</t>
  </si>
  <si>
    <t>Depreciation Transmission</t>
  </si>
  <si>
    <t>456-Purch/Sale of Non-core Gas</t>
  </si>
  <si>
    <t>Rate Year</t>
  </si>
  <si>
    <t>NON POWER COST RELATED REG ASSETS &amp; LIAB</t>
  </si>
  <si>
    <t xml:space="preserve">FERC </t>
  </si>
  <si>
    <t xml:space="preserve">Non PF'd </t>
  </si>
  <si>
    <t>Total Exhibits A-1 Expenses</t>
  </si>
  <si>
    <t>WHITE RIVER PLANT COSTS</t>
  </si>
  <si>
    <t>CARRYING CHARGES ON LSR PREPAID TRANSM</t>
  </si>
  <si>
    <t>Return on Rate Base</t>
  </si>
  <si>
    <t>MINT FARM DEFFRED - UE-090704 (ends Mar 2025)</t>
  </si>
  <si>
    <t>TOTAL NON-POWER COST RELATED</t>
  </si>
  <si>
    <t>Total A-1</t>
  </si>
  <si>
    <t>Check=&gt;</t>
  </si>
  <si>
    <t>s/b zero==&gt;</t>
  </si>
  <si>
    <t>Reconciliation Individual Line Items to I/S</t>
  </si>
  <si>
    <t>Line 13 - 501 Steam Fuel</t>
  </si>
  <si>
    <t>Line 16 - 547 Natural Gas Fuel</t>
  </si>
  <si>
    <t>Total Ex A-1 Fuel</t>
  </si>
  <si>
    <t>Income Statement Line 11 Fuel</t>
  </si>
  <si>
    <t>Line 14 - 555 Purchased Power</t>
  </si>
  <si>
    <t>Line 15 - 557 Other Power Exp</t>
  </si>
  <si>
    <t>Line 15e - Brokerage Fees 55700003</t>
  </si>
  <si>
    <t xml:space="preserve">Line 10a - Equity Adder Centralia Coal </t>
  </si>
  <si>
    <t>Ex A-1 Purchased and Interchanged</t>
  </si>
  <si>
    <t>Inc Stmt Line 12 Purch&amp;Interchgd</t>
  </si>
  <si>
    <t>Line 17 - 565 Wheeling</t>
  </si>
  <si>
    <t>Inc Stmt Line 13 Wheeling</t>
  </si>
  <si>
    <t>Line 19 Production O&amp;M</t>
  </si>
  <si>
    <t>Inc Stmt Line 17 Other Pwr Supply Exp</t>
  </si>
  <si>
    <t>Line 20 - 447 Sales to Others</t>
  </si>
  <si>
    <t>Inc Stmt Line 4 Sales to Other Util</t>
  </si>
  <si>
    <t>JAP-11 Page 1</t>
  </si>
  <si>
    <t>JAP-11 Page 2</t>
  </si>
  <si>
    <t>Exhibit JAP-6</t>
  </si>
  <si>
    <t>SCH_24EC</t>
  </si>
  <si>
    <t>SCH_25EC</t>
  </si>
  <si>
    <t>SCH_26EC</t>
  </si>
  <si>
    <t>SCH_31EC</t>
  </si>
  <si>
    <t>SCH_31EI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</si>
</sst>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\-yy;@"/>
    <numFmt numFmtId="167" formatCode="_(&quot;$&quot;* #,##0.000000_);_(&quot;$&quot;* \(#,##0.000000\);_(&quot;$&quot;* &quot;-&quot;??_);_(@_)"/>
    <numFmt numFmtId="168" formatCode="_(* #,##0.000000_);_(* \(#,##0.000000\);_(* &quot;-&quot;??_);_(@_)"/>
    <numFmt numFmtId="169" formatCode="_(&quot;$&quot;* #,##0.000_);_(&quot;$&quot;* \(#,##0.000\);_(&quot;$&quot;* &quot;-&quot;??_);_(@_)"/>
    <numFmt numFmtId="170" formatCode="0_);\(0\)"/>
    <numFmt numFmtId="171" formatCode="_(* #,##0.0000000_);_(* \(#,##0.0000000\);_(* &quot;-&quot;??_);_(@_)"/>
    <numFmt numFmtId="172" formatCode="_(* #,##0.000_);_(* \(#,##0.000\);_(* &quot;-&quot;??_);_(@_)"/>
    <numFmt numFmtId="173" formatCode="0.000"/>
    <numFmt numFmtId="174" formatCode="0.000000"/>
  </numFmts>
  <fonts count="4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rgb="FF0000FF"/>
      <name val="Arial"/>
      <family val="2"/>
    </font>
    <font>
      <sz val="8"/>
      <color theme="1"/>
      <name val="Arial"/>
      <family val="2"/>
    </font>
    <font>
      <b/>
      <i/>
      <u/>
      <sz val="8"/>
      <color theme="1"/>
      <name val="Arial"/>
      <family val="2"/>
    </font>
    <font>
      <sz val="8"/>
      <color rgb="FF008080"/>
      <name val="Arial"/>
      <family val="2"/>
    </font>
    <font>
      <sz val="8"/>
      <color rgb="FFFF0000"/>
      <name val="Arial"/>
      <family val="2"/>
    </font>
    <font>
      <sz val="8"/>
      <color theme="1"/>
      <name val="Calibri"/>
      <family val="2"/>
    </font>
    <font>
      <b/>
      <u/>
      <sz val="8"/>
      <color theme="1"/>
      <name val="Arial"/>
      <family val="2"/>
    </font>
    <font>
      <u/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8"/>
      <color rgb="FFFF0000"/>
      <name val="Calibri"/>
      <family val="2"/>
      <scheme val="minor"/>
    </font>
    <font>
      <sz val="8"/>
      <color rgb="FF0000FF"/>
      <name val="Arial"/>
      <family val="2"/>
    </font>
    <font>
      <sz val="8"/>
      <color rgb="FFFF0000"/>
      <name val="Calibri"/>
      <family val="2"/>
    </font>
    <font>
      <b/>
      <sz val="8"/>
      <color rgb="FF008080"/>
      <name val="Arial"/>
      <family val="2"/>
    </font>
    <font>
      <b/>
      <u/>
      <sz val="8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9"/>
      <color rgb="FF0000FF"/>
      <name val="Arial"/>
      <family val="2"/>
    </font>
    <font>
      <sz val="11"/>
      <color rgb="FF0000FF"/>
      <name val="Arial"/>
      <family val="2"/>
    </font>
    <font>
      <sz val="16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1"/>
      <color rgb="FF0000FF"/>
      <name val="Arial"/>
      <family val="2"/>
    </font>
    <font>
      <sz val="11"/>
      <color rgb="FF000000"/>
      <name val="Arial"/>
      <family val="2"/>
    </font>
    <font>
      <sz val="11"/>
      <color rgb="FF0000CC"/>
      <name val="Arial"/>
      <family val="2"/>
    </font>
    <font>
      <b/>
      <sz val="10"/>
      <name val="Arial"/>
      <family val="2"/>
    </font>
    <font>
      <b/>
      <sz val="11"/>
      <color rgb="FF000000"/>
      <name val="Arial"/>
      <family val="2"/>
    </font>
    <font>
      <b/>
      <sz val="11"/>
      <color rgb="FF0000FF"/>
      <name val="Arial"/>
      <family val="2"/>
    </font>
    <font>
      <b/>
      <sz val="10"/>
      <color rgb="FF0000CC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color rgb="FF0000FF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  <font>
      <u/>
      <sz val="9"/>
      <name val="Arial"/>
      <family val="2"/>
    </font>
    <font>
      <u/>
      <sz val="9"/>
      <color rgb="FFFF5050"/>
      <name val="Arial"/>
      <family val="2"/>
    </font>
    <font>
      <sz val="10"/>
      <color rgb="FFFF505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47">
    <xf numFmtId="0" fontId="0" fillId="0" borderId="0" xfId="0"/>
    <xf numFmtId="0" fontId="3" fillId="0" borderId="0" xfId="0" applyFont="1" applyFill="1" applyAlignment="1"/>
    <xf numFmtId="0" fontId="4" fillId="0" borderId="0" xfId="0" applyFont="1" applyFill="1"/>
    <xf numFmtId="0" fontId="4" fillId="0" borderId="0" xfId="0" applyFont="1"/>
    <xf numFmtId="0" fontId="3" fillId="0" borderId="0" xfId="0" applyFont="1" applyFill="1" applyAlignment="1">
      <alignment horizontal="center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wrapText="1"/>
    </xf>
    <xf numFmtId="41" fontId="3" fillId="0" borderId="3" xfId="0" applyNumberFormat="1" applyFont="1" applyFill="1" applyBorder="1" applyAlignment="1">
      <alignment horizontal="center" wrapText="1"/>
    </xf>
    <xf numFmtId="0" fontId="6" fillId="0" borderId="3" xfId="0" applyFont="1" applyFill="1" applyBorder="1"/>
    <xf numFmtId="41" fontId="3" fillId="0" borderId="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wrapText="1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6" fillId="0" borderId="0" xfId="0" quotePrefix="1" applyFont="1" applyFill="1" applyAlignment="1">
      <alignment horizontal="left"/>
    </xf>
    <xf numFmtId="165" fontId="8" fillId="0" borderId="0" xfId="0" applyNumberFormat="1" applyFont="1" applyFill="1"/>
    <xf numFmtId="165" fontId="6" fillId="0" borderId="0" xfId="0" applyNumberFormat="1" applyFont="1" applyFill="1"/>
    <xf numFmtId="165" fontId="6" fillId="0" borderId="0" xfId="0" applyNumberFormat="1" applyFont="1" applyFill="1" applyBorder="1"/>
    <xf numFmtId="165" fontId="8" fillId="0" borderId="3" xfId="0" applyNumberFormat="1" applyFont="1" applyFill="1" applyBorder="1"/>
    <xf numFmtId="165" fontId="6" fillId="0" borderId="3" xfId="0" applyNumberFormat="1" applyFont="1" applyFill="1" applyBorder="1"/>
    <xf numFmtId="0" fontId="6" fillId="0" borderId="0" xfId="0" quotePrefix="1" applyFont="1" applyFill="1" applyAlignment="1">
      <alignment horizontal="center"/>
    </xf>
    <xf numFmtId="0" fontId="9" fillId="0" borderId="0" xfId="0" quotePrefix="1" applyFont="1" applyFill="1" applyAlignment="1">
      <alignment horizontal="center"/>
    </xf>
    <xf numFmtId="165" fontId="6" fillId="0" borderId="2" xfId="0" applyNumberFormat="1" applyFont="1" applyFill="1" applyBorder="1"/>
    <xf numFmtId="167" fontId="4" fillId="0" borderId="0" xfId="0" applyNumberFormat="1" applyFont="1" applyFill="1"/>
    <xf numFmtId="3" fontId="6" fillId="0" borderId="0" xfId="0" applyNumberFormat="1" applyFont="1" applyFill="1"/>
    <xf numFmtId="0" fontId="3" fillId="0" borderId="0" xfId="0" applyFont="1" applyAlignment="1"/>
    <xf numFmtId="0" fontId="10" fillId="0" borderId="0" xfId="0" applyFont="1"/>
    <xf numFmtId="0" fontId="10" fillId="0" borderId="0" xfId="0" applyFont="1" applyFill="1"/>
    <xf numFmtId="0" fontId="6" fillId="0" borderId="3" xfId="0" applyFont="1" applyFill="1" applyBorder="1" applyAlignment="1"/>
    <xf numFmtId="0" fontId="10" fillId="0" borderId="0" xfId="0" applyFont="1" applyAlignment="1"/>
    <xf numFmtId="165" fontId="10" fillId="0" borderId="0" xfId="0" applyNumberFormat="1" applyFont="1"/>
    <xf numFmtId="164" fontId="8" fillId="0" borderId="0" xfId="0" applyNumberFormat="1" applyFont="1" applyFill="1" applyBorder="1"/>
    <xf numFmtId="164" fontId="6" fillId="0" borderId="0" xfId="0" applyNumberFormat="1" applyFont="1" applyFill="1" applyBorder="1"/>
    <xf numFmtId="44" fontId="6" fillId="0" borderId="1" xfId="0" applyNumberFormat="1" applyFont="1" applyFill="1" applyBorder="1"/>
    <xf numFmtId="167" fontId="6" fillId="0" borderId="1" xfId="0" applyNumberFormat="1" applyFont="1" applyFill="1" applyBorder="1"/>
    <xf numFmtId="44" fontId="10" fillId="0" borderId="0" xfId="0" applyNumberFormat="1" applyFont="1"/>
    <xf numFmtId="41" fontId="3" fillId="0" borderId="0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 wrapText="1"/>
    </xf>
    <xf numFmtId="0" fontId="3" fillId="0" borderId="5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 wrapText="1"/>
    </xf>
    <xf numFmtId="0" fontId="6" fillId="0" borderId="0" xfId="0" applyFont="1"/>
    <xf numFmtId="41" fontId="3" fillId="0" borderId="3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2" fillId="0" borderId="0" xfId="0" applyFont="1" applyFill="1"/>
    <xf numFmtId="3" fontId="2" fillId="0" borderId="0" xfId="0" applyNumberFormat="1" applyFont="1" applyFill="1"/>
    <xf numFmtId="0" fontId="2" fillId="0" borderId="0" xfId="0" quotePrefix="1" applyFont="1" applyFill="1" applyAlignment="1">
      <alignment horizontal="center"/>
    </xf>
    <xf numFmtId="10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10" fontId="6" fillId="0" borderId="0" xfId="0" applyNumberFormat="1" applyFont="1" applyFill="1"/>
    <xf numFmtId="165" fontId="2" fillId="0" borderId="0" xfId="0" applyNumberFormat="1" applyFont="1" applyFill="1"/>
    <xf numFmtId="44" fontId="8" fillId="0" borderId="0" xfId="0" applyNumberFormat="1" applyFont="1" applyFill="1" applyAlignment="1">
      <alignment horizontal="center"/>
    </xf>
    <xf numFmtId="44" fontId="6" fillId="0" borderId="0" xfId="0" applyNumberFormat="1" applyFont="1" applyFill="1"/>
    <xf numFmtId="44" fontId="6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/>
    <xf numFmtId="0" fontId="13" fillId="0" borderId="3" xfId="0" applyFont="1" applyBorder="1" applyAlignment="1">
      <alignment horizontal="center"/>
    </xf>
    <xf numFmtId="17" fontId="15" fillId="0" borderId="3" xfId="0" applyNumberFormat="1" applyFont="1" applyBorder="1" applyAlignment="1">
      <alignment horizontal="center"/>
    </xf>
    <xf numFmtId="0" fontId="13" fillId="0" borderId="0" xfId="0" applyFont="1"/>
    <xf numFmtId="0" fontId="14" fillId="0" borderId="0" xfId="0" applyFont="1" applyBorder="1" applyAlignment="1">
      <alignment horizontal="left"/>
    </xf>
    <xf numFmtId="3" fontId="14" fillId="0" borderId="0" xfId="0" applyNumberFormat="1" applyFont="1" applyFill="1" applyBorder="1"/>
    <xf numFmtId="0" fontId="2" fillId="0" borderId="0" xfId="0" applyFont="1" applyBorder="1" applyAlignment="1">
      <alignment horizontal="left"/>
    </xf>
    <xf numFmtId="0" fontId="14" fillId="0" borderId="0" xfId="0" applyFont="1" applyAlignment="1">
      <alignment horizontal="left"/>
    </xf>
    <xf numFmtId="3" fontId="14" fillId="0" borderId="3" xfId="0" applyNumberFormat="1" applyFont="1" applyFill="1" applyBorder="1"/>
    <xf numFmtId="3" fontId="14" fillId="0" borderId="0" xfId="0" applyNumberFormat="1" applyFont="1"/>
    <xf numFmtId="0" fontId="9" fillId="0" borderId="0" xfId="0" applyFont="1"/>
    <xf numFmtId="0" fontId="2" fillId="2" borderId="0" xfId="0" applyNumberFormat="1" applyFont="1" applyFill="1" applyAlignment="1"/>
    <xf numFmtId="0" fontId="3" fillId="2" borderId="0" xfId="0" applyNumberFormat="1" applyFont="1" applyFill="1" applyAlignment="1">
      <alignment wrapText="1"/>
    </xf>
    <xf numFmtId="0" fontId="3" fillId="2" borderId="0" xfId="0" applyNumberFormat="1" applyFont="1" applyFill="1" applyAlignment="1">
      <alignment horizontal="center" wrapText="1"/>
    </xf>
    <xf numFmtId="165" fontId="15" fillId="0" borderId="0" xfId="0" quotePrefix="1" applyNumberFormat="1" applyFont="1" applyFill="1" applyAlignment="1">
      <alignment horizontal="left"/>
    </xf>
    <xf numFmtId="0" fontId="3" fillId="2" borderId="0" xfId="0" applyNumberFormat="1" applyFont="1" applyFill="1" applyAlignment="1">
      <alignment horizontal="center"/>
    </xf>
    <xf numFmtId="0" fontId="3" fillId="2" borderId="0" xfId="0" applyNumberFormat="1" applyFont="1" applyFill="1" applyAlignment="1"/>
    <xf numFmtId="164" fontId="2" fillId="0" borderId="0" xfId="0" quotePrefix="1" applyNumberFormat="1" applyFont="1" applyFill="1" applyAlignment="1">
      <alignment horizontal="left"/>
    </xf>
    <xf numFmtId="164" fontId="2" fillId="0" borderId="0" xfId="0" applyNumberFormat="1" applyFont="1" applyFill="1" applyAlignment="1">
      <alignment horizontal="left" wrapText="1"/>
    </xf>
    <xf numFmtId="0" fontId="3" fillId="2" borderId="0" xfId="0" quotePrefix="1" applyNumberFormat="1" applyFont="1" applyFill="1" applyAlignment="1">
      <alignment horizontal="left"/>
    </xf>
    <xf numFmtId="168" fontId="6" fillId="0" borderId="0" xfId="0" quotePrefix="1" applyNumberFormat="1" applyFont="1" applyFill="1" applyAlignment="1">
      <alignment horizontal="left"/>
    </xf>
    <xf numFmtId="168" fontId="2" fillId="2" borderId="0" xfId="0" applyNumberFormat="1" applyFont="1" applyFill="1" applyAlignment="1"/>
    <xf numFmtId="0" fontId="3" fillId="2" borderId="0" xfId="0" quotePrefix="1" applyNumberFormat="1" applyFont="1" applyFill="1" applyAlignment="1">
      <alignment horizontal="left" indent="1"/>
    </xf>
    <xf numFmtId="165" fontId="6" fillId="0" borderId="0" xfId="0" quotePrefix="1" applyNumberFormat="1" applyFont="1" applyFill="1" applyAlignment="1">
      <alignment horizontal="left"/>
    </xf>
    <xf numFmtId="165" fontId="2" fillId="0" borderId="0" xfId="0" quotePrefix="1" applyNumberFormat="1" applyFont="1" applyFill="1" applyAlignment="1">
      <alignment horizontal="left"/>
    </xf>
    <xf numFmtId="0" fontId="2" fillId="0" borderId="0" xfId="0" applyNumberFormat="1" applyFont="1" applyFill="1" applyAlignment="1"/>
    <xf numFmtId="165" fontId="8" fillId="0" borderId="0" xfId="0" quotePrefix="1" applyNumberFormat="1" applyFont="1" applyFill="1" applyAlignment="1">
      <alignment horizontal="left"/>
    </xf>
    <xf numFmtId="0" fontId="3" fillId="0" borderId="0" xfId="0" quotePrefix="1" applyNumberFormat="1" applyFont="1" applyFill="1" applyAlignment="1">
      <alignment horizontal="left"/>
    </xf>
    <xf numFmtId="0" fontId="3" fillId="0" borderId="0" xfId="0" quotePrefix="1" applyNumberFormat="1" applyFont="1" applyFill="1" applyAlignment="1">
      <alignment horizontal="left" indent="1"/>
    </xf>
    <xf numFmtId="0" fontId="3" fillId="0" borderId="0" xfId="0" applyNumberFormat="1" applyFont="1" applyFill="1" applyAlignment="1"/>
    <xf numFmtId="168" fontId="2" fillId="0" borderId="0" xfId="0" applyNumberFormat="1" applyFont="1" applyFill="1" applyAlignment="1"/>
    <xf numFmtId="0" fontId="2" fillId="2" borderId="0" xfId="0" applyNumberFormat="1" applyFont="1" applyFill="1" applyAlignment="1">
      <alignment horizontal="center"/>
    </xf>
    <xf numFmtId="9" fontId="8" fillId="0" borderId="8" xfId="0" quotePrefix="1" applyNumberFormat="1" applyFont="1" applyBorder="1"/>
    <xf numFmtId="164" fontId="8" fillId="0" borderId="0" xfId="0" quotePrefix="1" applyNumberFormat="1" applyFont="1" applyFill="1" applyAlignment="1">
      <alignment horizontal="left"/>
    </xf>
    <xf numFmtId="168" fontId="8" fillId="0" borderId="0" xfId="0" quotePrefix="1" applyNumberFormat="1" applyFont="1" applyFill="1" applyAlignment="1">
      <alignment horizontal="left"/>
    </xf>
    <xf numFmtId="165" fontId="6" fillId="0" borderId="3" xfId="0" quotePrefix="1" applyNumberFormat="1" applyFont="1" applyFill="1" applyBorder="1" applyAlignment="1">
      <alignment horizontal="left"/>
    </xf>
    <xf numFmtId="165" fontId="8" fillId="0" borderId="3" xfId="0" quotePrefix="1" applyNumberFormat="1" applyFont="1" applyFill="1" applyBorder="1" applyAlignment="1">
      <alignment horizontal="left"/>
    </xf>
    <xf numFmtId="0" fontId="2" fillId="0" borderId="3" xfId="0" applyNumberFormat="1" applyFont="1" applyFill="1" applyBorder="1" applyAlignment="1"/>
    <xf numFmtId="168" fontId="2" fillId="0" borderId="3" xfId="0" applyNumberFormat="1" applyFont="1" applyFill="1" applyBorder="1" applyAlignment="1"/>
    <xf numFmtId="0" fontId="16" fillId="0" borderId="0" xfId="0" applyFont="1" applyFill="1" applyAlignment="1"/>
    <xf numFmtId="0" fontId="17" fillId="0" borderId="0" xfId="0" applyFont="1" applyFill="1"/>
    <xf numFmtId="0" fontId="16" fillId="0" borderId="0" xfId="0" applyFont="1" applyFill="1" applyAlignment="1">
      <alignment horizontal="center"/>
    </xf>
    <xf numFmtId="0" fontId="17" fillId="0" borderId="0" xfId="0" applyFont="1"/>
    <xf numFmtId="0" fontId="9" fillId="0" borderId="0" xfId="0" applyFont="1" applyFill="1" applyAlignment="1">
      <alignment horizontal="center"/>
    </xf>
    <xf numFmtId="165" fontId="17" fillId="0" borderId="0" xfId="0" applyNumberFormat="1" applyFont="1"/>
    <xf numFmtId="3" fontId="9" fillId="0" borderId="0" xfId="0" applyNumberFormat="1" applyFont="1"/>
    <xf numFmtId="0" fontId="19" fillId="0" borderId="0" xfId="0" applyFont="1" applyFill="1"/>
    <xf numFmtId="0" fontId="19" fillId="0" borderId="0" xfId="0" applyFont="1"/>
    <xf numFmtId="44" fontId="19" fillId="0" borderId="0" xfId="0" applyNumberFormat="1" applyFont="1"/>
    <xf numFmtId="165" fontId="19" fillId="0" borderId="0" xfId="0" applyNumberFormat="1" applyFont="1"/>
    <xf numFmtId="0" fontId="3" fillId="0" borderId="0" xfId="0" applyFont="1" applyFill="1" applyAlignment="1">
      <alignment horizontal="center"/>
    </xf>
    <xf numFmtId="0" fontId="8" fillId="2" borderId="0" xfId="0" applyNumberFormat="1" applyFont="1" applyFill="1" applyAlignment="1"/>
    <xf numFmtId="0" fontId="20" fillId="2" borderId="3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21" fillId="0" borderId="0" xfId="0" applyFont="1"/>
    <xf numFmtId="0" fontId="6" fillId="0" borderId="9" xfId="0" applyFont="1" applyBorder="1"/>
    <xf numFmtId="3" fontId="14" fillId="0" borderId="9" xfId="0" applyNumberFormat="1" applyFont="1" applyBorder="1"/>
    <xf numFmtId="164" fontId="19" fillId="0" borderId="0" xfId="0" applyNumberFormat="1" applyFont="1"/>
    <xf numFmtId="0" fontId="18" fillId="0" borderId="0" xfId="0" applyNumberFormat="1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3" fillId="0" borderId="0" xfId="0" applyFont="1" applyAlignment="1">
      <alignment horizontal="center"/>
    </xf>
    <xf numFmtId="0" fontId="27" fillId="0" borderId="0" xfId="0" applyFont="1" applyFill="1" applyAlignment="1">
      <alignment horizontal="center"/>
    </xf>
    <xf numFmtId="0" fontId="23" fillId="0" borderId="0" xfId="0" applyNumberFormat="1" applyFont="1" applyFill="1" applyAlignment="1">
      <alignment horizontal="center"/>
    </xf>
    <xf numFmtId="165" fontId="23" fillId="0" borderId="0" xfId="0" applyNumberFormat="1" applyFont="1" applyFill="1"/>
    <xf numFmtId="41" fontId="23" fillId="0" borderId="0" xfId="0" applyNumberFormat="1" applyFont="1" applyFill="1"/>
    <xf numFmtId="165" fontId="23" fillId="0" borderId="9" xfId="0" applyNumberFormat="1" applyFont="1" applyFill="1" applyBorder="1"/>
    <xf numFmtId="0" fontId="28" fillId="0" borderId="12" xfId="0" applyFont="1" applyBorder="1"/>
    <xf numFmtId="0" fontId="24" fillId="0" borderId="13" xfId="0" applyFont="1" applyBorder="1"/>
    <xf numFmtId="0" fontId="25" fillId="0" borderId="13" xfId="0" applyFont="1" applyBorder="1"/>
    <xf numFmtId="0" fontId="25" fillId="0" borderId="14" xfId="0" applyFont="1" applyBorder="1"/>
    <xf numFmtId="0" fontId="29" fillId="0" borderId="0" xfId="0" applyNumberFormat="1" applyFont="1" applyFill="1" applyBorder="1" applyAlignment="1">
      <alignment horizontal="left"/>
    </xf>
    <xf numFmtId="10" fontId="31" fillId="0" borderId="0" xfId="0" applyNumberFormat="1" applyFont="1" applyFill="1" applyBorder="1" applyAlignment="1"/>
    <xf numFmtId="43" fontId="29" fillId="0" borderId="0" xfId="0" applyNumberFormat="1" applyFont="1" applyFill="1" applyBorder="1" applyAlignment="1">
      <alignment horizontal="right"/>
    </xf>
    <xf numFmtId="0" fontId="32" fillId="0" borderId="0" xfId="0" applyNumberFormat="1" applyFont="1" applyFill="1" applyBorder="1" applyAlignment="1">
      <alignment horizontal="center"/>
    </xf>
    <xf numFmtId="0" fontId="33" fillId="0" borderId="15" xfId="0" applyFont="1" applyBorder="1"/>
    <xf numFmtId="0" fontId="24" fillId="0" borderId="0" xfId="0" applyFont="1" applyBorder="1"/>
    <xf numFmtId="0" fontId="25" fillId="0" borderId="0" xfId="0" applyFont="1" applyBorder="1"/>
    <xf numFmtId="0" fontId="25" fillId="0" borderId="16" xfId="0" applyFont="1" applyBorder="1"/>
    <xf numFmtId="10" fontId="34" fillId="0" borderId="0" xfId="0" applyNumberFormat="1" applyFont="1" applyFill="1" applyBorder="1" applyAlignment="1"/>
    <xf numFmtId="0" fontId="31" fillId="0" borderId="0" xfId="0" applyNumberFormat="1" applyFont="1" applyFill="1" applyBorder="1" applyAlignment="1">
      <alignment horizontal="center"/>
    </xf>
    <xf numFmtId="0" fontId="35" fillId="0" borderId="3" xfId="0" applyNumberFormat="1" applyFont="1" applyFill="1" applyBorder="1" applyAlignment="1">
      <alignment horizontal="center"/>
    </xf>
    <xf numFmtId="164" fontId="36" fillId="0" borderId="3" xfId="0" applyNumberFormat="1" applyFont="1" applyFill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164" fontId="31" fillId="0" borderId="0" xfId="0" applyNumberFormat="1" applyFont="1" applyFill="1" applyBorder="1" applyAlignment="1">
      <alignment horizontal="center"/>
    </xf>
    <xf numFmtId="0" fontId="25" fillId="0" borderId="15" xfId="0" applyFont="1" applyBorder="1"/>
    <xf numFmtId="164" fontId="25" fillId="0" borderId="1" xfId="0" applyNumberFormat="1" applyFont="1" applyBorder="1"/>
    <xf numFmtId="41" fontId="25" fillId="0" borderId="1" xfId="0" applyNumberFormat="1" applyFont="1" applyBorder="1"/>
    <xf numFmtId="165" fontId="24" fillId="3" borderId="17" xfId="0" applyNumberFormat="1" applyFont="1" applyFill="1" applyBorder="1"/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165" fontId="1" fillId="0" borderId="0" xfId="0" applyNumberFormat="1" applyFont="1" applyFill="1" applyBorder="1" applyAlignment="1"/>
    <xf numFmtId="169" fontId="1" fillId="0" borderId="0" xfId="0" applyNumberFormat="1" applyFont="1" applyFill="1" applyBorder="1" applyAlignment="1"/>
    <xf numFmtId="169" fontId="1" fillId="0" borderId="0" xfId="0" applyNumberFormat="1" applyFont="1" applyFill="1" applyBorder="1" applyAlignment="1">
      <alignment horizontal="center"/>
    </xf>
    <xf numFmtId="0" fontId="24" fillId="0" borderId="15" xfId="0" applyFont="1" applyBorder="1"/>
    <xf numFmtId="44" fontId="23" fillId="0" borderId="0" xfId="0" applyNumberFormat="1" applyFont="1"/>
    <xf numFmtId="164" fontId="1" fillId="0" borderId="0" xfId="0" applyNumberFormat="1" applyFont="1" applyFill="1" applyBorder="1" applyAlignment="1"/>
    <xf numFmtId="0" fontId="28" fillId="0" borderId="15" xfId="0" applyFont="1" applyBorder="1"/>
    <xf numFmtId="0" fontId="28" fillId="0" borderId="0" xfId="0" applyFont="1" applyBorder="1" applyAlignment="1">
      <alignment horizontal="center"/>
    </xf>
    <xf numFmtId="164" fontId="25" fillId="0" borderId="16" xfId="0" applyNumberFormat="1" applyFont="1" applyBorder="1"/>
    <xf numFmtId="41" fontId="23" fillId="0" borderId="0" xfId="0" applyNumberFormat="1" applyFont="1"/>
    <xf numFmtId="164" fontId="23" fillId="0" borderId="0" xfId="0" applyNumberFormat="1" applyFont="1"/>
    <xf numFmtId="43" fontId="23" fillId="0" borderId="0" xfId="0" applyNumberFormat="1" applyFont="1"/>
    <xf numFmtId="0" fontId="1" fillId="0" borderId="0" xfId="0" applyNumberFormat="1" applyFont="1" applyFill="1" applyBorder="1" applyAlignment="1"/>
    <xf numFmtId="170" fontId="37" fillId="0" borderId="15" xfId="0" applyNumberFormat="1" applyFont="1" applyBorder="1" applyAlignment="1">
      <alignment horizontal="left"/>
    </xf>
    <xf numFmtId="164" fontId="25" fillId="0" borderId="0" xfId="0" applyNumberFormat="1" applyFont="1" applyBorder="1"/>
    <xf numFmtId="0" fontId="1" fillId="0" borderId="0" xfId="0" applyNumberFormat="1" applyFont="1" applyFill="1" applyBorder="1" applyAlignment="1">
      <alignment horizontal="left" indent="1"/>
    </xf>
    <xf numFmtId="164" fontId="25" fillId="0" borderId="9" xfId="0" applyNumberFormat="1" applyFont="1" applyBorder="1"/>
    <xf numFmtId="5" fontId="25" fillId="0" borderId="1" xfId="0" applyNumberFormat="1" applyFont="1" applyBorder="1"/>
    <xf numFmtId="0" fontId="1" fillId="0" borderId="0" xfId="0" applyNumberFormat="1" applyFont="1" applyFill="1" applyBorder="1" applyAlignment="1">
      <alignment vertical="top"/>
    </xf>
    <xf numFmtId="0" fontId="1" fillId="0" borderId="0" xfId="0" quotePrefix="1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 vertical="center" indent="1"/>
    </xf>
    <xf numFmtId="165" fontId="1" fillId="0" borderId="18" xfId="0" applyNumberFormat="1" applyFont="1" applyFill="1" applyBorder="1" applyAlignment="1">
      <alignment vertical="center"/>
    </xf>
    <xf numFmtId="169" fontId="31" fillId="0" borderId="19" xfId="0" applyNumberFormat="1" applyFont="1" applyFill="1" applyBorder="1" applyAlignment="1">
      <alignment vertical="center"/>
    </xf>
    <xf numFmtId="169" fontId="31" fillId="0" borderId="9" xfId="0" applyNumberFormat="1" applyFont="1" applyFill="1" applyBorder="1" applyAlignment="1">
      <alignment vertical="center"/>
    </xf>
    <xf numFmtId="165" fontId="1" fillId="0" borderId="9" xfId="0" applyNumberFormat="1" applyFont="1" applyFill="1" applyBorder="1" applyAlignment="1">
      <alignment vertical="center"/>
    </xf>
    <xf numFmtId="165" fontId="18" fillId="0" borderId="0" xfId="0" applyNumberFormat="1" applyFont="1"/>
    <xf numFmtId="165" fontId="9" fillId="0" borderId="0" xfId="0" applyNumberFormat="1" applyFont="1"/>
    <xf numFmtId="171" fontId="1" fillId="0" borderId="3" xfId="0" applyNumberFormat="1" applyFont="1" applyFill="1" applyBorder="1" applyAlignment="1"/>
    <xf numFmtId="172" fontId="1" fillId="0" borderId="0" xfId="0" applyNumberFormat="1" applyFont="1" applyFill="1" applyBorder="1" applyAlignment="1"/>
    <xf numFmtId="168" fontId="1" fillId="0" borderId="0" xfId="0" applyNumberFormat="1" applyFont="1" applyFill="1" applyBorder="1" applyAlignment="1"/>
    <xf numFmtId="165" fontId="1" fillId="0" borderId="9" xfId="0" applyNumberFormat="1" applyFont="1" applyFill="1" applyBorder="1" applyAlignment="1"/>
    <xf numFmtId="173" fontId="38" fillId="0" borderId="0" xfId="0" applyNumberFormat="1" applyFont="1" applyFill="1" applyBorder="1" applyAlignment="1"/>
    <xf numFmtId="172" fontId="39" fillId="0" borderId="0" xfId="0" applyNumberFormat="1" applyFont="1" applyFill="1" applyBorder="1" applyAlignment="1">
      <alignment horizontal="center"/>
    </xf>
    <xf numFmtId="172" fontId="40" fillId="0" borderId="0" xfId="0" applyNumberFormat="1" applyFont="1" applyFill="1" applyBorder="1" applyAlignment="1">
      <alignment horizontal="right"/>
    </xf>
    <xf numFmtId="172" fontId="41" fillId="0" borderId="0" xfId="0" applyNumberFormat="1" applyFont="1" applyFill="1" applyBorder="1" applyAlignment="1">
      <alignment horizontal="left"/>
    </xf>
    <xf numFmtId="0" fontId="39" fillId="0" borderId="0" xfId="0" applyNumberFormat="1" applyFont="1" applyFill="1" applyBorder="1" applyAlignment="1">
      <alignment horizontal="center"/>
    </xf>
    <xf numFmtId="0" fontId="40" fillId="0" borderId="0" xfId="0" applyNumberFormat="1" applyFont="1" applyFill="1" applyBorder="1" applyAlignment="1">
      <alignment horizontal="right"/>
    </xf>
    <xf numFmtId="0" fontId="41" fillId="0" borderId="0" xfId="0" applyNumberFormat="1" applyFont="1" applyFill="1" applyBorder="1" applyAlignment="1"/>
    <xf numFmtId="172" fontId="39" fillId="0" borderId="0" xfId="0" applyNumberFormat="1" applyFont="1" applyFill="1" applyBorder="1" applyAlignment="1">
      <alignment horizontal="centerContinuous"/>
    </xf>
    <xf numFmtId="0" fontId="1" fillId="0" borderId="0" xfId="0" applyNumberFormat="1" applyFont="1" applyFill="1" applyBorder="1" applyAlignment="1">
      <alignment horizontal="centerContinuous"/>
    </xf>
    <xf numFmtId="164" fontId="24" fillId="0" borderId="0" xfId="0" applyNumberFormat="1" applyFont="1" applyBorder="1"/>
    <xf numFmtId="169" fontId="42" fillId="0" borderId="0" xfId="0" applyNumberFormat="1" applyFont="1" applyFill="1" applyBorder="1" applyAlignment="1"/>
    <xf numFmtId="0" fontId="43" fillId="0" borderId="0" xfId="0" applyNumberFormat="1" applyFont="1" applyFill="1" applyBorder="1" applyAlignment="1"/>
    <xf numFmtId="169" fontId="1" fillId="0" borderId="3" xfId="0" applyNumberFormat="1" applyFont="1" applyFill="1" applyBorder="1" applyAlignment="1"/>
    <xf numFmtId="174" fontId="1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center"/>
    </xf>
    <xf numFmtId="174" fontId="3" fillId="0" borderId="12" xfId="0" applyNumberFormat="1" applyFont="1" applyFill="1" applyBorder="1" applyAlignment="1">
      <alignment horizontal="left"/>
    </xf>
    <xf numFmtId="0" fontId="3" fillId="0" borderId="13" xfId="0" applyNumberFormat="1" applyFont="1" applyFill="1" applyBorder="1" applyAlignment="1">
      <alignment horizontal="center"/>
    </xf>
    <xf numFmtId="0" fontId="3" fillId="0" borderId="14" xfId="0" applyNumberFormat="1" applyFont="1" applyFill="1" applyBorder="1" applyAlignment="1">
      <alignment horizontal="center"/>
    </xf>
    <xf numFmtId="5" fontId="24" fillId="0" borderId="0" xfId="0" applyNumberFormat="1" applyFont="1" applyBorder="1"/>
    <xf numFmtId="174" fontId="2" fillId="0" borderId="20" xfId="0" applyNumberFormat="1" applyFont="1" applyFill="1" applyBorder="1" applyAlignment="1">
      <alignment horizontal="left"/>
    </xf>
    <xf numFmtId="0" fontId="2" fillId="0" borderId="9" xfId="0" applyNumberFormat="1" applyFont="1" applyFill="1" applyBorder="1" applyAlignment="1">
      <alignment horizontal="center"/>
    </xf>
    <xf numFmtId="41" fontId="2" fillId="0" borderId="18" xfId="0" applyNumberFormat="1" applyFont="1" applyFill="1" applyBorder="1" applyAlignment="1"/>
    <xf numFmtId="174" fontId="2" fillId="0" borderId="15" xfId="0" applyNumberFormat="1" applyFont="1" applyFill="1" applyBorder="1" applyAlignment="1">
      <alignment horizontal="left"/>
    </xf>
    <xf numFmtId="41" fontId="2" fillId="0" borderId="16" xfId="0" applyNumberFormat="1" applyFont="1" applyFill="1" applyBorder="1" applyAlignment="1"/>
    <xf numFmtId="0" fontId="24" fillId="0" borderId="9" xfId="0" applyFont="1" applyBorder="1"/>
    <xf numFmtId="0" fontId="2" fillId="0" borderId="0" xfId="0" applyNumberFormat="1" applyFont="1" applyFill="1" applyBorder="1" applyAlignment="1"/>
    <xf numFmtId="41" fontId="2" fillId="0" borderId="21" xfId="0" applyNumberFormat="1" applyFont="1" applyFill="1" applyBorder="1" applyAlignment="1"/>
    <xf numFmtId="5" fontId="24" fillId="0" borderId="9" xfId="0" applyNumberFormat="1" applyFont="1" applyBorder="1"/>
    <xf numFmtId="0" fontId="2" fillId="0" borderId="22" xfId="0" applyNumberFormat="1" applyFont="1" applyBorder="1" applyAlignment="1"/>
    <xf numFmtId="0" fontId="18" fillId="0" borderId="23" xfId="0" applyNumberFormat="1" applyFont="1" applyBorder="1" applyAlignment="1">
      <alignment horizontal="right"/>
    </xf>
    <xf numFmtId="41" fontId="18" fillId="0" borderId="24" xfId="0" applyNumberFormat="1" applyFont="1" applyBorder="1" applyAlignment="1"/>
    <xf numFmtId="0" fontId="24" fillId="0" borderId="15" xfId="0" applyFont="1" applyBorder="1" applyAlignment="1">
      <alignment horizontal="right"/>
    </xf>
    <xf numFmtId="165" fontId="24" fillId="3" borderId="2" xfId="0" applyNumberFormat="1" applyFont="1" applyFill="1" applyBorder="1"/>
    <xf numFmtId="164" fontId="24" fillId="0" borderId="9" xfId="0" applyNumberFormat="1" applyFont="1" applyBorder="1"/>
    <xf numFmtId="42" fontId="24" fillId="0" borderId="0" xfId="0" applyNumberFormat="1" applyFont="1" applyBorder="1"/>
    <xf numFmtId="164" fontId="24" fillId="3" borderId="1" xfId="0" applyNumberFormat="1" applyFont="1" applyFill="1" applyBorder="1"/>
    <xf numFmtId="41" fontId="24" fillId="0" borderId="0" xfId="0" applyNumberFormat="1" applyFont="1" applyBorder="1"/>
    <xf numFmtId="0" fontId="44" fillId="0" borderId="0" xfId="0" applyFont="1"/>
    <xf numFmtId="0" fontId="24" fillId="0" borderId="22" xfId="0" applyFont="1" applyBorder="1"/>
    <xf numFmtId="0" fontId="24" fillId="0" borderId="23" xfId="0" applyFont="1" applyBorder="1"/>
    <xf numFmtId="0" fontId="25" fillId="0" borderId="23" xfId="0" applyFont="1" applyBorder="1"/>
    <xf numFmtId="0" fontId="25" fillId="0" borderId="24" xfId="0" applyFont="1" applyBorder="1"/>
    <xf numFmtId="165" fontId="45" fillId="0" borderId="0" xfId="0" applyNumberFormat="1" applyFont="1" applyFill="1" applyBorder="1" applyAlignment="1"/>
    <xf numFmtId="0" fontId="46" fillId="0" borderId="0" xfId="0" applyFont="1"/>
    <xf numFmtId="0" fontId="46" fillId="0" borderId="0" xfId="0" applyFont="1" applyFill="1"/>
    <xf numFmtId="164" fontId="18" fillId="0" borderId="0" xfId="0" applyNumberFormat="1" applyFont="1" applyFill="1" applyBorder="1"/>
    <xf numFmtId="3" fontId="18" fillId="0" borderId="9" xfId="0" applyNumberFormat="1" applyFont="1" applyFill="1" applyBorder="1"/>
    <xf numFmtId="3" fontId="18" fillId="0" borderId="0" xfId="0" applyNumberFormat="1" applyFont="1" applyFill="1" applyBorder="1"/>
    <xf numFmtId="3" fontId="18" fillId="0" borderId="3" xfId="0" applyNumberFormat="1" applyFont="1" applyFill="1" applyBorder="1"/>
    <xf numFmtId="0" fontId="18" fillId="0" borderId="0" xfId="0" applyFont="1"/>
    <xf numFmtId="0" fontId="2" fillId="0" borderId="0" xfId="0" applyFont="1"/>
    <xf numFmtId="0" fontId="9" fillId="0" borderId="0" xfId="0" applyNumberFormat="1" applyFont="1" applyFill="1" applyAlignment="1">
      <alignment horizontal="center"/>
    </xf>
    <xf numFmtId="165" fontId="9" fillId="0" borderId="0" xfId="0" applyNumberFormat="1" applyFont="1" applyFill="1" applyAlignment="1">
      <alignment horizontal="center"/>
    </xf>
    <xf numFmtId="165" fontId="9" fillId="0" borderId="0" xfId="0" quotePrefix="1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3" fillId="0" borderId="10" xfId="0" applyNumberFormat="1" applyFont="1" applyFill="1" applyBorder="1" applyAlignment="1">
      <alignment horizontal="center"/>
    </xf>
    <xf numFmtId="0" fontId="3" fillId="0" borderId="11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20" fillId="2" borderId="0" xfId="0" applyNumberFormat="1" applyFont="1" applyFill="1" applyAlignment="1">
      <alignment horizontal="center"/>
    </xf>
  </cellXfs>
  <cellStyles count="2">
    <cellStyle name="Comma 10 2 2 3" xfId="1"/>
    <cellStyle name="Normal" xfId="0" builtinId="0"/>
  </cellStyles>
  <dxfs count="0"/>
  <tableStyles count="0" defaultTableStyle="TableStyleMedium9" defaultPivotStyle="PivotStyleLight16"/>
  <colors>
    <mruColors>
      <color rgb="FF0000FF"/>
      <color rgb="FFFFFF99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7.xml"/><Relationship Id="rId21" Type="http://schemas.openxmlformats.org/officeDocument/2006/relationships/externalLink" Target="externalLinks/externalLink12.xml"/><Relationship Id="rId42" Type="http://schemas.openxmlformats.org/officeDocument/2006/relationships/externalLink" Target="externalLinks/externalLink33.xml"/><Relationship Id="rId47" Type="http://schemas.openxmlformats.org/officeDocument/2006/relationships/externalLink" Target="externalLinks/externalLink38.xml"/><Relationship Id="rId63" Type="http://schemas.openxmlformats.org/officeDocument/2006/relationships/externalLink" Target="externalLinks/externalLink54.xml"/><Relationship Id="rId6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44.xml"/><Relationship Id="rId58" Type="http://schemas.openxmlformats.org/officeDocument/2006/relationships/externalLink" Target="externalLinks/externalLink49.xml"/><Relationship Id="rId66" Type="http://schemas.openxmlformats.org/officeDocument/2006/relationships/externalLink" Target="externalLinks/externalLink57.xml"/><Relationship Id="rId7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2.xml"/><Relationship Id="rId19" Type="http://schemas.openxmlformats.org/officeDocument/2006/relationships/externalLink" Target="externalLinks/externalLink10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externalLink" Target="externalLinks/externalLink39.xml"/><Relationship Id="rId56" Type="http://schemas.openxmlformats.org/officeDocument/2006/relationships/externalLink" Target="externalLinks/externalLink47.xml"/><Relationship Id="rId64" Type="http://schemas.openxmlformats.org/officeDocument/2006/relationships/externalLink" Target="externalLinks/externalLink55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2.xml"/><Relationship Id="rId72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0.xml"/><Relationship Id="rId67" Type="http://schemas.openxmlformats.org/officeDocument/2006/relationships/theme" Target="theme/theme1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54" Type="http://schemas.openxmlformats.org/officeDocument/2006/relationships/externalLink" Target="externalLinks/externalLink45.xml"/><Relationship Id="rId62" Type="http://schemas.openxmlformats.org/officeDocument/2006/relationships/externalLink" Target="externalLinks/externalLink53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0.xml"/><Relationship Id="rId57" Type="http://schemas.openxmlformats.org/officeDocument/2006/relationships/externalLink" Target="externalLinks/externalLink48.xml"/><Relationship Id="rId10" Type="http://schemas.openxmlformats.org/officeDocument/2006/relationships/externalLink" Target="externalLinks/externalLink1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52" Type="http://schemas.openxmlformats.org/officeDocument/2006/relationships/externalLink" Target="externalLinks/externalLink43.xml"/><Relationship Id="rId60" Type="http://schemas.openxmlformats.org/officeDocument/2006/relationships/externalLink" Target="externalLinks/externalLink51.xml"/><Relationship Id="rId65" Type="http://schemas.openxmlformats.org/officeDocument/2006/relationships/externalLink" Target="externalLinks/externalLink56.xml"/><Relationship Id="rId73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9" Type="http://schemas.openxmlformats.org/officeDocument/2006/relationships/externalLink" Target="externalLinks/externalLink30.xml"/><Relationship Id="rId34" Type="http://schemas.openxmlformats.org/officeDocument/2006/relationships/externalLink" Target="externalLinks/externalLink25.xml"/><Relationship Id="rId50" Type="http://schemas.openxmlformats.org/officeDocument/2006/relationships/externalLink" Target="externalLinks/externalLink41.xml"/><Relationship Id="rId55" Type="http://schemas.openxmlformats.org/officeDocument/2006/relationships/externalLink" Target="externalLinks/externalLink46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2004%20GRC%20Order%20Electric%20(Clarification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FCR%20for%20PSE%20S40%20V0%20%20HM%20edit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NO%20MS%20SUPP%202017%20GRC%20Workpapers/%23Electric%20Model%202017%20GRC%20CONT%20CALCULATION%20(SUPP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oljh\Local%20Settings\MSN%20Rate%20v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Processes\General%20Accounting\newgas\2012\4-2012\UBR-GAS%2004-201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WC-RB%20GRC%20TY0903%20RY02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Jun_30_01\Proforma%20Adj_not%20use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Update%206-30-06\COS%20Update%207-7-06\ECOS%20Model%20-%20UPDATE%20(JAH-5)%207-7-06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2016%20GRC/Cost%20of%20Service/Model/DRAFT%202016%20GRC%20ECOS%20v7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6-ELEC-RATE-SPREAD-DESIGN-19GRC-06-2019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BDJ04-ECOS-MODEL-19GRC-06-2019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E-ELECTRIC-MODEL-19GRC-06-2019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11.01E-Exhibit-A-1-19GRC-06-2019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7.01E-PowerCosts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Ex A-1"/>
      <sheetName val="Sch A-1"/>
      <sheetName val=" EX A-2"/>
      <sheetName val="ExA-3ColFC"/>
      <sheetName val="Ex A-4 Prod Adj"/>
      <sheetName val="Ex A-5 PC"/>
      <sheetName val="Ex D"/>
      <sheetName val="Ex E"/>
      <sheetName val="ComparePCR"/>
      <sheetName val="557"/>
      <sheetName val="Production Adjustment"/>
      <sheetName val="Production Factor"/>
      <sheetName val="2.03E"/>
      <sheetName val="Pwr Csts"/>
      <sheetName val="VerifyPwrCsts"/>
      <sheetName val="GRC"/>
      <sheetName val="Prodn OM by Resource GRC"/>
      <sheetName val="EB&amp;Taxes"/>
      <sheetName val="TransmRev"/>
      <sheetName val="Rlfwd"/>
      <sheetName val="Previous"/>
      <sheetName val="Diff"/>
      <sheetName val="model.7"/>
      <sheetName val="Restating Print Macros"/>
      <sheetName val="Module13"/>
      <sheetName val="Module14"/>
      <sheetName val="Module15"/>
      <sheetName val="Module1"/>
    </sheetNames>
    <sheetDataSet>
      <sheetData sheetId="0" refreshError="1">
        <row r="6">
          <cell r="A6" t="str">
            <v>FOR THE TWELVE MONTHS ENDED SEPTEMBER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O10">
            <v>18</v>
          </cell>
        </row>
        <row r="11">
          <cell r="AO11" t="str">
            <v>53</v>
          </cell>
        </row>
        <row r="12">
          <cell r="AO12" t="str">
            <v>28/54</v>
          </cell>
        </row>
        <row r="13">
          <cell r="AO13" t="str">
            <v>18</v>
          </cell>
        </row>
        <row r="14">
          <cell r="AO14" t="str">
            <v>18</v>
          </cell>
        </row>
        <row r="15">
          <cell r="AO15" t="str">
            <v>18</v>
          </cell>
        </row>
        <row r="16">
          <cell r="AO16" t="str">
            <v>18</v>
          </cell>
        </row>
        <row r="17">
          <cell r="AO17" t="str">
            <v>18</v>
          </cell>
        </row>
        <row r="18">
          <cell r="AO18" t="str">
            <v>18</v>
          </cell>
        </row>
        <row r="19">
          <cell r="AO19" t="str">
            <v>18</v>
          </cell>
        </row>
        <row r="20">
          <cell r="AO20" t="str">
            <v>18</v>
          </cell>
        </row>
        <row r="21">
          <cell r="AO21" t="str">
            <v>19</v>
          </cell>
        </row>
        <row r="22">
          <cell r="AO22" t="str">
            <v>53</v>
          </cell>
        </row>
        <row r="23">
          <cell r="AO23" t="str">
            <v>29/57</v>
          </cell>
        </row>
        <row r="24">
          <cell r="AO24" t="str">
            <v>43</v>
          </cell>
        </row>
        <row r="25">
          <cell r="AO25" t="str">
            <v>58</v>
          </cell>
        </row>
        <row r="26">
          <cell r="AO26" t="str">
            <v>44/59</v>
          </cell>
        </row>
        <row r="27">
          <cell r="AO27" t="str">
            <v>44/59</v>
          </cell>
        </row>
        <row r="28">
          <cell r="AO28" t="str">
            <v>43</v>
          </cell>
        </row>
        <row r="29">
          <cell r="AO29" t="str">
            <v>43</v>
          </cell>
        </row>
        <row r="30">
          <cell r="AO30" t="str">
            <v>43</v>
          </cell>
        </row>
        <row r="31">
          <cell r="AO31" t="str">
            <v>58</v>
          </cell>
        </row>
        <row r="32">
          <cell r="AO32" t="str">
            <v>24</v>
          </cell>
        </row>
        <row r="33">
          <cell r="AO33" t="str">
            <v>61</v>
          </cell>
        </row>
        <row r="34">
          <cell r="AO34" t="str">
            <v>30/62</v>
          </cell>
        </row>
        <row r="35">
          <cell r="AO35" t="str">
            <v>24</v>
          </cell>
        </row>
        <row r="36">
          <cell r="AO36" t="str">
            <v>61</v>
          </cell>
        </row>
        <row r="37">
          <cell r="AO37" t="str">
            <v>30/62</v>
          </cell>
        </row>
        <row r="38">
          <cell r="AO38" t="str">
            <v>24</v>
          </cell>
        </row>
        <row r="39">
          <cell r="AO39" t="str">
            <v>61</v>
          </cell>
        </row>
        <row r="40">
          <cell r="AO40" t="str">
            <v>24</v>
          </cell>
        </row>
        <row r="41">
          <cell r="AO41" t="str">
            <v>61</v>
          </cell>
        </row>
        <row r="42">
          <cell r="AO42" t="str">
            <v>30/62</v>
          </cell>
        </row>
        <row r="43">
          <cell r="AO43" t="str">
            <v>24</v>
          </cell>
        </row>
        <row r="44">
          <cell r="AO44" t="str">
            <v>61</v>
          </cell>
        </row>
        <row r="45">
          <cell r="AO45" t="str">
            <v>24</v>
          </cell>
        </row>
        <row r="46">
          <cell r="AO46" t="str">
            <v>61</v>
          </cell>
        </row>
        <row r="47">
          <cell r="AO47" t="str">
            <v>30/62</v>
          </cell>
        </row>
        <row r="48">
          <cell r="AO48" t="str">
            <v>24</v>
          </cell>
        </row>
        <row r="49">
          <cell r="AO49" t="str">
            <v>24</v>
          </cell>
        </row>
        <row r="50">
          <cell r="AO50" t="str">
            <v>24</v>
          </cell>
        </row>
        <row r="51">
          <cell r="AO51" t="str">
            <v>24</v>
          </cell>
        </row>
        <row r="52">
          <cell r="AO52" t="str">
            <v>24</v>
          </cell>
        </row>
        <row r="53">
          <cell r="AO53" t="str">
            <v>24</v>
          </cell>
        </row>
        <row r="54">
          <cell r="AO54" t="str">
            <v>24</v>
          </cell>
        </row>
        <row r="55">
          <cell r="AO55" t="str">
            <v>61</v>
          </cell>
        </row>
        <row r="56">
          <cell r="AO56" t="str">
            <v>30/62</v>
          </cell>
        </row>
        <row r="57">
          <cell r="AO57" t="str">
            <v>24</v>
          </cell>
        </row>
        <row r="58">
          <cell r="AO58" t="str">
            <v>61</v>
          </cell>
        </row>
        <row r="59">
          <cell r="AO59" t="str">
            <v>24</v>
          </cell>
        </row>
        <row r="60">
          <cell r="AO60" t="str">
            <v>61</v>
          </cell>
        </row>
        <row r="61">
          <cell r="AO61" t="str">
            <v>30/62</v>
          </cell>
        </row>
        <row r="62">
          <cell r="AO62" t="str">
            <v>18</v>
          </cell>
        </row>
        <row r="63">
          <cell r="AO63" t="str">
            <v>53</v>
          </cell>
        </row>
        <row r="64">
          <cell r="AO64" t="str">
            <v>18</v>
          </cell>
        </row>
        <row r="65">
          <cell r="AO65" t="str">
            <v>18</v>
          </cell>
        </row>
        <row r="66">
          <cell r="AO66" t="str">
            <v>18</v>
          </cell>
        </row>
        <row r="67">
          <cell r="AO67" t="str">
            <v>24</v>
          </cell>
        </row>
        <row r="68">
          <cell r="AO68" t="str">
            <v>61</v>
          </cell>
        </row>
        <row r="69">
          <cell r="AO69" t="str">
            <v>24</v>
          </cell>
        </row>
        <row r="70">
          <cell r="AO70" t="str">
            <v>24</v>
          </cell>
        </row>
        <row r="71">
          <cell r="AO71" t="str">
            <v>24</v>
          </cell>
        </row>
        <row r="72">
          <cell r="AO72" t="str">
            <v>60</v>
          </cell>
        </row>
        <row r="73">
          <cell r="AO73" t="str">
            <v>28/54</v>
          </cell>
        </row>
        <row r="74">
          <cell r="AO74">
            <v>39</v>
          </cell>
        </row>
        <row r="75">
          <cell r="AO75">
            <v>39</v>
          </cell>
        </row>
        <row r="76">
          <cell r="AO76" t="str">
            <v>39</v>
          </cell>
        </row>
        <row r="77">
          <cell r="AO77" t="str">
            <v>40</v>
          </cell>
        </row>
        <row r="78">
          <cell r="AO78">
            <v>40</v>
          </cell>
        </row>
        <row r="79">
          <cell r="AO79" t="str">
            <v>33a</v>
          </cell>
        </row>
        <row r="80">
          <cell r="AO80" t="str">
            <v>41</v>
          </cell>
        </row>
        <row r="81">
          <cell r="AO81">
            <v>41</v>
          </cell>
        </row>
        <row r="82">
          <cell r="AO82">
            <v>41</v>
          </cell>
        </row>
        <row r="83">
          <cell r="AO83" t="str">
            <v>41</v>
          </cell>
        </row>
        <row r="84">
          <cell r="AO84">
            <v>41</v>
          </cell>
        </row>
        <row r="85">
          <cell r="AO85">
            <v>41</v>
          </cell>
        </row>
        <row r="86">
          <cell r="AO86">
            <v>41</v>
          </cell>
        </row>
        <row r="87">
          <cell r="AO87">
            <v>41</v>
          </cell>
        </row>
        <row r="88">
          <cell r="AO88">
            <v>41</v>
          </cell>
        </row>
        <row r="89">
          <cell r="AO89">
            <v>41</v>
          </cell>
        </row>
        <row r="90">
          <cell r="AO90">
            <v>41</v>
          </cell>
        </row>
        <row r="91">
          <cell r="AO91">
            <v>41</v>
          </cell>
        </row>
        <row r="92">
          <cell r="AO92">
            <v>41</v>
          </cell>
        </row>
        <row r="93">
          <cell r="AO93">
            <v>41</v>
          </cell>
        </row>
        <row r="94">
          <cell r="AO94">
            <v>41</v>
          </cell>
        </row>
        <row r="95">
          <cell r="AO95">
            <v>41</v>
          </cell>
        </row>
        <row r="96">
          <cell r="AO96">
            <v>41</v>
          </cell>
        </row>
        <row r="97">
          <cell r="AO97">
            <v>41</v>
          </cell>
        </row>
        <row r="98">
          <cell r="AO98">
            <v>41</v>
          </cell>
        </row>
        <row r="99">
          <cell r="AO99">
            <v>41</v>
          </cell>
        </row>
        <row r="100">
          <cell r="AO100">
            <v>41</v>
          </cell>
        </row>
        <row r="101">
          <cell r="AO101">
            <v>41</v>
          </cell>
        </row>
        <row r="102">
          <cell r="AO102">
            <v>41</v>
          </cell>
        </row>
        <row r="103">
          <cell r="AO103">
            <v>41</v>
          </cell>
        </row>
        <row r="104">
          <cell r="AO104">
            <v>41</v>
          </cell>
        </row>
        <row r="105">
          <cell r="AO105">
            <v>41</v>
          </cell>
        </row>
        <row r="106">
          <cell r="AO106">
            <v>41</v>
          </cell>
        </row>
        <row r="107">
          <cell r="AO107">
            <v>41</v>
          </cell>
        </row>
        <row r="108">
          <cell r="AO108">
            <v>41</v>
          </cell>
        </row>
        <row r="109">
          <cell r="AO109" t="str">
            <v>41</v>
          </cell>
        </row>
        <row r="110">
          <cell r="AO110" t="str">
            <v>41</v>
          </cell>
        </row>
        <row r="111">
          <cell r="AO111" t="str">
            <v>41</v>
          </cell>
        </row>
        <row r="112">
          <cell r="AO112" t="str">
            <v>41</v>
          </cell>
        </row>
        <row r="113">
          <cell r="AO113" t="str">
            <v>41</v>
          </cell>
        </row>
        <row r="114">
          <cell r="AO114" t="str">
            <v>41</v>
          </cell>
        </row>
        <row r="115">
          <cell r="AO115" t="str">
            <v>41</v>
          </cell>
        </row>
        <row r="116">
          <cell r="AO116" t="str">
            <v>41</v>
          </cell>
        </row>
        <row r="117">
          <cell r="AO117" t="str">
            <v>41</v>
          </cell>
        </row>
        <row r="118">
          <cell r="AO118" t="str">
            <v>41</v>
          </cell>
        </row>
        <row r="119">
          <cell r="AO119" t="str">
            <v>41</v>
          </cell>
        </row>
        <row r="120">
          <cell r="AO120" t="str">
            <v>41</v>
          </cell>
        </row>
        <row r="121">
          <cell r="AO121" t="str">
            <v>41</v>
          </cell>
        </row>
        <row r="122">
          <cell r="AO122" t="str">
            <v>41</v>
          </cell>
        </row>
        <row r="123">
          <cell r="AO123" t="str">
            <v>65a</v>
          </cell>
        </row>
        <row r="124">
          <cell r="AO124" t="str">
            <v>65a</v>
          </cell>
        </row>
        <row r="125">
          <cell r="AO125" t="str">
            <v>65a</v>
          </cell>
        </row>
        <row r="126">
          <cell r="AO126" t="str">
            <v>65a</v>
          </cell>
        </row>
        <row r="127">
          <cell r="AO127" t="str">
            <v>65a</v>
          </cell>
        </row>
        <row r="128">
          <cell r="AO128" t="str">
            <v>65a</v>
          </cell>
        </row>
        <row r="129">
          <cell r="AO129" t="str">
            <v>65a</v>
          </cell>
        </row>
        <row r="130">
          <cell r="AO130" t="str">
            <v>65a</v>
          </cell>
        </row>
        <row r="131">
          <cell r="AO131" t="str">
            <v>65a</v>
          </cell>
        </row>
        <row r="132">
          <cell r="AO132" t="str">
            <v>65a</v>
          </cell>
        </row>
        <row r="133">
          <cell r="AO133" t="str">
            <v>65a</v>
          </cell>
        </row>
        <row r="134">
          <cell r="AO134" t="str">
            <v>65a</v>
          </cell>
        </row>
        <row r="135">
          <cell r="AO135" t="str">
            <v>65a</v>
          </cell>
        </row>
        <row r="136">
          <cell r="AO136" t="str">
            <v>65a</v>
          </cell>
        </row>
        <row r="137">
          <cell r="AO137" t="str">
            <v>65a</v>
          </cell>
        </row>
        <row r="138">
          <cell r="AO138" t="str">
            <v>65a</v>
          </cell>
        </row>
        <row r="139">
          <cell r="AO139" t="str">
            <v>65a</v>
          </cell>
        </row>
        <row r="140">
          <cell r="AO140" t="str">
            <v>65a</v>
          </cell>
        </row>
        <row r="141">
          <cell r="AO141" t="str">
            <v>65a</v>
          </cell>
        </row>
        <row r="142">
          <cell r="AO142" t="str">
            <v>65a</v>
          </cell>
        </row>
        <row r="143">
          <cell r="AO143" t="str">
            <v>65a</v>
          </cell>
        </row>
        <row r="144">
          <cell r="AO144" t="str">
            <v>65a</v>
          </cell>
        </row>
        <row r="145">
          <cell r="AO145" t="str">
            <v>65a</v>
          </cell>
        </row>
        <row r="146">
          <cell r="AO146" t="str">
            <v>65a</v>
          </cell>
        </row>
        <row r="147">
          <cell r="AO147" t="str">
            <v>65a</v>
          </cell>
        </row>
        <row r="148">
          <cell r="AO148" t="str">
            <v>65a</v>
          </cell>
        </row>
        <row r="149">
          <cell r="AO149" t="str">
            <v>65a</v>
          </cell>
        </row>
        <row r="150">
          <cell r="AO150" t="str">
            <v>65a</v>
          </cell>
        </row>
        <row r="151">
          <cell r="AO151" t="str">
            <v>65a</v>
          </cell>
        </row>
        <row r="152">
          <cell r="AO152" t="str">
            <v>65a</v>
          </cell>
        </row>
        <row r="153">
          <cell r="AO153" t="str">
            <v>65a</v>
          </cell>
        </row>
        <row r="154">
          <cell r="AO154" t="str">
            <v>65a</v>
          </cell>
        </row>
        <row r="155">
          <cell r="AO155" t="str">
            <v>65a</v>
          </cell>
        </row>
        <row r="156">
          <cell r="AO156" t="str">
            <v>65a</v>
          </cell>
        </row>
        <row r="157">
          <cell r="AO157" t="str">
            <v>65a</v>
          </cell>
        </row>
        <row r="158">
          <cell r="AO158" t="str">
            <v>65a</v>
          </cell>
        </row>
        <row r="159">
          <cell r="AO159" t="str">
            <v>65a</v>
          </cell>
        </row>
        <row r="160">
          <cell r="AO160" t="str">
            <v xml:space="preserve"> </v>
          </cell>
        </row>
        <row r="161">
          <cell r="AO161" t="str">
            <v>41</v>
          </cell>
        </row>
        <row r="162">
          <cell r="AO162" t="str">
            <v>65a</v>
          </cell>
        </row>
        <row r="163">
          <cell r="AO163" t="str">
            <v>65a</v>
          </cell>
        </row>
        <row r="164">
          <cell r="AO164" t="str">
            <v>65a</v>
          </cell>
        </row>
        <row r="165">
          <cell r="AO165" t="str">
            <v>65a</v>
          </cell>
        </row>
        <row r="166">
          <cell r="AO166" t="str">
            <v>65a</v>
          </cell>
        </row>
        <row r="167">
          <cell r="AO167" t="str">
            <v>65a</v>
          </cell>
        </row>
        <row r="168">
          <cell r="AO168" t="str">
            <v>65a</v>
          </cell>
        </row>
        <row r="169">
          <cell r="AO169" t="str">
            <v>65a</v>
          </cell>
        </row>
        <row r="170">
          <cell r="AO170" t="str">
            <v>65a</v>
          </cell>
        </row>
        <row r="171">
          <cell r="AO171" t="str">
            <v>65a</v>
          </cell>
        </row>
        <row r="172">
          <cell r="AO172" t="str">
            <v>65a</v>
          </cell>
        </row>
        <row r="173">
          <cell r="AO173" t="str">
            <v>65a</v>
          </cell>
        </row>
        <row r="174">
          <cell r="AO174" t="str">
            <v>65a</v>
          </cell>
        </row>
        <row r="175">
          <cell r="AO175" t="str">
            <v>65a</v>
          </cell>
        </row>
        <row r="176">
          <cell r="AO176" t="str">
            <v>65a</v>
          </cell>
        </row>
        <row r="177">
          <cell r="AO177" t="str">
            <v>65a</v>
          </cell>
        </row>
        <row r="178">
          <cell r="AO178" t="str">
            <v>65a</v>
          </cell>
        </row>
        <row r="179">
          <cell r="AO179" t="str">
            <v>65a</v>
          </cell>
        </row>
        <row r="180">
          <cell r="AO180" t="str">
            <v xml:space="preserve"> </v>
          </cell>
        </row>
        <row r="181">
          <cell r="AO181" t="str">
            <v xml:space="preserve"> </v>
          </cell>
        </row>
        <row r="182">
          <cell r="AO182" t="str">
            <v>65a</v>
          </cell>
        </row>
        <row r="183">
          <cell r="AO183" t="str">
            <v>65a</v>
          </cell>
        </row>
        <row r="185">
          <cell r="AO185" t="str">
            <v>65a</v>
          </cell>
        </row>
        <row r="186">
          <cell r="AO186" t="str">
            <v>65a</v>
          </cell>
        </row>
        <row r="187">
          <cell r="AO187" t="str">
            <v>65a</v>
          </cell>
        </row>
        <row r="189">
          <cell r="AO189" t="str">
            <v xml:space="preserve"> </v>
          </cell>
        </row>
        <row r="190">
          <cell r="AO190" t="str">
            <v>65a</v>
          </cell>
        </row>
        <row r="191">
          <cell r="AO191" t="str">
            <v xml:space="preserve"> </v>
          </cell>
        </row>
        <row r="192">
          <cell r="AO192" t="str">
            <v>65a</v>
          </cell>
        </row>
        <row r="193">
          <cell r="AO193" t="str">
            <v xml:space="preserve"> </v>
          </cell>
        </row>
        <row r="194">
          <cell r="AO194" t="str">
            <v xml:space="preserve"> </v>
          </cell>
        </row>
        <row r="196">
          <cell r="AO196" t="str">
            <v>65b</v>
          </cell>
        </row>
        <row r="197">
          <cell r="AO197" t="str">
            <v>65a</v>
          </cell>
        </row>
        <row r="198">
          <cell r="AO198" t="str">
            <v>65a</v>
          </cell>
        </row>
        <row r="199">
          <cell r="AO199" t="str">
            <v>65b</v>
          </cell>
        </row>
        <row r="201">
          <cell r="AO201" t="str">
            <v>51</v>
          </cell>
        </row>
        <row r="202">
          <cell r="AO202" t="str">
            <v>51</v>
          </cell>
        </row>
        <row r="203">
          <cell r="AO203" t="str">
            <v>51</v>
          </cell>
        </row>
        <row r="204">
          <cell r="AO204" t="str">
            <v>51</v>
          </cell>
        </row>
        <row r="205">
          <cell r="AO205" t="str">
            <v>51</v>
          </cell>
        </row>
        <row r="206">
          <cell r="AO206" t="str">
            <v>51</v>
          </cell>
        </row>
        <row r="207">
          <cell r="AO207">
            <v>41</v>
          </cell>
        </row>
        <row r="208">
          <cell r="AO208">
            <v>41</v>
          </cell>
        </row>
        <row r="209">
          <cell r="AO209">
            <v>41</v>
          </cell>
        </row>
        <row r="210">
          <cell r="AO210" t="str">
            <v xml:space="preserve"> </v>
          </cell>
        </row>
        <row r="211">
          <cell r="AO211" t="str">
            <v>65b</v>
          </cell>
        </row>
        <row r="212">
          <cell r="AO212" t="str">
            <v>65a</v>
          </cell>
        </row>
        <row r="214">
          <cell r="AO214" t="str">
            <v>66a</v>
          </cell>
        </row>
        <row r="215">
          <cell r="AO215" t="str">
            <v>66a</v>
          </cell>
        </row>
        <row r="216">
          <cell r="AO216" t="str">
            <v>65b</v>
          </cell>
        </row>
        <row r="218">
          <cell r="AO218" t="str">
            <v>65b</v>
          </cell>
        </row>
        <row r="219">
          <cell r="AO219" t="str">
            <v>66x</v>
          </cell>
        </row>
        <row r="220">
          <cell r="AO220" t="str">
            <v>9</v>
          </cell>
        </row>
        <row r="222">
          <cell r="AO222" t="str">
            <v>65b</v>
          </cell>
        </row>
        <row r="223">
          <cell r="AO223" t="str">
            <v>66a</v>
          </cell>
        </row>
        <row r="224">
          <cell r="AO224" t="str">
            <v>65a</v>
          </cell>
        </row>
        <row r="225">
          <cell r="AO225" t="str">
            <v>65a</v>
          </cell>
        </row>
        <row r="227">
          <cell r="AO227" t="str">
            <v>65a</v>
          </cell>
        </row>
        <row r="228">
          <cell r="AO228" t="str">
            <v xml:space="preserve"> </v>
          </cell>
        </row>
        <row r="229">
          <cell r="AO229" t="str">
            <v>65b</v>
          </cell>
        </row>
        <row r="230">
          <cell r="AO230" t="str">
            <v>65b</v>
          </cell>
        </row>
        <row r="231">
          <cell r="AO231" t="str">
            <v>65b</v>
          </cell>
        </row>
        <row r="234">
          <cell r="AO234" t="str">
            <v xml:space="preserve"> </v>
          </cell>
        </row>
        <row r="235">
          <cell r="AO235" t="str">
            <v xml:space="preserve"> </v>
          </cell>
        </row>
        <row r="236">
          <cell r="AO236" t="str">
            <v xml:space="preserve"> </v>
          </cell>
        </row>
        <row r="237">
          <cell r="AO237" t="str">
            <v xml:space="preserve"> </v>
          </cell>
        </row>
        <row r="238">
          <cell r="AO238" t="str">
            <v>65a</v>
          </cell>
        </row>
        <row r="239">
          <cell r="AO239" t="str">
            <v>65a</v>
          </cell>
        </row>
        <row r="240">
          <cell r="AO240" t="str">
            <v>65a</v>
          </cell>
        </row>
        <row r="241">
          <cell r="AO241" t="str">
            <v>65a</v>
          </cell>
        </row>
        <row r="243">
          <cell r="AO243" t="str">
            <v>65a</v>
          </cell>
        </row>
        <row r="244">
          <cell r="AO244" t="str">
            <v>65a</v>
          </cell>
        </row>
        <row r="245">
          <cell r="AO245" t="str">
            <v>65a</v>
          </cell>
        </row>
        <row r="246">
          <cell r="AO246" t="str">
            <v>65a</v>
          </cell>
        </row>
        <row r="247">
          <cell r="AO247" t="str">
            <v>65a</v>
          </cell>
        </row>
        <row r="248">
          <cell r="AO248" t="str">
            <v>65a</v>
          </cell>
        </row>
        <row r="249">
          <cell r="AO249" t="str">
            <v xml:space="preserve"> </v>
          </cell>
        </row>
        <row r="250">
          <cell r="AO250" t="str">
            <v xml:space="preserve"> </v>
          </cell>
        </row>
        <row r="251">
          <cell r="AO251" t="str">
            <v>65b</v>
          </cell>
        </row>
        <row r="254">
          <cell r="AO254" t="str">
            <v>65b</v>
          </cell>
        </row>
        <row r="256">
          <cell r="AO256" t="str">
            <v>65b</v>
          </cell>
        </row>
        <row r="257">
          <cell r="AO257" t="str">
            <v>65a</v>
          </cell>
        </row>
        <row r="258">
          <cell r="AO258" t="str">
            <v>65a</v>
          </cell>
        </row>
        <row r="259">
          <cell r="AO259" t="str">
            <v>65a</v>
          </cell>
        </row>
        <row r="260">
          <cell r="AO260" t="str">
            <v>65a</v>
          </cell>
        </row>
        <row r="267">
          <cell r="AO267" t="str">
            <v xml:space="preserve"> </v>
          </cell>
        </row>
        <row r="268">
          <cell r="AO268" t="str">
            <v>65b</v>
          </cell>
        </row>
        <row r="270">
          <cell r="AO270" t="str">
            <v>65a</v>
          </cell>
        </row>
        <row r="271">
          <cell r="AO271" t="str">
            <v>65b</v>
          </cell>
        </row>
        <row r="275">
          <cell r="AO275" t="str">
            <v>65b</v>
          </cell>
        </row>
        <row r="276">
          <cell r="AO276" t="str">
            <v>65a</v>
          </cell>
        </row>
        <row r="277">
          <cell r="AO277" t="str">
            <v>65a</v>
          </cell>
        </row>
        <row r="278">
          <cell r="AO278" t="str">
            <v>65a</v>
          </cell>
        </row>
        <row r="279">
          <cell r="AO279" t="str">
            <v>65a</v>
          </cell>
        </row>
        <row r="280">
          <cell r="AO280" t="str">
            <v>65a</v>
          </cell>
        </row>
        <row r="281">
          <cell r="AO281" t="str">
            <v>65a</v>
          </cell>
        </row>
        <row r="282">
          <cell r="AO282" t="str">
            <v>65a</v>
          </cell>
        </row>
        <row r="283">
          <cell r="AO283">
            <v>40</v>
          </cell>
        </row>
        <row r="285">
          <cell r="AO285" t="str">
            <v xml:space="preserve"> </v>
          </cell>
        </row>
        <row r="286">
          <cell r="AO286" t="str">
            <v xml:space="preserve"> </v>
          </cell>
        </row>
        <row r="287">
          <cell r="AO287" t="str">
            <v xml:space="preserve"> </v>
          </cell>
        </row>
        <row r="288">
          <cell r="AO288" t="str">
            <v xml:space="preserve"> </v>
          </cell>
        </row>
        <row r="289">
          <cell r="AO289" t="str">
            <v xml:space="preserve"> </v>
          </cell>
        </row>
        <row r="290">
          <cell r="AO290" t="str">
            <v xml:space="preserve"> </v>
          </cell>
        </row>
        <row r="291">
          <cell r="AO291" t="str">
            <v xml:space="preserve"> </v>
          </cell>
        </row>
        <row r="293">
          <cell r="AO293" t="str">
            <v xml:space="preserve"> </v>
          </cell>
        </row>
        <row r="294">
          <cell r="AO294" t="str">
            <v>65b</v>
          </cell>
        </row>
        <row r="295">
          <cell r="AO295" t="str">
            <v>65b</v>
          </cell>
        </row>
        <row r="296">
          <cell r="AO296" t="str">
            <v xml:space="preserve"> </v>
          </cell>
        </row>
        <row r="297">
          <cell r="AO297" t="str">
            <v>65b</v>
          </cell>
        </row>
        <row r="305">
          <cell r="AO305" t="str">
            <v xml:space="preserve"> </v>
          </cell>
        </row>
        <row r="306">
          <cell r="AO306" t="str">
            <v xml:space="preserve"> </v>
          </cell>
        </row>
        <row r="307">
          <cell r="AO307" t="str">
            <v xml:space="preserve"> </v>
          </cell>
        </row>
        <row r="308">
          <cell r="AO308" t="str">
            <v>65a</v>
          </cell>
        </row>
        <row r="310">
          <cell r="AO310" t="str">
            <v>65b</v>
          </cell>
        </row>
        <row r="312">
          <cell r="AO312" t="str">
            <v>65a</v>
          </cell>
        </row>
        <row r="314">
          <cell r="AO314" t="str">
            <v>65a</v>
          </cell>
        </row>
        <row r="318">
          <cell r="AO318" t="str">
            <v>65b</v>
          </cell>
        </row>
        <row r="319">
          <cell r="AO319" t="str">
            <v>65a</v>
          </cell>
        </row>
        <row r="321">
          <cell r="AO321" t="str">
            <v>41</v>
          </cell>
        </row>
        <row r="322">
          <cell r="AO322" t="str">
            <v>65a</v>
          </cell>
        </row>
        <row r="323">
          <cell r="AO323" t="str">
            <v>65a</v>
          </cell>
        </row>
        <row r="324">
          <cell r="AO324" t="str">
            <v>65a</v>
          </cell>
        </row>
        <row r="325">
          <cell r="AO325" t="str">
            <v>65a</v>
          </cell>
        </row>
        <row r="326">
          <cell r="AO326" t="str">
            <v>65a</v>
          </cell>
        </row>
        <row r="327">
          <cell r="AO327" t="str">
            <v>65b</v>
          </cell>
        </row>
        <row r="328">
          <cell r="AO328" t="str">
            <v>65b</v>
          </cell>
        </row>
        <row r="329">
          <cell r="AO329" t="str">
            <v>65b</v>
          </cell>
        </row>
        <row r="330">
          <cell r="AO330" t="str">
            <v>65b</v>
          </cell>
        </row>
        <row r="331">
          <cell r="AO331" t="str">
            <v>65b</v>
          </cell>
        </row>
        <row r="332">
          <cell r="AO332" t="str">
            <v>65a</v>
          </cell>
        </row>
        <row r="333">
          <cell r="AO333" t="str">
            <v>65a</v>
          </cell>
        </row>
        <row r="335">
          <cell r="AO335" t="str">
            <v>65a</v>
          </cell>
        </row>
        <row r="336">
          <cell r="AO336" t="str">
            <v>65a</v>
          </cell>
        </row>
        <row r="338">
          <cell r="AO338" t="str">
            <v>65a</v>
          </cell>
        </row>
        <row r="339">
          <cell r="AO339" t="str">
            <v>65a</v>
          </cell>
        </row>
        <row r="340">
          <cell r="AO340" t="str">
            <v>65a</v>
          </cell>
        </row>
        <row r="341">
          <cell r="AO341" t="str">
            <v>65a</v>
          </cell>
        </row>
        <row r="342">
          <cell r="AO342" t="str">
            <v>65a</v>
          </cell>
        </row>
        <row r="344">
          <cell r="AO344" t="str">
            <v>65a</v>
          </cell>
        </row>
        <row r="356">
          <cell r="AO356" t="str">
            <v>65a</v>
          </cell>
        </row>
        <row r="357">
          <cell r="AO357" t="str">
            <v>65a</v>
          </cell>
        </row>
        <row r="358">
          <cell r="AO358" t="str">
            <v>65b</v>
          </cell>
        </row>
        <row r="359">
          <cell r="AO359" t="str">
            <v>65a</v>
          </cell>
        </row>
        <row r="360">
          <cell r="AO360" t="str">
            <v>65a</v>
          </cell>
        </row>
        <row r="362">
          <cell r="AO362" t="str">
            <v>65a</v>
          </cell>
        </row>
        <row r="365">
          <cell r="AO365" t="str">
            <v>65a</v>
          </cell>
        </row>
        <row r="366">
          <cell r="AO366" t="str">
            <v>65a</v>
          </cell>
        </row>
        <row r="371">
          <cell r="AO371" t="str">
            <v>65b</v>
          </cell>
        </row>
        <row r="372">
          <cell r="AO372" t="str">
            <v>65a</v>
          </cell>
        </row>
        <row r="373">
          <cell r="AO373" t="str">
            <v>65a</v>
          </cell>
        </row>
        <row r="374">
          <cell r="AO374" t="str">
            <v>65a</v>
          </cell>
        </row>
        <row r="375">
          <cell r="AO375" t="str">
            <v>65a</v>
          </cell>
        </row>
        <row r="377">
          <cell r="AO377" t="str">
            <v>65a</v>
          </cell>
        </row>
        <row r="379">
          <cell r="AO379" t="str">
            <v>65b</v>
          </cell>
        </row>
        <row r="380">
          <cell r="AO380" t="str">
            <v>65a</v>
          </cell>
        </row>
        <row r="382">
          <cell r="AO382" t="str">
            <v>65a</v>
          </cell>
        </row>
        <row r="383">
          <cell r="AO383" t="str">
            <v>65a</v>
          </cell>
        </row>
        <row r="385">
          <cell r="AO385" t="str">
            <v>65a</v>
          </cell>
        </row>
        <row r="386">
          <cell r="AO386">
            <v>41</v>
          </cell>
        </row>
        <row r="387">
          <cell r="AO387">
            <v>41</v>
          </cell>
        </row>
        <row r="388">
          <cell r="AO388">
            <v>41</v>
          </cell>
        </row>
        <row r="389">
          <cell r="AO389">
            <v>41</v>
          </cell>
        </row>
        <row r="390">
          <cell r="AO390">
            <v>41</v>
          </cell>
        </row>
        <row r="391">
          <cell r="AO391" t="str">
            <v>41</v>
          </cell>
        </row>
        <row r="392">
          <cell r="AO392">
            <v>41</v>
          </cell>
        </row>
        <row r="393">
          <cell r="AO393">
            <v>41</v>
          </cell>
        </row>
        <row r="394">
          <cell r="AO394">
            <v>41</v>
          </cell>
        </row>
        <row r="395">
          <cell r="AO395">
            <v>41</v>
          </cell>
        </row>
        <row r="396">
          <cell r="AO396">
            <v>41</v>
          </cell>
        </row>
        <row r="397">
          <cell r="AO397">
            <v>41</v>
          </cell>
        </row>
        <row r="398">
          <cell r="AO398">
            <v>41</v>
          </cell>
        </row>
        <row r="399">
          <cell r="AO399" t="str">
            <v>41</v>
          </cell>
        </row>
        <row r="400">
          <cell r="AO400" t="str">
            <v>41</v>
          </cell>
        </row>
        <row r="401">
          <cell r="AO401" t="str">
            <v>41</v>
          </cell>
        </row>
        <row r="402">
          <cell r="AO402" t="str">
            <v>41</v>
          </cell>
        </row>
        <row r="403">
          <cell r="AO403" t="str">
            <v>41</v>
          </cell>
        </row>
        <row r="404">
          <cell r="AO404" t="str">
            <v>41</v>
          </cell>
        </row>
        <row r="405">
          <cell r="AO405" t="str">
            <v>41</v>
          </cell>
        </row>
        <row r="406">
          <cell r="AO406" t="str">
            <v>41</v>
          </cell>
        </row>
        <row r="407">
          <cell r="AO407" t="str">
            <v>41</v>
          </cell>
        </row>
        <row r="408">
          <cell r="AO408" t="str">
            <v xml:space="preserve"> </v>
          </cell>
        </row>
        <row r="409">
          <cell r="AO409" t="str">
            <v>65b</v>
          </cell>
        </row>
        <row r="410">
          <cell r="AO410" t="str">
            <v xml:space="preserve"> </v>
          </cell>
        </row>
        <row r="412">
          <cell r="AO412" t="str">
            <v>65b</v>
          </cell>
        </row>
        <row r="414">
          <cell r="AO414" t="str">
            <v>41</v>
          </cell>
        </row>
        <row r="415">
          <cell r="AO415" t="str">
            <v>41</v>
          </cell>
        </row>
        <row r="416">
          <cell r="AO416" t="str">
            <v>41</v>
          </cell>
        </row>
        <row r="417">
          <cell r="AO417" t="str">
            <v>41</v>
          </cell>
        </row>
        <row r="418">
          <cell r="AO418" t="str">
            <v>5</v>
          </cell>
        </row>
        <row r="419">
          <cell r="AO419" t="str">
            <v>5</v>
          </cell>
        </row>
        <row r="420">
          <cell r="AO420" t="str">
            <v>5</v>
          </cell>
        </row>
        <row r="421">
          <cell r="AO421" t="str">
            <v>5</v>
          </cell>
        </row>
        <row r="422">
          <cell r="AO422" t="str">
            <v>5</v>
          </cell>
        </row>
        <row r="423">
          <cell r="AO423" t="str">
            <v>5</v>
          </cell>
        </row>
        <row r="424">
          <cell r="AO424" t="str">
            <v>5</v>
          </cell>
        </row>
        <row r="425">
          <cell r="AO425" t="str">
            <v>5</v>
          </cell>
        </row>
        <row r="426">
          <cell r="AO426" t="str">
            <v>5</v>
          </cell>
        </row>
        <row r="427">
          <cell r="AO427" t="str">
            <v>5</v>
          </cell>
        </row>
        <row r="428">
          <cell r="AO428" t="str">
            <v>5</v>
          </cell>
        </row>
        <row r="429">
          <cell r="AO429" t="str">
            <v>5</v>
          </cell>
        </row>
        <row r="430">
          <cell r="AO430" t="str">
            <v>5</v>
          </cell>
        </row>
        <row r="431">
          <cell r="AO431" t="str">
            <v>5</v>
          </cell>
        </row>
        <row r="432">
          <cell r="AO432" t="str">
            <v>5</v>
          </cell>
        </row>
        <row r="433">
          <cell r="AO433" t="str">
            <v>5</v>
          </cell>
        </row>
        <row r="434">
          <cell r="AO434" t="str">
            <v>5</v>
          </cell>
        </row>
        <row r="435">
          <cell r="AO435" t="str">
            <v>5</v>
          </cell>
        </row>
        <row r="436">
          <cell r="AO436" t="str">
            <v>5</v>
          </cell>
        </row>
        <row r="437">
          <cell r="AO437" t="str">
            <v>5</v>
          </cell>
        </row>
        <row r="438">
          <cell r="AO438" t="str">
            <v>5</v>
          </cell>
        </row>
        <row r="439">
          <cell r="AO439" t="str">
            <v>5</v>
          </cell>
        </row>
        <row r="440">
          <cell r="AO440" t="str">
            <v>5</v>
          </cell>
        </row>
        <row r="441">
          <cell r="AO441" t="str">
            <v>5</v>
          </cell>
        </row>
        <row r="442">
          <cell r="AO442" t="str">
            <v>5</v>
          </cell>
        </row>
        <row r="443">
          <cell r="AO443" t="str">
            <v>5</v>
          </cell>
        </row>
        <row r="444">
          <cell r="AO444" t="str">
            <v>5</v>
          </cell>
        </row>
        <row r="445">
          <cell r="AO445" t="str">
            <v>5</v>
          </cell>
        </row>
        <row r="446">
          <cell r="AO446" t="str">
            <v>5</v>
          </cell>
        </row>
        <row r="447">
          <cell r="AO447" t="str">
            <v>5</v>
          </cell>
        </row>
        <row r="448">
          <cell r="AO448" t="str">
            <v>5</v>
          </cell>
        </row>
        <row r="449">
          <cell r="AO449" t="str">
            <v>5</v>
          </cell>
        </row>
        <row r="450">
          <cell r="AO450" t="str">
            <v>5</v>
          </cell>
        </row>
        <row r="451">
          <cell r="AO451" t="str">
            <v>5</v>
          </cell>
        </row>
        <row r="452">
          <cell r="AO452" t="str">
            <v>5</v>
          </cell>
        </row>
        <row r="453">
          <cell r="AO453" t="str">
            <v>5</v>
          </cell>
        </row>
        <row r="454">
          <cell r="AO454" t="str">
            <v>5</v>
          </cell>
        </row>
        <row r="455">
          <cell r="AO455" t="str">
            <v>5</v>
          </cell>
        </row>
        <row r="456">
          <cell r="AO456" t="str">
            <v>5</v>
          </cell>
        </row>
        <row r="457">
          <cell r="AO457" t="str">
            <v>5</v>
          </cell>
        </row>
        <row r="458">
          <cell r="AO458" t="str">
            <v>5</v>
          </cell>
        </row>
        <row r="459">
          <cell r="AO459" t="str">
            <v>5</v>
          </cell>
        </row>
        <row r="460">
          <cell r="AO460" t="str">
            <v>5</v>
          </cell>
        </row>
        <row r="461">
          <cell r="AO461" t="str">
            <v>5</v>
          </cell>
        </row>
        <row r="462">
          <cell r="AO462" t="str">
            <v>5</v>
          </cell>
        </row>
        <row r="463">
          <cell r="AO463" t="str">
            <v>5</v>
          </cell>
        </row>
        <row r="464">
          <cell r="AO464" t="str">
            <v>5</v>
          </cell>
        </row>
        <row r="465">
          <cell r="AO465" t="str">
            <v>5</v>
          </cell>
        </row>
        <row r="466">
          <cell r="AO466" t="str">
            <v xml:space="preserve"> </v>
          </cell>
        </row>
        <row r="467">
          <cell r="AO467" t="str">
            <v xml:space="preserve"> </v>
          </cell>
        </row>
        <row r="471">
          <cell r="AO471" t="str">
            <v>23</v>
          </cell>
        </row>
        <row r="472">
          <cell r="AO472" t="str">
            <v>65</v>
          </cell>
        </row>
        <row r="473">
          <cell r="AO473" t="str">
            <v>65</v>
          </cell>
        </row>
        <row r="474">
          <cell r="AO474" t="str">
            <v>47</v>
          </cell>
        </row>
        <row r="475">
          <cell r="AO475" t="str">
            <v>65a</v>
          </cell>
        </row>
        <row r="476">
          <cell r="AO476" t="str">
            <v>23</v>
          </cell>
        </row>
        <row r="477">
          <cell r="AO477" t="str">
            <v>65</v>
          </cell>
        </row>
        <row r="478">
          <cell r="AO478" t="str">
            <v>23</v>
          </cell>
        </row>
        <row r="479">
          <cell r="AO479">
            <v>65</v>
          </cell>
        </row>
        <row r="480">
          <cell r="AO480" t="str">
            <v>23</v>
          </cell>
        </row>
        <row r="481">
          <cell r="AO481" t="str">
            <v>23</v>
          </cell>
        </row>
        <row r="482">
          <cell r="AO482">
            <v>65</v>
          </cell>
        </row>
        <row r="483">
          <cell r="AO483" t="str">
            <v>23</v>
          </cell>
        </row>
        <row r="484">
          <cell r="AO484" t="str">
            <v>23</v>
          </cell>
        </row>
        <row r="485">
          <cell r="AO485">
            <v>65</v>
          </cell>
        </row>
        <row r="486">
          <cell r="AO486" t="str">
            <v>23</v>
          </cell>
        </row>
        <row r="487">
          <cell r="AO487">
            <v>65</v>
          </cell>
        </row>
        <row r="488">
          <cell r="AO488" t="str">
            <v>6</v>
          </cell>
        </row>
        <row r="489">
          <cell r="AO489" t="str">
            <v>65b</v>
          </cell>
        </row>
        <row r="493">
          <cell r="AO493" t="str">
            <v>6</v>
          </cell>
        </row>
        <row r="494">
          <cell r="AO494" t="str">
            <v>23</v>
          </cell>
        </row>
        <row r="495">
          <cell r="AO495" t="str">
            <v>6</v>
          </cell>
        </row>
        <row r="496">
          <cell r="AO496" t="str">
            <v xml:space="preserve"> </v>
          </cell>
        </row>
        <row r="497">
          <cell r="AO497" t="str">
            <v>6</v>
          </cell>
        </row>
        <row r="498">
          <cell r="AO498" t="str">
            <v>6</v>
          </cell>
        </row>
        <row r="499">
          <cell r="AO499" t="str">
            <v>26</v>
          </cell>
        </row>
        <row r="500">
          <cell r="AO500" t="str">
            <v xml:space="preserve"> </v>
          </cell>
        </row>
        <row r="501">
          <cell r="AO501" t="str">
            <v>47</v>
          </cell>
        </row>
        <row r="502">
          <cell r="AO502" t="str">
            <v>47</v>
          </cell>
        </row>
        <row r="503">
          <cell r="AO503" t="str">
            <v>47</v>
          </cell>
        </row>
        <row r="504">
          <cell r="AO504" t="str">
            <v>47</v>
          </cell>
        </row>
        <row r="505">
          <cell r="AO505">
            <v>65</v>
          </cell>
        </row>
        <row r="506">
          <cell r="AO506">
            <v>65</v>
          </cell>
        </row>
        <row r="507">
          <cell r="AO507">
            <v>65</v>
          </cell>
        </row>
        <row r="508">
          <cell r="AO508">
            <v>65</v>
          </cell>
        </row>
        <row r="509">
          <cell r="AO509">
            <v>65</v>
          </cell>
        </row>
        <row r="510">
          <cell r="AO510">
            <v>65</v>
          </cell>
        </row>
        <row r="511">
          <cell r="AO511">
            <v>65</v>
          </cell>
        </row>
        <row r="512">
          <cell r="AO512">
            <v>65</v>
          </cell>
        </row>
        <row r="513">
          <cell r="AO513" t="str">
            <v>47</v>
          </cell>
        </row>
        <row r="514">
          <cell r="AO514">
            <v>65</v>
          </cell>
        </row>
        <row r="515">
          <cell r="AO515">
            <v>65</v>
          </cell>
        </row>
        <row r="516">
          <cell r="AO516">
            <v>65</v>
          </cell>
        </row>
        <row r="517">
          <cell r="AO517">
            <v>65</v>
          </cell>
        </row>
        <row r="518">
          <cell r="AO518" t="str">
            <v>47</v>
          </cell>
        </row>
        <row r="519">
          <cell r="AO519" t="str">
            <v>47</v>
          </cell>
        </row>
        <row r="520">
          <cell r="AO520" t="str">
            <v>47</v>
          </cell>
        </row>
        <row r="521">
          <cell r="AO521" t="str">
            <v>47</v>
          </cell>
        </row>
        <row r="522">
          <cell r="AO522" t="str">
            <v>47</v>
          </cell>
        </row>
        <row r="524">
          <cell r="AO524" t="str">
            <v xml:space="preserve"> </v>
          </cell>
        </row>
        <row r="525">
          <cell r="AO525" t="str">
            <v>65</v>
          </cell>
        </row>
        <row r="526">
          <cell r="AO526" t="str">
            <v>66</v>
          </cell>
        </row>
        <row r="569">
          <cell r="AO569" t="str">
            <v>65b</v>
          </cell>
        </row>
        <row r="570">
          <cell r="AO570" t="str">
            <v>65b</v>
          </cell>
        </row>
        <row r="571">
          <cell r="AO571" t="str">
            <v>65b</v>
          </cell>
        </row>
        <row r="572">
          <cell r="AO572" t="str">
            <v>65b</v>
          </cell>
        </row>
        <row r="573">
          <cell r="AO573" t="str">
            <v>65b</v>
          </cell>
        </row>
        <row r="574">
          <cell r="AO574" t="str">
            <v>65b</v>
          </cell>
        </row>
        <row r="575">
          <cell r="AO575" t="str">
            <v>65b</v>
          </cell>
        </row>
        <row r="576">
          <cell r="AO576" t="str">
            <v>65b</v>
          </cell>
        </row>
        <row r="577">
          <cell r="AO577" t="str">
            <v>65b</v>
          </cell>
        </row>
        <row r="578">
          <cell r="AO578" t="str">
            <v>65b</v>
          </cell>
        </row>
        <row r="582">
          <cell r="AO582" t="str">
            <v>65</v>
          </cell>
        </row>
        <row r="584">
          <cell r="AO584" t="str">
            <v>65</v>
          </cell>
        </row>
        <row r="585">
          <cell r="AO585" t="str">
            <v>65a</v>
          </cell>
        </row>
        <row r="587">
          <cell r="AO587" t="str">
            <v>65</v>
          </cell>
        </row>
        <row r="589">
          <cell r="AO589" t="str">
            <v>65</v>
          </cell>
        </row>
        <row r="591">
          <cell r="AO591" t="str">
            <v>52</v>
          </cell>
        </row>
        <row r="592">
          <cell r="AO592" t="str">
            <v>52</v>
          </cell>
        </row>
        <row r="593">
          <cell r="AO593" t="str">
            <v>52</v>
          </cell>
        </row>
        <row r="594">
          <cell r="AO594" t="str">
            <v>66</v>
          </cell>
        </row>
        <row r="595">
          <cell r="AO595" t="str">
            <v>66</v>
          </cell>
        </row>
        <row r="596">
          <cell r="AO596" t="str">
            <v>66</v>
          </cell>
        </row>
        <row r="597">
          <cell r="AO597" t="str">
            <v>66</v>
          </cell>
        </row>
        <row r="598">
          <cell r="AO598" t="str">
            <v>66</v>
          </cell>
        </row>
        <row r="599">
          <cell r="AO599" t="str">
            <v>66</v>
          </cell>
        </row>
        <row r="600">
          <cell r="AO600" t="str">
            <v>66</v>
          </cell>
        </row>
        <row r="601">
          <cell r="AO601" t="str">
            <v>66</v>
          </cell>
        </row>
        <row r="602">
          <cell r="AO602" t="str">
            <v>66</v>
          </cell>
        </row>
        <row r="603">
          <cell r="AO603" t="str">
            <v>66</v>
          </cell>
        </row>
        <row r="604">
          <cell r="AO604" t="str">
            <v>66</v>
          </cell>
        </row>
        <row r="605">
          <cell r="AO605" t="str">
            <v>66</v>
          </cell>
        </row>
        <row r="606">
          <cell r="AO606" t="str">
            <v>66</v>
          </cell>
        </row>
        <row r="607">
          <cell r="AO607" t="str">
            <v>66</v>
          </cell>
        </row>
        <row r="608">
          <cell r="AO608" t="str">
            <v>66</v>
          </cell>
        </row>
        <row r="609">
          <cell r="AO609" t="str">
            <v>66</v>
          </cell>
        </row>
        <row r="610">
          <cell r="AO610" t="str">
            <v>66</v>
          </cell>
        </row>
        <row r="611">
          <cell r="AO611" t="str">
            <v>66</v>
          </cell>
        </row>
        <row r="612">
          <cell r="AO612" t="str">
            <v>66</v>
          </cell>
        </row>
        <row r="613">
          <cell r="AO613" t="str">
            <v>66</v>
          </cell>
        </row>
        <row r="614">
          <cell r="AO614" t="str">
            <v>66</v>
          </cell>
        </row>
        <row r="615">
          <cell r="AO615" t="str">
            <v>66</v>
          </cell>
        </row>
        <row r="616">
          <cell r="AO616" t="str">
            <v>66</v>
          </cell>
        </row>
        <row r="617">
          <cell r="AO617" t="str">
            <v>66</v>
          </cell>
        </row>
        <row r="618">
          <cell r="AO618" t="str">
            <v>66</v>
          </cell>
        </row>
        <row r="619">
          <cell r="AO619" t="str">
            <v>66</v>
          </cell>
        </row>
        <row r="620">
          <cell r="AO620" t="str">
            <v>66</v>
          </cell>
        </row>
        <row r="621">
          <cell r="AO621" t="str">
            <v>66</v>
          </cell>
        </row>
        <row r="622">
          <cell r="AO622" t="str">
            <v>66</v>
          </cell>
        </row>
        <row r="623">
          <cell r="AO623" t="str">
            <v>66</v>
          </cell>
        </row>
        <row r="624">
          <cell r="AO624" t="str">
            <v>66</v>
          </cell>
        </row>
        <row r="625">
          <cell r="AO625" t="str">
            <v>66</v>
          </cell>
        </row>
        <row r="626">
          <cell r="AO626" t="str">
            <v>66</v>
          </cell>
        </row>
        <row r="627">
          <cell r="AO627" t="str">
            <v>66</v>
          </cell>
        </row>
        <row r="628">
          <cell r="AO628" t="str">
            <v>46</v>
          </cell>
        </row>
        <row r="629">
          <cell r="AO629" t="str">
            <v>45</v>
          </cell>
        </row>
        <row r="630">
          <cell r="AO630" t="str">
            <v>46</v>
          </cell>
        </row>
        <row r="631">
          <cell r="AO631" t="str">
            <v>11</v>
          </cell>
        </row>
        <row r="632">
          <cell r="AO632" t="str">
            <v>65a</v>
          </cell>
        </row>
        <row r="633">
          <cell r="AO633" t="str">
            <v>65a</v>
          </cell>
        </row>
        <row r="634">
          <cell r="AO634" t="str">
            <v>47</v>
          </cell>
        </row>
        <row r="635">
          <cell r="AO635" t="str">
            <v>66</v>
          </cell>
        </row>
        <row r="636">
          <cell r="AO636" t="str">
            <v>65</v>
          </cell>
        </row>
        <row r="637">
          <cell r="AO637" t="str">
            <v>65a</v>
          </cell>
        </row>
        <row r="638">
          <cell r="AO638" t="str">
            <v>47</v>
          </cell>
        </row>
        <row r="639">
          <cell r="AO639" t="str">
            <v>47</v>
          </cell>
        </row>
        <row r="640">
          <cell r="AO640" t="str">
            <v>47</v>
          </cell>
        </row>
        <row r="641">
          <cell r="AO641" t="str">
            <v>65</v>
          </cell>
        </row>
        <row r="642">
          <cell r="AO642" t="str">
            <v>65a</v>
          </cell>
        </row>
        <row r="643">
          <cell r="AO643" t="str">
            <v>46</v>
          </cell>
        </row>
        <row r="645">
          <cell r="AO645" t="str">
            <v>11</v>
          </cell>
        </row>
        <row r="646">
          <cell r="AO646">
            <v>65</v>
          </cell>
        </row>
        <row r="647">
          <cell r="AO647" t="str">
            <v>66A</v>
          </cell>
        </row>
        <row r="652">
          <cell r="AO652" t="str">
            <v>11</v>
          </cell>
        </row>
        <row r="653">
          <cell r="AO653" t="str">
            <v>11</v>
          </cell>
        </row>
        <row r="654">
          <cell r="AO654" t="str">
            <v>11</v>
          </cell>
        </row>
        <row r="656">
          <cell r="AO656" t="str">
            <v>11</v>
          </cell>
        </row>
        <row r="657">
          <cell r="AO657" t="str">
            <v>65</v>
          </cell>
        </row>
        <row r="658">
          <cell r="AO658" t="str">
            <v>11</v>
          </cell>
        </row>
        <row r="659">
          <cell r="AO659" t="str">
            <v>11</v>
          </cell>
        </row>
        <row r="660">
          <cell r="AO660" t="str">
            <v>65</v>
          </cell>
        </row>
        <row r="661">
          <cell r="AO661">
            <v>65</v>
          </cell>
        </row>
        <row r="664">
          <cell r="AO664" t="str">
            <v>11</v>
          </cell>
        </row>
        <row r="665">
          <cell r="AO665" t="str">
            <v>41</v>
          </cell>
        </row>
        <row r="666">
          <cell r="AO666" t="str">
            <v>41</v>
          </cell>
        </row>
        <row r="667">
          <cell r="AO667" t="str">
            <v>41</v>
          </cell>
        </row>
        <row r="668">
          <cell r="AO668" t="str">
            <v>41</v>
          </cell>
        </row>
        <row r="669">
          <cell r="AO669" t="str">
            <v>41</v>
          </cell>
        </row>
        <row r="670">
          <cell r="AO670" t="str">
            <v>41</v>
          </cell>
        </row>
        <row r="671">
          <cell r="AO671" t="str">
            <v>11</v>
          </cell>
        </row>
        <row r="672">
          <cell r="AO672" t="str">
            <v>41</v>
          </cell>
        </row>
        <row r="673">
          <cell r="AO673" t="str">
            <v>11</v>
          </cell>
        </row>
        <row r="674">
          <cell r="AO674" t="str">
            <v>11</v>
          </cell>
        </row>
        <row r="675">
          <cell r="AO675" t="str">
            <v>11</v>
          </cell>
        </row>
        <row r="676">
          <cell r="AO676" t="str">
            <v>11</v>
          </cell>
        </row>
        <row r="677">
          <cell r="AO677" t="str">
            <v>11</v>
          </cell>
        </row>
        <row r="678">
          <cell r="AO678" t="str">
            <v>41</v>
          </cell>
        </row>
        <row r="679">
          <cell r="AO679">
            <v>65</v>
          </cell>
        </row>
        <row r="680">
          <cell r="AO680">
            <v>65</v>
          </cell>
        </row>
        <row r="681">
          <cell r="AO681">
            <v>65</v>
          </cell>
        </row>
        <row r="682">
          <cell r="AO682">
            <v>65</v>
          </cell>
        </row>
        <row r="683">
          <cell r="AO683">
            <v>65</v>
          </cell>
        </row>
        <row r="684">
          <cell r="AO684">
            <v>65</v>
          </cell>
        </row>
        <row r="685">
          <cell r="AO685">
            <v>65</v>
          </cell>
        </row>
        <row r="686">
          <cell r="AO686">
            <v>65</v>
          </cell>
        </row>
        <row r="687">
          <cell r="AO687">
            <v>65</v>
          </cell>
        </row>
        <row r="688">
          <cell r="AO688">
            <v>65</v>
          </cell>
        </row>
        <row r="689">
          <cell r="AO689">
            <v>65</v>
          </cell>
        </row>
        <row r="690">
          <cell r="AO690">
            <v>65</v>
          </cell>
        </row>
        <row r="691">
          <cell r="AO691">
            <v>65</v>
          </cell>
        </row>
        <row r="692">
          <cell r="AO692">
            <v>65</v>
          </cell>
        </row>
        <row r="693">
          <cell r="AO693">
            <v>65</v>
          </cell>
        </row>
        <row r="694">
          <cell r="AO694">
            <v>65</v>
          </cell>
        </row>
        <row r="695">
          <cell r="AO695">
            <v>65</v>
          </cell>
        </row>
        <row r="696">
          <cell r="AO696">
            <v>65</v>
          </cell>
        </row>
        <row r="697">
          <cell r="AO697">
            <v>65</v>
          </cell>
        </row>
        <row r="698">
          <cell r="AO698">
            <v>65</v>
          </cell>
        </row>
        <row r="699">
          <cell r="AO699">
            <v>65</v>
          </cell>
        </row>
        <row r="700">
          <cell r="AO700">
            <v>65</v>
          </cell>
        </row>
        <row r="701">
          <cell r="AO701" t="str">
            <v>65</v>
          </cell>
        </row>
        <row r="702">
          <cell r="AO702">
            <v>65</v>
          </cell>
        </row>
        <row r="703">
          <cell r="AO703" t="str">
            <v>65</v>
          </cell>
        </row>
        <row r="705">
          <cell r="AO705" t="str">
            <v>23</v>
          </cell>
        </row>
        <row r="706">
          <cell r="AO706" t="str">
            <v>12</v>
          </cell>
        </row>
        <row r="707">
          <cell r="AO707" t="str">
            <v>12</v>
          </cell>
        </row>
        <row r="708">
          <cell r="AO708" t="str">
            <v>12</v>
          </cell>
        </row>
        <row r="709">
          <cell r="AO709" t="str">
            <v>12</v>
          </cell>
        </row>
        <row r="710">
          <cell r="AO710" t="str">
            <v>12</v>
          </cell>
        </row>
        <row r="711">
          <cell r="AO711" t="str">
            <v>12</v>
          </cell>
        </row>
        <row r="712">
          <cell r="AO712" t="str">
            <v>12</v>
          </cell>
        </row>
        <row r="713">
          <cell r="AO713" t="str">
            <v>12</v>
          </cell>
        </row>
        <row r="714">
          <cell r="AO714" t="str">
            <v>12</v>
          </cell>
        </row>
        <row r="715">
          <cell r="AO715" t="str">
            <v>12</v>
          </cell>
        </row>
        <row r="716">
          <cell r="AO716" t="str">
            <v>12</v>
          </cell>
        </row>
        <row r="717">
          <cell r="AO717" t="str">
            <v>12</v>
          </cell>
        </row>
        <row r="718">
          <cell r="AO718" t="str">
            <v>12</v>
          </cell>
        </row>
        <row r="719">
          <cell r="AO719" t="str">
            <v>12</v>
          </cell>
        </row>
        <row r="720">
          <cell r="AO720" t="str">
            <v>12</v>
          </cell>
        </row>
        <row r="721">
          <cell r="AO721" t="str">
            <v>12</v>
          </cell>
        </row>
        <row r="722">
          <cell r="AO722" t="str">
            <v>12</v>
          </cell>
        </row>
        <row r="723">
          <cell r="AO723" t="str">
            <v>12</v>
          </cell>
        </row>
        <row r="724">
          <cell r="AO724" t="str">
            <v>12</v>
          </cell>
        </row>
        <row r="725">
          <cell r="AO725" t="str">
            <v>12</v>
          </cell>
        </row>
        <row r="726">
          <cell r="AO726" t="str">
            <v>12</v>
          </cell>
        </row>
        <row r="727">
          <cell r="AO727" t="str">
            <v>12</v>
          </cell>
        </row>
        <row r="728">
          <cell r="AO728" t="str">
            <v>12</v>
          </cell>
        </row>
        <row r="729">
          <cell r="AO729" t="str">
            <v>12</v>
          </cell>
        </row>
        <row r="730">
          <cell r="AO730" t="str">
            <v>12</v>
          </cell>
        </row>
        <row r="731">
          <cell r="AO731" t="str">
            <v>12</v>
          </cell>
        </row>
        <row r="732">
          <cell r="AO732" t="str">
            <v>12</v>
          </cell>
        </row>
        <row r="733">
          <cell r="AO733" t="str">
            <v>12</v>
          </cell>
        </row>
        <row r="734">
          <cell r="AO734" t="str">
            <v>12</v>
          </cell>
        </row>
        <row r="735">
          <cell r="AO735">
            <v>65</v>
          </cell>
        </row>
        <row r="736">
          <cell r="AO736">
            <v>65</v>
          </cell>
        </row>
        <row r="737">
          <cell r="AO737">
            <v>65</v>
          </cell>
        </row>
        <row r="738">
          <cell r="AO738">
            <v>65</v>
          </cell>
        </row>
        <row r="739">
          <cell r="AO739" t="str">
            <v>65</v>
          </cell>
        </row>
        <row r="740">
          <cell r="AO740" t="str">
            <v>65</v>
          </cell>
        </row>
        <row r="741">
          <cell r="AO741" t="str">
            <v>65b</v>
          </cell>
        </row>
        <row r="744">
          <cell r="AO744" t="str">
            <v>6</v>
          </cell>
        </row>
        <row r="745">
          <cell r="AO745" t="str">
            <v>65b</v>
          </cell>
        </row>
        <row r="746">
          <cell r="AO746" t="str">
            <v>64</v>
          </cell>
        </row>
        <row r="747">
          <cell r="AO747" t="str">
            <v>50/67</v>
          </cell>
        </row>
        <row r="748">
          <cell r="AO748" t="str">
            <v>22</v>
          </cell>
        </row>
        <row r="749">
          <cell r="AO749" t="str">
            <v>22</v>
          </cell>
        </row>
        <row r="750">
          <cell r="AO750" t="str">
            <v>22</v>
          </cell>
        </row>
        <row r="751">
          <cell r="AO751" t="str">
            <v>6</v>
          </cell>
        </row>
        <row r="752">
          <cell r="AO752" t="str">
            <v>66</v>
          </cell>
        </row>
        <row r="753">
          <cell r="AO753" t="str">
            <v>31/66</v>
          </cell>
        </row>
        <row r="754">
          <cell r="AO754" t="str">
            <v>48</v>
          </cell>
        </row>
        <row r="755">
          <cell r="AO755" t="str">
            <v>48</v>
          </cell>
        </row>
        <row r="756">
          <cell r="AO756" t="str">
            <v>50/67</v>
          </cell>
        </row>
        <row r="757">
          <cell r="AO757" t="str">
            <v>50/67</v>
          </cell>
        </row>
        <row r="758">
          <cell r="AO758" t="str">
            <v>50/67</v>
          </cell>
        </row>
        <row r="759">
          <cell r="AO759" t="str">
            <v>48</v>
          </cell>
        </row>
        <row r="760">
          <cell r="AO760" t="str">
            <v>48</v>
          </cell>
        </row>
        <row r="761">
          <cell r="AO761" t="str">
            <v>22</v>
          </cell>
        </row>
        <row r="763">
          <cell r="AO763" t="str">
            <v>50/67</v>
          </cell>
        </row>
        <row r="764">
          <cell r="AO764" t="str">
            <v>50/67</v>
          </cell>
        </row>
        <row r="770">
          <cell r="AO770" t="str">
            <v>48</v>
          </cell>
        </row>
        <row r="771">
          <cell r="AO771" t="str">
            <v>65a</v>
          </cell>
        </row>
        <row r="775">
          <cell r="AO775" t="str">
            <v>50/67</v>
          </cell>
        </row>
        <row r="777">
          <cell r="AO777" t="str">
            <v>48</v>
          </cell>
        </row>
        <row r="780">
          <cell r="AO780" t="str">
            <v>41</v>
          </cell>
        </row>
        <row r="783">
          <cell r="AO783" t="str">
            <v>50/67</v>
          </cell>
        </row>
        <row r="784">
          <cell r="AO784" t="str">
            <v>50/67</v>
          </cell>
        </row>
        <row r="789">
          <cell r="AO789" t="str">
            <v>2</v>
          </cell>
        </row>
        <row r="790">
          <cell r="AO790" t="str">
            <v>3</v>
          </cell>
        </row>
        <row r="791">
          <cell r="AO791" t="str">
            <v>3</v>
          </cell>
        </row>
        <row r="792">
          <cell r="AO792" t="str">
            <v>3</v>
          </cell>
        </row>
        <row r="793">
          <cell r="AO793" t="str">
            <v>3</v>
          </cell>
        </row>
        <row r="794">
          <cell r="AO794" t="str">
            <v>3</v>
          </cell>
        </row>
        <row r="795">
          <cell r="AO795" t="str">
            <v>3</v>
          </cell>
        </row>
        <row r="796">
          <cell r="AO796" t="str">
            <v>3</v>
          </cell>
        </row>
        <row r="797">
          <cell r="AO797" t="str">
            <v>4</v>
          </cell>
        </row>
        <row r="798">
          <cell r="AO798" t="str">
            <v>4</v>
          </cell>
        </row>
        <row r="799">
          <cell r="AO799" t="str">
            <v>4</v>
          </cell>
        </row>
        <row r="800">
          <cell r="AO800" t="str">
            <v>4</v>
          </cell>
        </row>
        <row r="801">
          <cell r="AO801" t="str">
            <v>4</v>
          </cell>
        </row>
        <row r="802">
          <cell r="AO802" t="str">
            <v>41</v>
          </cell>
        </row>
        <row r="803">
          <cell r="AO803" t="str">
            <v>41</v>
          </cell>
        </row>
        <row r="804">
          <cell r="AO804" t="str">
            <v>41</v>
          </cell>
        </row>
        <row r="805">
          <cell r="AO805" t="str">
            <v>41</v>
          </cell>
        </row>
        <row r="806">
          <cell r="AO806" t="str">
            <v>41</v>
          </cell>
        </row>
        <row r="807">
          <cell r="AO807" t="str">
            <v>41</v>
          </cell>
        </row>
        <row r="808">
          <cell r="AO808" t="str">
            <v>4</v>
          </cell>
        </row>
        <row r="809">
          <cell r="AO809" t="str">
            <v>4</v>
          </cell>
        </row>
        <row r="810">
          <cell r="AO810" t="str">
            <v>4</v>
          </cell>
        </row>
        <row r="811">
          <cell r="AO811" t="str">
            <v>4</v>
          </cell>
        </row>
        <row r="812">
          <cell r="AO812" t="str">
            <v>6</v>
          </cell>
        </row>
        <row r="813">
          <cell r="AO813" t="str">
            <v>6</v>
          </cell>
        </row>
        <row r="814">
          <cell r="AO814" t="str">
            <v>6</v>
          </cell>
        </row>
        <row r="815">
          <cell r="AO815" t="str">
            <v>41</v>
          </cell>
        </row>
        <row r="816">
          <cell r="AO816" t="str">
            <v>6</v>
          </cell>
        </row>
        <row r="817">
          <cell r="AO817" t="str">
            <v>6</v>
          </cell>
        </row>
        <row r="818">
          <cell r="AO818" t="str">
            <v>6</v>
          </cell>
        </row>
        <row r="819">
          <cell r="AO819" t="str">
            <v>6</v>
          </cell>
        </row>
        <row r="820">
          <cell r="AO820" t="str">
            <v>6</v>
          </cell>
        </row>
        <row r="821">
          <cell r="AO821" t="str">
            <v>6</v>
          </cell>
        </row>
        <row r="822">
          <cell r="AO822" t="str">
            <v>6</v>
          </cell>
        </row>
        <row r="823">
          <cell r="AO823" t="str">
            <v>6</v>
          </cell>
        </row>
        <row r="824">
          <cell r="AO824" t="str">
            <v>6</v>
          </cell>
        </row>
        <row r="825">
          <cell r="AO825" t="str">
            <v>6</v>
          </cell>
        </row>
        <row r="826">
          <cell r="AO826" t="str">
            <v>6</v>
          </cell>
        </row>
        <row r="827">
          <cell r="AO827" t="str">
            <v>6</v>
          </cell>
        </row>
        <row r="828">
          <cell r="AO828" t="str">
            <v>6</v>
          </cell>
        </row>
        <row r="829">
          <cell r="AO829" t="str">
            <v>41</v>
          </cell>
        </row>
        <row r="830">
          <cell r="AO830" t="str">
            <v>41</v>
          </cell>
        </row>
        <row r="831">
          <cell r="AO831" t="str">
            <v>41</v>
          </cell>
        </row>
        <row r="832">
          <cell r="AO832" t="str">
            <v>41</v>
          </cell>
        </row>
        <row r="833">
          <cell r="AO833" t="str">
            <v>41</v>
          </cell>
        </row>
        <row r="834">
          <cell r="AO834" t="str">
            <v>41</v>
          </cell>
        </row>
        <row r="835">
          <cell r="AO835" t="str">
            <v>8</v>
          </cell>
        </row>
        <row r="836">
          <cell r="AO836" t="str">
            <v>8</v>
          </cell>
        </row>
        <row r="837">
          <cell r="AO837" t="str">
            <v>8</v>
          </cell>
        </row>
        <row r="838">
          <cell r="AO838" t="str">
            <v>8</v>
          </cell>
        </row>
        <row r="839">
          <cell r="AO839" t="str">
            <v>8</v>
          </cell>
        </row>
        <row r="840">
          <cell r="AO840" t="str">
            <v>8</v>
          </cell>
        </row>
        <row r="841">
          <cell r="AO841" t="str">
            <v>8</v>
          </cell>
        </row>
        <row r="842">
          <cell r="AO842" t="str">
            <v>8</v>
          </cell>
        </row>
        <row r="843">
          <cell r="AO843" t="str">
            <v>8</v>
          </cell>
        </row>
        <row r="844">
          <cell r="AO844" t="str">
            <v>8</v>
          </cell>
        </row>
        <row r="845">
          <cell r="AO845" t="str">
            <v>8</v>
          </cell>
        </row>
        <row r="846">
          <cell r="AO846" t="str">
            <v>8</v>
          </cell>
        </row>
        <row r="847">
          <cell r="AO847" t="str">
            <v>8</v>
          </cell>
        </row>
        <row r="848">
          <cell r="AO848" t="str">
            <v>8</v>
          </cell>
        </row>
        <row r="849">
          <cell r="AO849" t="str">
            <v>8</v>
          </cell>
        </row>
        <row r="850">
          <cell r="AO850" t="str">
            <v>8</v>
          </cell>
        </row>
        <row r="851">
          <cell r="AO851" t="str">
            <v>8</v>
          </cell>
        </row>
        <row r="852">
          <cell r="AO852" t="str">
            <v>8</v>
          </cell>
        </row>
        <row r="853">
          <cell r="AO853" t="str">
            <v>8</v>
          </cell>
        </row>
        <row r="854">
          <cell r="AO854" t="str">
            <v>8</v>
          </cell>
        </row>
        <row r="855">
          <cell r="AO855" t="str">
            <v>8</v>
          </cell>
        </row>
        <row r="856">
          <cell r="AO856" t="str">
            <v>8</v>
          </cell>
        </row>
        <row r="857">
          <cell r="AO857" t="str">
            <v>8</v>
          </cell>
        </row>
        <row r="858">
          <cell r="AO858" t="str">
            <v>8</v>
          </cell>
        </row>
        <row r="859">
          <cell r="AO859" t="str">
            <v>8</v>
          </cell>
        </row>
        <row r="860">
          <cell r="AO860" t="str">
            <v>8</v>
          </cell>
        </row>
        <row r="861">
          <cell r="AO861" t="str">
            <v>8</v>
          </cell>
        </row>
        <row r="862">
          <cell r="AO862" t="str">
            <v>8</v>
          </cell>
        </row>
        <row r="863">
          <cell r="AO863" t="str">
            <v>8</v>
          </cell>
        </row>
        <row r="864">
          <cell r="AO864" t="str">
            <v>8</v>
          </cell>
        </row>
        <row r="865">
          <cell r="AO865" t="str">
            <v>8</v>
          </cell>
        </row>
        <row r="866">
          <cell r="AO866" t="str">
            <v>8</v>
          </cell>
        </row>
        <row r="867">
          <cell r="AO867" t="str">
            <v>8</v>
          </cell>
        </row>
        <row r="868">
          <cell r="AO868" t="str">
            <v>8</v>
          </cell>
        </row>
        <row r="869">
          <cell r="AO869" t="str">
            <v>8</v>
          </cell>
        </row>
        <row r="870">
          <cell r="AO870" t="str">
            <v>8</v>
          </cell>
        </row>
        <row r="871">
          <cell r="AO871" t="str">
            <v>8</v>
          </cell>
        </row>
        <row r="872">
          <cell r="AO872" t="str">
            <v>8</v>
          </cell>
        </row>
        <row r="873">
          <cell r="AO873" t="str">
            <v>8</v>
          </cell>
        </row>
        <row r="874">
          <cell r="AO874" t="str">
            <v>8</v>
          </cell>
        </row>
        <row r="875">
          <cell r="AO875" t="str">
            <v>8</v>
          </cell>
        </row>
        <row r="876">
          <cell r="AO876" t="str">
            <v>8</v>
          </cell>
        </row>
        <row r="877">
          <cell r="AO877" t="str">
            <v>8</v>
          </cell>
        </row>
        <row r="878">
          <cell r="AO878" t="str">
            <v>8</v>
          </cell>
        </row>
        <row r="879">
          <cell r="AO879" t="str">
            <v>8</v>
          </cell>
        </row>
        <row r="880">
          <cell r="AO880" t="str">
            <v>8</v>
          </cell>
        </row>
        <row r="881">
          <cell r="AO881" t="str">
            <v>8</v>
          </cell>
        </row>
        <row r="882">
          <cell r="AO882" t="str">
            <v>8</v>
          </cell>
        </row>
        <row r="883">
          <cell r="AO883" t="str">
            <v>8</v>
          </cell>
        </row>
        <row r="884">
          <cell r="AO884" t="str">
            <v>8</v>
          </cell>
        </row>
        <row r="885">
          <cell r="AO885" t="str">
            <v>8</v>
          </cell>
        </row>
        <row r="886">
          <cell r="AO886" t="str">
            <v>8</v>
          </cell>
        </row>
        <row r="887">
          <cell r="AO887" t="str">
            <v>8</v>
          </cell>
        </row>
        <row r="888">
          <cell r="AO888" t="str">
            <v>8</v>
          </cell>
        </row>
        <row r="889">
          <cell r="AO889" t="str">
            <v>8</v>
          </cell>
        </row>
        <row r="890">
          <cell r="AO890" t="str">
            <v>8</v>
          </cell>
        </row>
        <row r="891">
          <cell r="AO891" t="str">
            <v>8</v>
          </cell>
        </row>
        <row r="892">
          <cell r="AO892" t="str">
            <v>8</v>
          </cell>
        </row>
        <row r="893">
          <cell r="AO893" t="str">
            <v xml:space="preserve"> </v>
          </cell>
        </row>
        <row r="894">
          <cell r="AO894" t="str">
            <v>8</v>
          </cell>
        </row>
        <row r="895">
          <cell r="AO895" t="str">
            <v>8</v>
          </cell>
        </row>
        <row r="896">
          <cell r="AO896" t="str">
            <v>8</v>
          </cell>
        </row>
        <row r="897">
          <cell r="AO897" t="str">
            <v>8</v>
          </cell>
        </row>
        <row r="898">
          <cell r="AO898" t="str">
            <v>8</v>
          </cell>
        </row>
        <row r="899">
          <cell r="AO899" t="str">
            <v>8</v>
          </cell>
        </row>
        <row r="900">
          <cell r="AO900" t="str">
            <v>8</v>
          </cell>
        </row>
        <row r="901">
          <cell r="AO901" t="str">
            <v>8</v>
          </cell>
        </row>
        <row r="902">
          <cell r="AO902" t="str">
            <v>8</v>
          </cell>
        </row>
        <row r="903">
          <cell r="AO903" t="str">
            <v>8</v>
          </cell>
        </row>
        <row r="904">
          <cell r="AO904" t="str">
            <v>8</v>
          </cell>
        </row>
        <row r="905">
          <cell r="AO905" t="str">
            <v>8</v>
          </cell>
        </row>
        <row r="906">
          <cell r="AO906" t="str">
            <v>8</v>
          </cell>
        </row>
        <row r="907">
          <cell r="AO907" t="str">
            <v>9</v>
          </cell>
        </row>
        <row r="908">
          <cell r="AO908" t="str">
            <v>8</v>
          </cell>
        </row>
        <row r="909">
          <cell r="AO909" t="str">
            <v>8</v>
          </cell>
        </row>
        <row r="910">
          <cell r="AO910" t="str">
            <v>8</v>
          </cell>
        </row>
        <row r="911">
          <cell r="AO911" t="str">
            <v>8</v>
          </cell>
        </row>
        <row r="912">
          <cell r="AO912" t="str">
            <v>8</v>
          </cell>
        </row>
        <row r="913">
          <cell r="AO913" t="str">
            <v>8</v>
          </cell>
        </row>
        <row r="914">
          <cell r="AO914" t="str">
            <v>8</v>
          </cell>
        </row>
        <row r="917">
          <cell r="AO917">
            <v>65</v>
          </cell>
        </row>
        <row r="934">
          <cell r="AO934" t="str">
            <v>65b</v>
          </cell>
        </row>
        <row r="935">
          <cell r="AO935" t="str">
            <v>9</v>
          </cell>
        </row>
        <row r="936">
          <cell r="AO936" t="str">
            <v>9</v>
          </cell>
        </row>
        <row r="937">
          <cell r="AO937" t="str">
            <v>9</v>
          </cell>
        </row>
        <row r="938">
          <cell r="AO938" t="str">
            <v>9</v>
          </cell>
        </row>
        <row r="939">
          <cell r="AO939" t="str">
            <v>9</v>
          </cell>
        </row>
        <row r="940">
          <cell r="AO940" t="str">
            <v>9</v>
          </cell>
        </row>
        <row r="941">
          <cell r="AO941" t="str">
            <v>9</v>
          </cell>
        </row>
        <row r="942">
          <cell r="AO942" t="str">
            <v>9</v>
          </cell>
        </row>
        <row r="943">
          <cell r="AO943" t="str">
            <v>9</v>
          </cell>
        </row>
        <row r="944">
          <cell r="AO944" t="str">
            <v>9</v>
          </cell>
        </row>
        <row r="945">
          <cell r="AO945" t="str">
            <v>9</v>
          </cell>
        </row>
        <row r="946">
          <cell r="AO946" t="str">
            <v>9</v>
          </cell>
        </row>
        <row r="947">
          <cell r="AO947" t="str">
            <v>9</v>
          </cell>
        </row>
        <row r="948">
          <cell r="AO948" t="str">
            <v>9</v>
          </cell>
        </row>
        <row r="949">
          <cell r="AO949" t="str">
            <v>9</v>
          </cell>
        </row>
        <row r="950">
          <cell r="AO950" t="str">
            <v>9</v>
          </cell>
        </row>
        <row r="951">
          <cell r="AO951" t="str">
            <v>9</v>
          </cell>
        </row>
        <row r="952">
          <cell r="AO952" t="str">
            <v>9</v>
          </cell>
        </row>
        <row r="955">
          <cell r="AO955" t="str">
            <v>65a</v>
          </cell>
        </row>
        <row r="959">
          <cell r="AO959" t="str">
            <v>65a</v>
          </cell>
        </row>
        <row r="963">
          <cell r="AO963" t="str">
            <v>65a</v>
          </cell>
        </row>
        <row r="965">
          <cell r="AO965" t="str">
            <v>65a</v>
          </cell>
        </row>
        <row r="966">
          <cell r="AO966" t="str">
            <v>65a</v>
          </cell>
        </row>
        <row r="967">
          <cell r="AO967" t="str">
            <v>65a</v>
          </cell>
        </row>
        <row r="968">
          <cell r="AO968" t="str">
            <v>65a</v>
          </cell>
        </row>
        <row r="969">
          <cell r="AO969" t="str">
            <v>65b</v>
          </cell>
        </row>
        <row r="970">
          <cell r="AO970" t="str">
            <v>65b</v>
          </cell>
        </row>
        <row r="971">
          <cell r="AO971" t="str">
            <v>65b</v>
          </cell>
        </row>
        <row r="973">
          <cell r="AO973" t="str">
            <v>65b</v>
          </cell>
        </row>
        <row r="974">
          <cell r="AO974" t="str">
            <v>65a</v>
          </cell>
        </row>
        <row r="975">
          <cell r="AO975" t="str">
            <v>65a</v>
          </cell>
        </row>
        <row r="976">
          <cell r="AO976" t="str">
            <v>65a</v>
          </cell>
        </row>
        <row r="977">
          <cell r="AO977" t="str">
            <v>65a</v>
          </cell>
        </row>
        <row r="978">
          <cell r="AO978" t="str">
            <v>65a</v>
          </cell>
        </row>
        <row r="981">
          <cell r="AO981" t="str">
            <v>65a</v>
          </cell>
        </row>
        <row r="983">
          <cell r="AO983" t="str">
            <v>65a</v>
          </cell>
        </row>
        <row r="984">
          <cell r="AO984" t="str">
            <v>65a</v>
          </cell>
        </row>
        <row r="989">
          <cell r="AO989" t="str">
            <v>65a</v>
          </cell>
        </row>
        <row r="990">
          <cell r="AO990" t="str">
            <v>65a</v>
          </cell>
        </row>
        <row r="991">
          <cell r="AO991" t="str">
            <v>65a</v>
          </cell>
        </row>
        <row r="992">
          <cell r="AO992" t="str">
            <v>65a</v>
          </cell>
        </row>
        <row r="993">
          <cell r="AO993" t="str">
            <v>65a</v>
          </cell>
        </row>
        <row r="994">
          <cell r="AO994" t="str">
            <v>65a</v>
          </cell>
        </row>
        <row r="995">
          <cell r="AO995" t="str">
            <v>65a</v>
          </cell>
        </row>
        <row r="996">
          <cell r="AO996" t="str">
            <v>65a</v>
          </cell>
        </row>
        <row r="997">
          <cell r="AO997" t="str">
            <v>65a</v>
          </cell>
        </row>
        <row r="999">
          <cell r="AO999" t="str">
            <v>65a</v>
          </cell>
        </row>
        <row r="1001">
          <cell r="AO1001" t="str">
            <v>65a</v>
          </cell>
        </row>
        <row r="1002">
          <cell r="AO1002" t="str">
            <v>65a</v>
          </cell>
        </row>
        <row r="1003">
          <cell r="AO1003" t="str">
            <v>65a</v>
          </cell>
        </row>
        <row r="1004">
          <cell r="AO1004" t="str">
            <v>65a</v>
          </cell>
        </row>
        <row r="1005">
          <cell r="AO1005" t="str">
            <v>65a</v>
          </cell>
        </row>
        <row r="1006">
          <cell r="AO1006" t="str">
            <v>65a</v>
          </cell>
        </row>
        <row r="1007">
          <cell r="AO1007" t="str">
            <v>65a</v>
          </cell>
        </row>
        <row r="1008">
          <cell r="AO1008" t="str">
            <v>65a</v>
          </cell>
        </row>
        <row r="1009">
          <cell r="AO1009" t="str">
            <v>65a</v>
          </cell>
        </row>
        <row r="1010">
          <cell r="AO1010" t="str">
            <v>65a</v>
          </cell>
        </row>
        <row r="1012">
          <cell r="AO1012" t="str">
            <v>65a</v>
          </cell>
        </row>
        <row r="1014">
          <cell r="AO1014" t="str">
            <v>65b</v>
          </cell>
        </row>
        <row r="1015">
          <cell r="AO1015" t="str">
            <v>65a</v>
          </cell>
        </row>
        <row r="1016">
          <cell r="AO1016" t="str">
            <v>65a</v>
          </cell>
        </row>
        <row r="1017">
          <cell r="AO1017" t="str">
            <v>65a</v>
          </cell>
        </row>
        <row r="1018">
          <cell r="AO1018" t="str">
            <v>65a</v>
          </cell>
        </row>
        <row r="1019">
          <cell r="AO1019" t="str">
            <v>65a</v>
          </cell>
        </row>
        <row r="1020">
          <cell r="AO1020">
            <v>40</v>
          </cell>
        </row>
        <row r="1021">
          <cell r="AO1021">
            <v>40</v>
          </cell>
        </row>
        <row r="1022">
          <cell r="AO1022" t="str">
            <v>21</v>
          </cell>
        </row>
        <row r="1023">
          <cell r="AO1023" t="str">
            <v>65b</v>
          </cell>
        </row>
        <row r="1024">
          <cell r="AO1024" t="str">
            <v>21</v>
          </cell>
        </row>
        <row r="1025">
          <cell r="AO1025" t="str">
            <v>65b</v>
          </cell>
        </row>
        <row r="1026">
          <cell r="AO1026" t="str">
            <v>21</v>
          </cell>
        </row>
        <row r="1027">
          <cell r="AO1027" t="str">
            <v>65b</v>
          </cell>
        </row>
        <row r="1028">
          <cell r="AO1028" t="str">
            <v>65b</v>
          </cell>
        </row>
        <row r="1029">
          <cell r="AO1029" t="str">
            <v>21</v>
          </cell>
        </row>
        <row r="1030">
          <cell r="AO1030" t="str">
            <v>65a</v>
          </cell>
        </row>
        <row r="1031">
          <cell r="AO1031" t="str">
            <v>65a1</v>
          </cell>
        </row>
        <row r="1032">
          <cell r="AO1032" t="str">
            <v>65a1</v>
          </cell>
        </row>
        <row r="1033">
          <cell r="AO1033" t="str">
            <v>65a</v>
          </cell>
        </row>
        <row r="1034">
          <cell r="AO1034" t="str">
            <v>65a</v>
          </cell>
        </row>
        <row r="1035">
          <cell r="AO1035" t="str">
            <v>65a</v>
          </cell>
        </row>
        <row r="1036">
          <cell r="AO1036" t="str">
            <v>65a</v>
          </cell>
        </row>
        <row r="1037">
          <cell r="AO1037" t="str">
            <v>65a</v>
          </cell>
        </row>
        <row r="1038">
          <cell r="AO1038" t="str">
            <v>65a</v>
          </cell>
        </row>
        <row r="1039">
          <cell r="AO1039" t="str">
            <v xml:space="preserve"> </v>
          </cell>
        </row>
        <row r="1040">
          <cell r="AO1040" t="str">
            <v xml:space="preserve"> </v>
          </cell>
        </row>
        <row r="1042">
          <cell r="AO1042" t="str">
            <v>65b</v>
          </cell>
        </row>
        <row r="1043">
          <cell r="AO1043" t="str">
            <v xml:space="preserve"> </v>
          </cell>
        </row>
        <row r="1044">
          <cell r="AO1044" t="str">
            <v xml:space="preserve"> </v>
          </cell>
        </row>
        <row r="1045">
          <cell r="AO1045" t="str">
            <v xml:space="preserve"> </v>
          </cell>
        </row>
        <row r="1046">
          <cell r="AO1046" t="str">
            <v>65a</v>
          </cell>
        </row>
        <row r="1047">
          <cell r="AO1047" t="str">
            <v xml:space="preserve"> </v>
          </cell>
        </row>
        <row r="1050">
          <cell r="AO1050" t="str">
            <v>65b</v>
          </cell>
        </row>
        <row r="1052">
          <cell r="AO1052" t="str">
            <v>65b</v>
          </cell>
        </row>
        <row r="1053">
          <cell r="AO1053" t="str">
            <v>65b</v>
          </cell>
        </row>
        <row r="1054">
          <cell r="AO1054" t="str">
            <v>65b</v>
          </cell>
        </row>
        <row r="1056">
          <cell r="AO1056" t="str">
            <v>65a</v>
          </cell>
        </row>
        <row r="1058">
          <cell r="AO1058" t="str">
            <v>65a</v>
          </cell>
        </row>
        <row r="1060">
          <cell r="AO1060" t="str">
            <v>65a</v>
          </cell>
        </row>
        <row r="1065">
          <cell r="AO1065" t="str">
            <v>65a</v>
          </cell>
        </row>
        <row r="1066">
          <cell r="AO1066" t="str">
            <v>65a</v>
          </cell>
        </row>
        <row r="1067">
          <cell r="AO1067" t="str">
            <v>65a</v>
          </cell>
        </row>
        <row r="1068">
          <cell r="AO1068" t="str">
            <v>65a</v>
          </cell>
        </row>
        <row r="1069">
          <cell r="AO1069" t="str">
            <v>65a</v>
          </cell>
        </row>
        <row r="1070">
          <cell r="AO1070" t="str">
            <v>65a</v>
          </cell>
        </row>
        <row r="1072">
          <cell r="AO1072" t="str">
            <v xml:space="preserve"> </v>
          </cell>
        </row>
        <row r="1073">
          <cell r="AO1073" t="str">
            <v>65a</v>
          </cell>
        </row>
        <row r="1074">
          <cell r="AO1074" t="str">
            <v xml:space="preserve"> </v>
          </cell>
        </row>
        <row r="1075">
          <cell r="AO1075" t="str">
            <v>65a</v>
          </cell>
        </row>
        <row r="1076">
          <cell r="AO1076" t="str">
            <v xml:space="preserve"> </v>
          </cell>
        </row>
        <row r="1077">
          <cell r="AO1077" t="str">
            <v>65a</v>
          </cell>
        </row>
        <row r="1078">
          <cell r="AO1078" t="str">
            <v xml:space="preserve"> </v>
          </cell>
        </row>
        <row r="1079">
          <cell r="AO1079" t="str">
            <v>65a</v>
          </cell>
        </row>
        <row r="1080">
          <cell r="AO1080" t="str">
            <v>65a</v>
          </cell>
        </row>
        <row r="1081">
          <cell r="AO1081" t="str">
            <v>65a</v>
          </cell>
        </row>
        <row r="1082">
          <cell r="AO1082" t="str">
            <v>65a</v>
          </cell>
        </row>
        <row r="1083">
          <cell r="AO1083" t="str">
            <v>65a</v>
          </cell>
        </row>
        <row r="1084">
          <cell r="AO1084" t="str">
            <v>65a</v>
          </cell>
        </row>
        <row r="1085">
          <cell r="AO1085" t="str">
            <v>65a</v>
          </cell>
        </row>
        <row r="1086">
          <cell r="AO1086" t="str">
            <v>65a</v>
          </cell>
        </row>
        <row r="1087">
          <cell r="AO1087" t="str">
            <v>65a</v>
          </cell>
        </row>
        <row r="1088">
          <cell r="AO1088" t="str">
            <v>65a</v>
          </cell>
        </row>
        <row r="1089">
          <cell r="AO1089" t="str">
            <v>65a</v>
          </cell>
        </row>
        <row r="1090">
          <cell r="AO1090" t="str">
            <v>65a</v>
          </cell>
        </row>
        <row r="1091">
          <cell r="AO1091" t="str">
            <v>65a</v>
          </cell>
        </row>
        <row r="1092">
          <cell r="AO1092" t="str">
            <v>65a</v>
          </cell>
        </row>
        <row r="1093">
          <cell r="AO1093" t="str">
            <v>65a</v>
          </cell>
        </row>
        <row r="1094">
          <cell r="AO1094" t="str">
            <v>65a</v>
          </cell>
        </row>
        <row r="1095">
          <cell r="AO1095" t="str">
            <v>65a</v>
          </cell>
        </row>
        <row r="1096">
          <cell r="AO1096" t="str">
            <v>65a</v>
          </cell>
        </row>
        <row r="1097">
          <cell r="AO1097" t="str">
            <v>65a</v>
          </cell>
        </row>
        <row r="1098">
          <cell r="AO1098" t="str">
            <v>65a</v>
          </cell>
        </row>
        <row r="1099">
          <cell r="AO1099" t="str">
            <v>65a</v>
          </cell>
        </row>
        <row r="1100">
          <cell r="AO1100" t="str">
            <v>65a</v>
          </cell>
        </row>
        <row r="1101">
          <cell r="AO1101" t="str">
            <v>65a</v>
          </cell>
        </row>
        <row r="1102">
          <cell r="AO1102" t="str">
            <v>65a</v>
          </cell>
        </row>
        <row r="1103">
          <cell r="AO1103" t="str">
            <v>65a</v>
          </cell>
        </row>
        <row r="1104">
          <cell r="AO1104" t="str">
            <v>65a</v>
          </cell>
        </row>
        <row r="1105">
          <cell r="AO1105" t="str">
            <v>65a</v>
          </cell>
        </row>
        <row r="1106">
          <cell r="AO1106" t="str">
            <v>65a</v>
          </cell>
        </row>
        <row r="1107">
          <cell r="AO1107" t="str">
            <v>65a</v>
          </cell>
        </row>
        <row r="1108">
          <cell r="AO1108" t="str">
            <v>65a</v>
          </cell>
        </row>
        <row r="1109">
          <cell r="AO1109" t="str">
            <v>65a</v>
          </cell>
        </row>
        <row r="1110">
          <cell r="AO1110" t="str">
            <v>65a</v>
          </cell>
        </row>
        <row r="1111">
          <cell r="AO1111" t="str">
            <v>65a</v>
          </cell>
        </row>
        <row r="1112">
          <cell r="AO1112" t="str">
            <v>65a</v>
          </cell>
        </row>
        <row r="1113">
          <cell r="AO1113" t="str">
            <v>65a</v>
          </cell>
        </row>
        <row r="1114">
          <cell r="AO1114" t="str">
            <v>65a</v>
          </cell>
        </row>
        <row r="1115">
          <cell r="AO1115" t="str">
            <v>65a</v>
          </cell>
        </row>
        <row r="1116">
          <cell r="AO1116" t="str">
            <v>65a</v>
          </cell>
        </row>
        <row r="1117">
          <cell r="AO1117" t="str">
            <v>65a</v>
          </cell>
        </row>
        <row r="1118">
          <cell r="AO1118" t="str">
            <v>65a</v>
          </cell>
        </row>
        <row r="1119">
          <cell r="AO1119" t="str">
            <v>65a</v>
          </cell>
        </row>
        <row r="1120">
          <cell r="AO1120" t="str">
            <v>65a</v>
          </cell>
        </row>
        <row r="1121">
          <cell r="AO1121" t="str">
            <v>65a</v>
          </cell>
        </row>
        <row r="1122">
          <cell r="AO1122" t="str">
            <v>65a</v>
          </cell>
        </row>
        <row r="1123">
          <cell r="AO1123" t="str">
            <v>65a</v>
          </cell>
        </row>
        <row r="1124">
          <cell r="AO1124" t="str">
            <v>65a</v>
          </cell>
        </row>
        <row r="1125">
          <cell r="AO1125" t="str">
            <v>65a</v>
          </cell>
        </row>
        <row r="1126">
          <cell r="AO1126" t="str">
            <v>65a</v>
          </cell>
        </row>
        <row r="1127">
          <cell r="AO1127" t="str">
            <v>65a</v>
          </cell>
        </row>
        <row r="1129">
          <cell r="AO1129" t="str">
            <v>65a</v>
          </cell>
        </row>
        <row r="1130">
          <cell r="AO1130" t="str">
            <v xml:space="preserve"> </v>
          </cell>
        </row>
        <row r="1131">
          <cell r="AO1131" t="str">
            <v>65b</v>
          </cell>
        </row>
        <row r="1132">
          <cell r="AO1132" t="str">
            <v>65a</v>
          </cell>
        </row>
        <row r="1133">
          <cell r="AO1133" t="str">
            <v>65a</v>
          </cell>
        </row>
        <row r="1134">
          <cell r="AO1134" t="str">
            <v xml:space="preserve"> </v>
          </cell>
        </row>
        <row r="1135">
          <cell r="AO1135" t="str">
            <v>65b</v>
          </cell>
        </row>
        <row r="1136">
          <cell r="AO1136" t="str">
            <v>65a</v>
          </cell>
        </row>
        <row r="1137">
          <cell r="AO1137" t="str">
            <v>65a</v>
          </cell>
        </row>
        <row r="1138">
          <cell r="AO1138" t="str">
            <v xml:space="preserve"> </v>
          </cell>
        </row>
        <row r="1139">
          <cell r="AO1139" t="str">
            <v>65a</v>
          </cell>
        </row>
        <row r="1140">
          <cell r="AO1140" t="str">
            <v>65a</v>
          </cell>
        </row>
        <row r="1141">
          <cell r="AO1141" t="str">
            <v>65a</v>
          </cell>
        </row>
        <row r="1142">
          <cell r="AO1142" t="str">
            <v>65a</v>
          </cell>
        </row>
        <row r="1143">
          <cell r="AO1143" t="str">
            <v>65a</v>
          </cell>
        </row>
        <row r="1144">
          <cell r="AO1144" t="str">
            <v>65a</v>
          </cell>
        </row>
        <row r="1145">
          <cell r="AO1145" t="str">
            <v>65a</v>
          </cell>
        </row>
        <row r="1146">
          <cell r="AO1146" t="str">
            <v>65a</v>
          </cell>
        </row>
        <row r="1147">
          <cell r="AO1147" t="str">
            <v>65a</v>
          </cell>
        </row>
        <row r="1148">
          <cell r="AO1148" t="str">
            <v>65a</v>
          </cell>
        </row>
        <row r="1149">
          <cell r="AO1149" t="str">
            <v>65a</v>
          </cell>
        </row>
        <row r="1151">
          <cell r="AO1151" t="str">
            <v>65b</v>
          </cell>
        </row>
        <row r="1152">
          <cell r="AO1152" t="str">
            <v>65a</v>
          </cell>
        </row>
        <row r="1153">
          <cell r="AO1153" t="str">
            <v>65a</v>
          </cell>
        </row>
        <row r="1154">
          <cell r="AO1154" t="str">
            <v>65a</v>
          </cell>
        </row>
        <row r="1155">
          <cell r="AO1155" t="str">
            <v>65a</v>
          </cell>
        </row>
        <row r="1156">
          <cell r="AO1156" t="str">
            <v>65a</v>
          </cell>
        </row>
        <row r="1157">
          <cell r="AO1157" t="str">
            <v>65a</v>
          </cell>
        </row>
        <row r="1158">
          <cell r="AO1158" t="str">
            <v>65a</v>
          </cell>
        </row>
        <row r="1160">
          <cell r="AO1160" t="str">
            <v>65a</v>
          </cell>
        </row>
        <row r="1161">
          <cell r="AO1161" t="str">
            <v>65a</v>
          </cell>
        </row>
        <row r="1162">
          <cell r="AO1162" t="str">
            <v>65a</v>
          </cell>
        </row>
        <row r="1164">
          <cell r="AO1164" t="str">
            <v>65a</v>
          </cell>
        </row>
        <row r="1165">
          <cell r="AO1165" t="str">
            <v>65a</v>
          </cell>
        </row>
        <row r="1166">
          <cell r="AO1166" t="str">
            <v xml:space="preserve"> </v>
          </cell>
        </row>
        <row r="1167">
          <cell r="AO1167" t="str">
            <v xml:space="preserve"> </v>
          </cell>
        </row>
        <row r="1168">
          <cell r="AO1168" t="str">
            <v xml:space="preserve"> </v>
          </cell>
        </row>
        <row r="1175">
          <cell r="AO1175" t="str">
            <v>65a</v>
          </cell>
        </row>
        <row r="1176">
          <cell r="AO1176" t="str">
            <v xml:space="preserve"> </v>
          </cell>
        </row>
        <row r="1177">
          <cell r="AO1177" t="str">
            <v>65a</v>
          </cell>
        </row>
        <row r="1179">
          <cell r="AO1179" t="str">
            <v>65b</v>
          </cell>
        </row>
        <row r="1180">
          <cell r="AO1180" t="str">
            <v>65a</v>
          </cell>
        </row>
        <row r="1181">
          <cell r="AO1181" t="str">
            <v>65a</v>
          </cell>
        </row>
        <row r="1182">
          <cell r="AO1182" t="str">
            <v>65a</v>
          </cell>
        </row>
        <row r="1183">
          <cell r="AO1183" t="str">
            <v>65a</v>
          </cell>
        </row>
        <row r="1184">
          <cell r="AO1184" t="str">
            <v>65a</v>
          </cell>
        </row>
        <row r="1185">
          <cell r="AO1185" t="str">
            <v>65a</v>
          </cell>
        </row>
        <row r="1186">
          <cell r="AO1186" t="str">
            <v>65a</v>
          </cell>
        </row>
        <row r="1189">
          <cell r="AO1189" t="str">
            <v>41</v>
          </cell>
        </row>
        <row r="1190">
          <cell r="AO1190" t="str">
            <v>63</v>
          </cell>
        </row>
        <row r="1191">
          <cell r="AO1191" t="str">
            <v>63</v>
          </cell>
        </row>
        <row r="1192">
          <cell r="AO1192" t="str">
            <v>63</v>
          </cell>
        </row>
        <row r="1193">
          <cell r="AO1193" t="str">
            <v>20</v>
          </cell>
        </row>
        <row r="1194">
          <cell r="AO1194" t="str">
            <v>20</v>
          </cell>
        </row>
        <row r="1195">
          <cell r="AO1195" t="str">
            <v>20</v>
          </cell>
        </row>
        <row r="1196">
          <cell r="AO1196" t="str">
            <v>20</v>
          </cell>
        </row>
        <row r="1197">
          <cell r="AO1197" t="str">
            <v>20</v>
          </cell>
        </row>
        <row r="1198">
          <cell r="AO1198" t="str">
            <v>20</v>
          </cell>
        </row>
        <row r="1199">
          <cell r="AO1199" t="str">
            <v>20</v>
          </cell>
        </row>
        <row r="1200">
          <cell r="AO1200" t="str">
            <v>20</v>
          </cell>
        </row>
        <row r="1201">
          <cell r="AO1201" t="str">
            <v>20</v>
          </cell>
        </row>
        <row r="1202">
          <cell r="AO1202" t="str">
            <v>63</v>
          </cell>
        </row>
        <row r="1203">
          <cell r="AO1203" t="str">
            <v>63</v>
          </cell>
        </row>
        <row r="1204">
          <cell r="AO1204" t="str">
            <v>20</v>
          </cell>
        </row>
        <row r="1205">
          <cell r="AO1205" t="str">
            <v>63</v>
          </cell>
        </row>
        <row r="1206">
          <cell r="AO1206" t="str">
            <v>63</v>
          </cell>
        </row>
        <row r="1207">
          <cell r="AO1207" t="str">
            <v>20</v>
          </cell>
        </row>
        <row r="1208">
          <cell r="AO1208" t="str">
            <v>20</v>
          </cell>
        </row>
        <row r="1209">
          <cell r="AO1209" t="str">
            <v>20</v>
          </cell>
        </row>
        <row r="1210">
          <cell r="AO1210" t="str">
            <v>20</v>
          </cell>
        </row>
        <row r="1213">
          <cell r="AO1213" t="str">
            <v>65a</v>
          </cell>
        </row>
        <row r="1214">
          <cell r="AO1214" t="str">
            <v>65a</v>
          </cell>
        </row>
        <row r="1217">
          <cell r="AO1217" t="str">
            <v>47</v>
          </cell>
        </row>
        <row r="1219">
          <cell r="AO1219" t="str">
            <v>65a</v>
          </cell>
        </row>
        <row r="1220">
          <cell r="AO1220" t="str">
            <v>49</v>
          </cell>
        </row>
        <row r="1221">
          <cell r="AO1221" t="str">
            <v>3</v>
          </cell>
        </row>
        <row r="1222">
          <cell r="AO1222">
            <v>2</v>
          </cell>
        </row>
        <row r="1223">
          <cell r="AO1223" t="str">
            <v>49</v>
          </cell>
        </row>
        <row r="1224">
          <cell r="AO1224" t="str">
            <v>49</v>
          </cell>
        </row>
        <row r="1225">
          <cell r="AO1225" t="str">
            <v>49</v>
          </cell>
        </row>
        <row r="1226">
          <cell r="AO1226" t="str">
            <v>49</v>
          </cell>
        </row>
        <row r="1227">
          <cell r="AO1227" t="str">
            <v>65a</v>
          </cell>
        </row>
        <row r="1228">
          <cell r="AO1228" t="str">
            <v>65a</v>
          </cell>
        </row>
        <row r="1229">
          <cell r="AO1229" t="str">
            <v>65b</v>
          </cell>
        </row>
        <row r="1230">
          <cell r="AO1230" t="str">
            <v>65a</v>
          </cell>
        </row>
        <row r="1231">
          <cell r="AO1231" t="str">
            <v xml:space="preserve"> </v>
          </cell>
        </row>
        <row r="1232">
          <cell r="AO1232" t="str">
            <v>65a</v>
          </cell>
        </row>
        <row r="1233">
          <cell r="AO1233" t="str">
            <v>65a</v>
          </cell>
        </row>
        <row r="1235">
          <cell r="AO1235" t="str">
            <v>65a</v>
          </cell>
        </row>
        <row r="1236">
          <cell r="AO1236" t="str">
            <v>65a</v>
          </cell>
        </row>
        <row r="1237">
          <cell r="AO1237" t="str">
            <v>65a</v>
          </cell>
        </row>
        <row r="1238">
          <cell r="AO1238" t="str">
            <v>65a</v>
          </cell>
        </row>
        <row r="1240">
          <cell r="AO1240" t="str">
            <v>65a</v>
          </cell>
        </row>
        <row r="1241">
          <cell r="AO1241" t="str">
            <v>65a</v>
          </cell>
        </row>
        <row r="1243">
          <cell r="AO1243" t="str">
            <v>41</v>
          </cell>
        </row>
        <row r="1244">
          <cell r="AO1244" t="str">
            <v>49</v>
          </cell>
        </row>
        <row r="1245">
          <cell r="AO1245" t="str">
            <v>41</v>
          </cell>
        </row>
        <row r="1246">
          <cell r="AO1246" t="str">
            <v>41</v>
          </cell>
        </row>
        <row r="1247">
          <cell r="AO1247" t="str">
            <v>41</v>
          </cell>
        </row>
        <row r="1248">
          <cell r="AO1248" t="str">
            <v>41</v>
          </cell>
        </row>
        <row r="1249">
          <cell r="AO1249" t="str">
            <v>41</v>
          </cell>
        </row>
        <row r="1250">
          <cell r="AO1250" t="str">
            <v>41</v>
          </cell>
        </row>
        <row r="1251">
          <cell r="AO1251" t="str">
            <v>41</v>
          </cell>
        </row>
        <row r="1252">
          <cell r="AO1252" t="str">
            <v>41</v>
          </cell>
        </row>
        <row r="1253">
          <cell r="AO1253" t="str">
            <v>41</v>
          </cell>
        </row>
        <row r="1254">
          <cell r="AO1254" t="str">
            <v>41</v>
          </cell>
        </row>
        <row r="1255">
          <cell r="AO1255" t="str">
            <v>41</v>
          </cell>
        </row>
        <row r="1256">
          <cell r="AO1256" t="str">
            <v>41</v>
          </cell>
        </row>
        <row r="1257">
          <cell r="AO1257" t="str">
            <v>41</v>
          </cell>
        </row>
        <row r="1258">
          <cell r="AO1258" t="str">
            <v>65a</v>
          </cell>
        </row>
        <row r="1259">
          <cell r="AO1259" t="str">
            <v>65a</v>
          </cell>
        </row>
        <row r="1260">
          <cell r="AO1260" t="str">
            <v>65a</v>
          </cell>
        </row>
        <row r="1261">
          <cell r="AO1261" t="str">
            <v>65a</v>
          </cell>
        </row>
        <row r="1262">
          <cell r="AO1262" t="str">
            <v>65a</v>
          </cell>
        </row>
        <row r="1263">
          <cell r="AO1263" t="str">
            <v>65a</v>
          </cell>
        </row>
        <row r="1264">
          <cell r="AO1264" t="str">
            <v>65a</v>
          </cell>
        </row>
        <row r="1265">
          <cell r="AO1265" t="str">
            <v>65a</v>
          </cell>
        </row>
        <row r="1266">
          <cell r="AO1266" t="str">
            <v>65a</v>
          </cell>
        </row>
        <row r="1267">
          <cell r="AO1267" t="str">
            <v>65a</v>
          </cell>
        </row>
        <row r="1268">
          <cell r="AO1268" t="str">
            <v>65a</v>
          </cell>
        </row>
        <row r="1269">
          <cell r="AO1269" t="str">
            <v>65a</v>
          </cell>
        </row>
        <row r="1270">
          <cell r="AO1270" t="str">
            <v>65a</v>
          </cell>
        </row>
        <row r="1271">
          <cell r="AO1271" t="str">
            <v>65a</v>
          </cell>
        </row>
        <row r="1272">
          <cell r="AO1272" t="str">
            <v>65a</v>
          </cell>
        </row>
        <row r="1273">
          <cell r="AO1273" t="str">
            <v>65a</v>
          </cell>
        </row>
        <row r="1274">
          <cell r="AO1274" t="str">
            <v>65a</v>
          </cell>
        </row>
        <row r="1275">
          <cell r="AO1275" t="str">
            <v>65a</v>
          </cell>
        </row>
        <row r="1276">
          <cell r="AO1276" t="str">
            <v>41</v>
          </cell>
        </row>
        <row r="1277">
          <cell r="AO1277" t="str">
            <v>41</v>
          </cell>
        </row>
        <row r="1278">
          <cell r="AO1278" t="str">
            <v xml:space="preserve"> </v>
          </cell>
        </row>
        <row r="1279">
          <cell r="AO1279" t="str">
            <v xml:space="preserve">65 </v>
          </cell>
        </row>
        <row r="1280">
          <cell r="AO1280" t="str">
            <v xml:space="preserve"> </v>
          </cell>
        </row>
        <row r="1281">
          <cell r="AO1281" t="str">
            <v>65</v>
          </cell>
        </row>
        <row r="1282">
          <cell r="AO1282" t="str">
            <v>49</v>
          </cell>
        </row>
        <row r="1283">
          <cell r="AO1283" t="str">
            <v xml:space="preserve"> </v>
          </cell>
        </row>
        <row r="1284">
          <cell r="AO1284" t="str">
            <v xml:space="preserve"> </v>
          </cell>
        </row>
        <row r="1286">
          <cell r="AO1286" t="str">
            <v>23</v>
          </cell>
        </row>
        <row r="1292">
          <cell r="AO1292" t="str">
            <v>10</v>
          </cell>
        </row>
        <row r="1293">
          <cell r="AO1293" t="str">
            <v>10</v>
          </cell>
        </row>
        <row r="1295">
          <cell r="AO1295" t="str">
            <v>12</v>
          </cell>
        </row>
        <row r="1296">
          <cell r="AO1296" t="str">
            <v>12</v>
          </cell>
        </row>
        <row r="1297">
          <cell r="AO1297" t="str">
            <v>12</v>
          </cell>
        </row>
        <row r="1298">
          <cell r="AO1298" t="str">
            <v>64</v>
          </cell>
        </row>
        <row r="1299">
          <cell r="AO1299" t="str">
            <v>22</v>
          </cell>
        </row>
        <row r="1300">
          <cell r="AO1300" t="str">
            <v>22</v>
          </cell>
        </row>
        <row r="1301">
          <cell r="AO1301" t="str">
            <v>22</v>
          </cell>
        </row>
        <row r="1302">
          <cell r="AO1302" t="str">
            <v>22</v>
          </cell>
        </row>
        <row r="1303">
          <cell r="AO1303" t="str">
            <v>22</v>
          </cell>
        </row>
        <row r="1304">
          <cell r="AO1304" t="str">
            <v>64</v>
          </cell>
        </row>
        <row r="1305">
          <cell r="AO1305" t="str">
            <v xml:space="preserve"> </v>
          </cell>
        </row>
        <row r="1306">
          <cell r="AO1306" t="str">
            <v>64</v>
          </cell>
        </row>
        <row r="1307">
          <cell r="AO1307" t="str">
            <v>66a</v>
          </cell>
        </row>
        <row r="1308">
          <cell r="AO1308" t="str">
            <v>64</v>
          </cell>
        </row>
        <row r="1309">
          <cell r="AO1309" t="str">
            <v>64</v>
          </cell>
        </row>
        <row r="1310">
          <cell r="AO1310" t="str">
            <v>64</v>
          </cell>
        </row>
        <row r="1311">
          <cell r="AO1311" t="str">
            <v>64</v>
          </cell>
        </row>
        <row r="1312">
          <cell r="AO1312" t="str">
            <v>64</v>
          </cell>
        </row>
        <row r="1313">
          <cell r="AO1313" t="str">
            <v>64</v>
          </cell>
        </row>
        <row r="1314">
          <cell r="AO1314" t="str">
            <v>64</v>
          </cell>
        </row>
        <row r="1315">
          <cell r="AO1315" t="str">
            <v>64</v>
          </cell>
        </row>
        <row r="1316">
          <cell r="AO1316" t="str">
            <v>64</v>
          </cell>
        </row>
        <row r="1317">
          <cell r="AO1317" t="str">
            <v>64</v>
          </cell>
        </row>
        <row r="1318">
          <cell r="AO1318" t="str">
            <v>64</v>
          </cell>
        </row>
        <row r="1319">
          <cell r="AO1319" t="str">
            <v>64</v>
          </cell>
        </row>
        <row r="1320">
          <cell r="AO1320" t="str">
            <v>66a</v>
          </cell>
        </row>
        <row r="1321">
          <cell r="AO1321" t="str">
            <v>22</v>
          </cell>
        </row>
        <row r="1322">
          <cell r="AO1322" t="str">
            <v xml:space="preserve"> </v>
          </cell>
        </row>
        <row r="1323">
          <cell r="AO1323" t="str">
            <v>66a</v>
          </cell>
        </row>
        <row r="1324">
          <cell r="AO1324" t="str">
            <v xml:space="preserve"> </v>
          </cell>
        </row>
        <row r="1325">
          <cell r="AO1325" t="str">
            <v>66a</v>
          </cell>
        </row>
        <row r="1327">
          <cell r="AO1327" t="str">
            <v>22</v>
          </cell>
        </row>
        <row r="1328">
          <cell r="AO1328" t="str">
            <v xml:space="preserve"> </v>
          </cell>
        </row>
        <row r="1329">
          <cell r="AO1329" t="str">
            <v>48</v>
          </cell>
        </row>
        <row r="1330">
          <cell r="AO1330" t="str">
            <v>48</v>
          </cell>
        </row>
        <row r="1331">
          <cell r="AO1331" t="str">
            <v>48</v>
          </cell>
        </row>
        <row r="1332">
          <cell r="AO1332" t="str">
            <v xml:space="preserve"> </v>
          </cell>
        </row>
        <row r="1333">
          <cell r="AO1333" t="str">
            <v xml:space="preserve"> </v>
          </cell>
        </row>
        <row r="1334">
          <cell r="AO1334" t="str">
            <v xml:space="preserve"> </v>
          </cell>
        </row>
        <row r="1336">
          <cell r="AO1336" t="str">
            <v xml:space="preserve"> </v>
          </cell>
        </row>
        <row r="1338">
          <cell r="AO1338" t="str">
            <v>64</v>
          </cell>
        </row>
        <row r="1339">
          <cell r="AO1339">
            <v>22</v>
          </cell>
        </row>
        <row r="1340">
          <cell r="AO1340" t="str">
            <v>65b</v>
          </cell>
        </row>
        <row r="1341">
          <cell r="AO1341" t="str">
            <v>22</v>
          </cell>
        </row>
        <row r="1342">
          <cell r="AO1342" t="str">
            <v>65b</v>
          </cell>
        </row>
        <row r="1344">
          <cell r="AO1344" t="str">
            <v>41</v>
          </cell>
        </row>
        <row r="1346">
          <cell r="AO1346" t="str">
            <v>66a</v>
          </cell>
        </row>
        <row r="1347">
          <cell r="AO1347" t="str">
            <v>47</v>
          </cell>
        </row>
        <row r="1348">
          <cell r="AO1348" t="str">
            <v>66a</v>
          </cell>
        </row>
        <row r="1349">
          <cell r="AO1349">
            <v>6</v>
          </cell>
        </row>
        <row r="1350">
          <cell r="AO1350">
            <v>6</v>
          </cell>
        </row>
        <row r="1351">
          <cell r="AO1351">
            <v>6</v>
          </cell>
        </row>
        <row r="1352">
          <cell r="AO1352">
            <v>6</v>
          </cell>
        </row>
        <row r="1353">
          <cell r="AO1353">
            <v>6</v>
          </cell>
        </row>
        <row r="1354">
          <cell r="AO1354">
            <v>6</v>
          </cell>
        </row>
        <row r="1355">
          <cell r="AO1355">
            <v>6</v>
          </cell>
        </row>
        <row r="1356">
          <cell r="AO1356">
            <v>6</v>
          </cell>
        </row>
        <row r="1357">
          <cell r="AO1357">
            <v>6</v>
          </cell>
        </row>
        <row r="1358">
          <cell r="AO1358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</row>
        <row r="25">
          <cell r="A25">
            <v>14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  <row r="7">
          <cell r="B7" t="str">
            <v>FOR THE TWELVE MONTHS ENDED SEPTEMBER 30, 2015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Delivery Costs"/>
      <sheetName val="Dist Costs (Line Ext)"/>
    </sheetNames>
    <sheetDataSet>
      <sheetData sheetId="0" refreshError="1"/>
      <sheetData sheetId="1">
        <row r="11">
          <cell r="C11">
            <v>3</v>
          </cell>
        </row>
        <row r="29">
          <cell r="F29">
            <v>7.8399999999999997E-2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Charge Summary===&gt;"/>
      <sheetName val="Exhibit No.__(JAP-Tariff)"/>
      <sheetName val="Tariff Summary Lights"/>
      <sheetName val="Rate Spread-Design====&gt;"/>
      <sheetName val="Exhibit No.__(JAP-Rate Spread)"/>
      <sheetName val="Exhibit No.__(JAP-Rate Des Sum)"/>
      <sheetName val="Exhibit No.__(JAP-Prof-Prop)"/>
      <sheetName val="Exhibit No.__(JAP-Res RD)"/>
      <sheetName val="Exhibit No.__(JAP-SV RD)"/>
      <sheetName val="Exhibit No.__(JAP-PV RD)"/>
      <sheetName val="Exhibit No.__(JAP-HV RD)"/>
      <sheetName val="Exhibit No.__(JAP-TRANSP RD)"/>
      <sheetName val="Exhibit No.__(JAP-LIGHT RD) "/>
      <sheetName val="NEW-PSE-WP-JAP06-ELEC-RATE-SP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">
          <cell r="I16">
            <v>92631640</v>
          </cell>
        </row>
        <row r="23">
          <cell r="C23">
            <v>10623030235.689331</v>
          </cell>
          <cell r="I23">
            <v>1190833571</v>
          </cell>
        </row>
      </sheetData>
      <sheetData sheetId="8">
        <row r="17">
          <cell r="I17">
            <v>24118368</v>
          </cell>
        </row>
        <row r="25">
          <cell r="C25">
            <v>2700129196.7702866</v>
          </cell>
          <cell r="I25">
            <v>283619465</v>
          </cell>
        </row>
        <row r="31">
          <cell r="I31">
            <v>5172812</v>
          </cell>
        </row>
        <row r="39">
          <cell r="C39">
            <v>2990164373.5601029</v>
          </cell>
        </row>
        <row r="47">
          <cell r="I47">
            <v>284958367</v>
          </cell>
        </row>
        <row r="65">
          <cell r="I65">
            <v>1159789</v>
          </cell>
        </row>
        <row r="73">
          <cell r="C73">
            <v>2276056</v>
          </cell>
          <cell r="I73">
            <v>28678306</v>
          </cell>
        </row>
        <row r="74">
          <cell r="C74">
            <v>2471864</v>
          </cell>
          <cell r="I74">
            <v>20763658</v>
          </cell>
        </row>
        <row r="75">
          <cell r="I75">
            <v>49441964</v>
          </cell>
        </row>
        <row r="79">
          <cell r="I79">
            <v>168582307</v>
          </cell>
        </row>
        <row r="85">
          <cell r="I85">
            <v>2572</v>
          </cell>
        </row>
        <row r="96">
          <cell r="C96">
            <v>13477</v>
          </cell>
          <cell r="I96">
            <v>169810</v>
          </cell>
        </row>
        <row r="97">
          <cell r="C97">
            <v>13267</v>
          </cell>
          <cell r="I97">
            <v>111443</v>
          </cell>
        </row>
        <row r="105">
          <cell r="I105">
            <v>930823</v>
          </cell>
        </row>
        <row r="118">
          <cell r="I118">
            <v>168252</v>
          </cell>
        </row>
        <row r="128">
          <cell r="C128">
            <v>16009313.796828577</v>
          </cell>
        </row>
        <row r="136">
          <cell r="I136">
            <v>1338346</v>
          </cell>
        </row>
      </sheetData>
      <sheetData sheetId="9">
        <row r="15">
          <cell r="I15">
            <v>2198897</v>
          </cell>
        </row>
        <row r="23">
          <cell r="C23">
            <v>1708564</v>
          </cell>
          <cell r="I23">
            <v>21083680</v>
          </cell>
        </row>
        <row r="24">
          <cell r="C24">
            <v>1755251</v>
          </cell>
          <cell r="I24">
            <v>14445716</v>
          </cell>
        </row>
        <row r="25">
          <cell r="I25">
            <v>35529396</v>
          </cell>
        </row>
        <row r="29">
          <cell r="I29">
            <v>121954195</v>
          </cell>
        </row>
        <row r="37">
          <cell r="I37">
            <v>14432</v>
          </cell>
        </row>
        <row r="43">
          <cell r="C43">
            <v>4443660</v>
          </cell>
        </row>
        <row r="51">
          <cell r="I51">
            <v>298893</v>
          </cell>
        </row>
        <row r="60">
          <cell r="I60">
            <v>693492</v>
          </cell>
        </row>
        <row r="66">
          <cell r="C66">
            <v>122500713.32397975</v>
          </cell>
        </row>
        <row r="75">
          <cell r="I75">
            <v>11713165</v>
          </cell>
        </row>
      </sheetData>
      <sheetData sheetId="10"/>
      <sheetData sheetId="11">
        <row r="30">
          <cell r="I30">
            <v>306800</v>
          </cell>
        </row>
        <row r="39">
          <cell r="C39">
            <v>336220536</v>
          </cell>
        </row>
        <row r="41">
          <cell r="I41">
            <v>4419379.78</v>
          </cell>
        </row>
      </sheetData>
      <sheetData sheetId="12"/>
      <sheetData sheetId="1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T"/>
      <sheetName val="FUNCALLOCD"/>
      <sheetName val="REV REQ"/>
      <sheetName val="Old Reports===&gt;"/>
      <sheetName val="Account Summary"/>
      <sheetName val="SUMMARY"/>
      <sheetName val="BC detail"/>
      <sheetName val="Salary &amp; Wage Summary"/>
      <sheetName val="Transmission Costs"/>
      <sheetName val="Dist Costs"/>
      <sheetName val="ErrorCheck"/>
      <sheetName val="COS Reports Exh JDB-4 p1-19&gt;&gt;&gt;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 Feeder "/>
      <sheetName val="SC Substation O&amp;M"/>
      <sheetName val="SC Substation A&amp;G"/>
      <sheetName val="PCA 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A1" t="str">
            <v>Puget Sound Energy</v>
          </cell>
        </row>
        <row r="2">
          <cell r="A2" t="str">
            <v>ELECTRIC COST OF SERVICE SUMMARY</v>
          </cell>
        </row>
        <row r="3">
          <cell r="A3" t="str">
            <v>Adjusted Test Year Twelve Months ended December 2018 @ Proforma Rev Requirement</v>
          </cell>
        </row>
        <row r="4">
          <cell r="A4" t="str">
            <v>Delivery Costs</v>
          </cell>
        </row>
        <row r="6">
          <cell r="A6" t="str">
            <v>Line No.</v>
          </cell>
          <cell r="B6" t="str">
            <v>Description</v>
          </cell>
          <cell r="C6" t="str">
            <v>Total Company</v>
          </cell>
          <cell r="E6" t="str">
            <v>Residential Sch 7</v>
          </cell>
          <cell r="F6" t="str">
            <v>Sec Volt Sch 24 (kW&lt; 50)</v>
          </cell>
          <cell r="G6" t="str">
            <v>Sec Volt Sch 25 (kW &gt; 50 &amp; &lt; 350)</v>
          </cell>
          <cell r="H6" t="str">
            <v>Sec Volt Sch 26 (kW &gt; 350)</v>
          </cell>
          <cell r="I6" t="str">
            <v>Pri Volt Sch 31 (General Service)</v>
          </cell>
          <cell r="J6" t="str">
            <v>Pri Volt Sch 35 (Irrigation)</v>
          </cell>
          <cell r="K6" t="str">
            <v>Pri Svc 43</v>
          </cell>
          <cell r="L6" t="str">
            <v>Special Contract</v>
          </cell>
          <cell r="M6" t="str">
            <v>High Volt 46/49</v>
          </cell>
          <cell r="N6" t="str">
            <v>Choice/Retail Wheeling</v>
          </cell>
          <cell r="O6" t="str">
            <v>Lighting 50-59</v>
          </cell>
          <cell r="P6" t="str">
            <v>Firm Resale</v>
          </cell>
        </row>
        <row r="9">
          <cell r="E9">
            <v>11476152247.161776</v>
          </cell>
          <cell r="F9">
            <v>2915955626.4103169</v>
          </cell>
          <cell r="G9">
            <v>3242765959.9604325</v>
          </cell>
          <cell r="H9">
            <v>2092770306.5275679</v>
          </cell>
          <cell r="I9">
            <v>1456029850.0547175</v>
          </cell>
          <cell r="J9">
            <v>4597572.0317007378</v>
          </cell>
          <cell r="K9">
            <v>126890757.18193617</v>
          </cell>
          <cell r="L9">
            <v>0</v>
          </cell>
          <cell r="M9">
            <v>630228919.26662493</v>
          </cell>
          <cell r="N9">
            <v>0</v>
          </cell>
          <cell r="O9">
            <v>75887375.026475519</v>
          </cell>
          <cell r="P9">
            <v>7427003.1359829875</v>
          </cell>
        </row>
        <row r="10">
          <cell r="E10">
            <v>2236474.2253660602</v>
          </cell>
          <cell r="F10">
            <v>515625.82524854271</v>
          </cell>
          <cell r="G10">
            <v>551893.91878041346</v>
          </cell>
          <cell r="H10">
            <v>289974.91765494185</v>
          </cell>
          <cell r="I10">
            <v>204844.84270926949</v>
          </cell>
          <cell r="J10">
            <v>7.0004300675974864</v>
          </cell>
          <cell r="K10">
            <v>0</v>
          </cell>
          <cell r="L10">
            <v>0</v>
          </cell>
          <cell r="M10">
            <v>69577.130407689765</v>
          </cell>
          <cell r="N10">
            <v>0</v>
          </cell>
          <cell r="O10">
            <v>8059.2720272472116</v>
          </cell>
          <cell r="P10">
            <v>1428.4140277629981</v>
          </cell>
        </row>
        <row r="11">
          <cell r="E11">
            <v>0.52709731139948457</v>
          </cell>
          <cell r="F11">
            <v>0.1324361696054952</v>
          </cell>
          <cell r="G11">
            <v>0.14666868464792659</v>
          </cell>
          <cell r="H11">
            <v>9.2777169236386001E-2</v>
          </cell>
          <cell r="I11">
            <v>6.4636892642454535E-2</v>
          </cell>
          <cell r="J11">
            <v>1.8594889359473013E-4</v>
          </cell>
          <cell r="K11">
            <v>5.1266186882089771E-3</v>
          </cell>
          <cell r="L11">
            <v>0</v>
          </cell>
          <cell r="M11">
            <v>2.7436024162419342E-2</v>
          </cell>
          <cell r="N11">
            <v>0</v>
          </cell>
          <cell r="O11">
            <v>3.2945978575228446E-3</v>
          </cell>
          <cell r="P11">
            <v>3.4058286650739451E-4</v>
          </cell>
        </row>
        <row r="12">
          <cell r="C12">
            <v>0.89</v>
          </cell>
        </row>
        <row r="13">
          <cell r="C13">
            <v>0.11</v>
          </cell>
        </row>
        <row r="15">
          <cell r="E15">
            <v>1248408581.5438199</v>
          </cell>
          <cell r="F15">
            <v>275434197.15899944</v>
          </cell>
          <cell r="G15">
            <v>276965967.35293627</v>
          </cell>
          <cell r="H15">
            <v>164582928.85837889</v>
          </cell>
          <cell r="I15">
            <v>120723938.71455948</v>
          </cell>
          <cell r="J15">
            <v>528913.06313382031</v>
          </cell>
          <cell r="K15">
            <v>13162686.087205939</v>
          </cell>
          <cell r="L15">
            <v>6970878.964125284</v>
          </cell>
          <cell r="M15">
            <v>44366783.363342077</v>
          </cell>
          <cell r="N15">
            <v>13144874.817254214</v>
          </cell>
          <cell r="O15">
            <v>18809449.242601223</v>
          </cell>
          <cell r="P15">
            <v>706483.57448899955</v>
          </cell>
        </row>
        <row r="17">
          <cell r="E17">
            <v>44774403.145353243</v>
          </cell>
          <cell r="F17">
            <v>11637354.159992099</v>
          </cell>
          <cell r="G17">
            <v>8972754.1885492373</v>
          </cell>
          <cell r="H17">
            <v>5323116.7144631036</v>
          </cell>
          <cell r="I17">
            <v>4242331.592676946</v>
          </cell>
          <cell r="J17">
            <v>17150.614727296965</v>
          </cell>
          <cell r="K17">
            <v>370120.97276047437</v>
          </cell>
          <cell r="L17">
            <v>1110812.9075238416</v>
          </cell>
          <cell r="M17">
            <v>4461904.9807481915</v>
          </cell>
          <cell r="N17">
            <v>1077072.9172933849</v>
          </cell>
          <cell r="O17">
            <v>286414.50666749151</v>
          </cell>
          <cell r="P17">
            <v>27230.30505731501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  <sheetName val="Rllfwd"/>
      <sheetName val="Named Ranges"/>
      <sheetName val="ETR GRC vs CBR TBPI 100%"/>
      <sheetName val="ETR GRC vs CBR"/>
      <sheetName val="ETR"/>
      <sheetName val="Check ETR"/>
      <sheetName val="Dirty only==&gt;"/>
      <sheetName val="FIT Plug Temp Adj"/>
      <sheetName val="Verify"/>
      <sheetName val="ARAM"/>
    </sheetNames>
    <sheetDataSet>
      <sheetData sheetId="0">
        <row r="18">
          <cell r="H18">
            <v>7.0199999999999999E-2</v>
          </cell>
          <cell r="M18">
            <v>0.95111500000000004</v>
          </cell>
        </row>
      </sheetData>
      <sheetData sheetId="1">
        <row r="16">
          <cell r="G16">
            <v>5469488.0226491988</v>
          </cell>
          <cell r="I16">
            <v>5469488.0226491988</v>
          </cell>
        </row>
        <row r="23">
          <cell r="G23">
            <v>180672605.83404732</v>
          </cell>
        </row>
        <row r="24">
          <cell r="G24">
            <v>446679558.91286945</v>
          </cell>
        </row>
        <row r="25">
          <cell r="G25">
            <v>112334321.32462588</v>
          </cell>
        </row>
        <row r="27">
          <cell r="I27">
            <v>739686486.07154262</v>
          </cell>
        </row>
        <row r="29">
          <cell r="G29">
            <v>109175792.16812748</v>
          </cell>
        </row>
      </sheetData>
      <sheetData sheetId="2">
        <row r="24">
          <cell r="K24">
            <v>-12929.322150284017</v>
          </cell>
          <cell r="R24">
            <v>6341.1377968182787</v>
          </cell>
          <cell r="AN24">
            <v>245950.53762489464</v>
          </cell>
        </row>
        <row r="29">
          <cell r="K29">
            <v>-43337.161375397118</v>
          </cell>
          <cell r="R29">
            <v>7381.9615589678288</v>
          </cell>
          <cell r="AN29">
            <v>691614.88958714157</v>
          </cell>
          <cell r="BK29">
            <v>109175792.16812748</v>
          </cell>
        </row>
      </sheetData>
      <sheetData sheetId="3"/>
      <sheetData sheetId="4"/>
      <sheetData sheetId="5">
        <row r="19">
          <cell r="O19">
            <v>777635.66528346541</v>
          </cell>
        </row>
        <row r="31">
          <cell r="AU31">
            <v>148923662.89445901</v>
          </cell>
        </row>
        <row r="37">
          <cell r="AU37">
            <v>2885052</v>
          </cell>
        </row>
        <row r="41">
          <cell r="AU41">
            <v>687420</v>
          </cell>
        </row>
        <row r="47">
          <cell r="AU47">
            <v>4459451.03318753</v>
          </cell>
        </row>
        <row r="49">
          <cell r="AU49">
            <v>8031923.03318753</v>
          </cell>
        </row>
      </sheetData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A-1"/>
      <sheetName val="support A-1=&gt;"/>
      <sheetName val="Unprotected DFIT Lead"/>
      <sheetName val="Unprotected DFIT Reg Asset Amor"/>
      <sheetName val="For Prod Adj Expense"/>
      <sheetName val="Rate Base Summarized"/>
      <sheetName val="Prod 12-2018"/>
      <sheetName val="Trans 12-2018"/>
      <sheetName val="Trans Dep AMA to EOP"/>
      <sheetName val="DFIT EIM 2018"/>
      <sheetName val="DFIT 2018"/>
      <sheetName val="ARC &amp; ARO DIT Dec 2018"/>
      <sheetName val="Colstrip FERC"/>
      <sheetName val="Acq Adj"/>
      <sheetName val="Account 406"/>
      <sheetName val="Brokerage Fees"/>
      <sheetName val="Baker Treasury Grt"/>
      <sheetName val="Snoq Treasury Grt "/>
    </sheetNames>
    <sheetDataSet>
      <sheetData sheetId="0"/>
      <sheetData sheetId="1"/>
      <sheetData sheetId="2">
        <row r="9">
          <cell r="G9">
            <v>1481785.0200000014</v>
          </cell>
        </row>
        <row r="13">
          <cell r="G13">
            <v>-2963570.0399999996</v>
          </cell>
        </row>
      </sheetData>
      <sheetData sheetId="3"/>
      <sheetData sheetId="4">
        <row r="9">
          <cell r="H9">
            <v>239362.3532714289</v>
          </cell>
        </row>
        <row r="14">
          <cell r="H14">
            <v>8840460.579817621</v>
          </cell>
        </row>
        <row r="18">
          <cell r="H18">
            <v>1989467.6013443223</v>
          </cell>
        </row>
        <row r="19">
          <cell r="H19">
            <v>3895439.2738404199</v>
          </cell>
        </row>
        <row r="43">
          <cell r="C43">
            <v>169567639.20922089</v>
          </cell>
        </row>
      </sheetData>
      <sheetData sheetId="5">
        <row r="14">
          <cell r="G14">
            <v>1693438871.8557312</v>
          </cell>
        </row>
      </sheetData>
      <sheetData sheetId="6"/>
      <sheetData sheetId="7">
        <row r="66">
          <cell r="G66">
            <v>79202112.316321075</v>
          </cell>
          <cell r="I66">
            <v>3531950.8300239993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Verify Power Costs"/>
      <sheetName val="Power Cost Bridge to A-1"/>
      <sheetName val="Production Factor"/>
      <sheetName val="B&amp;T 557"/>
      <sheetName val="B&amp;T O&amp;M"/>
      <sheetName val="Centralia Equity Kicker"/>
      <sheetName val="Estimate OATT Trans Rev"/>
      <sheetName val="PWX Microsoft"/>
      <sheetName val="Act OATT Rev 45610005"/>
      <sheetName val="RJR"/>
      <sheetName val="500KV"/>
      <sheetName val="PKW RY PC1"/>
      <sheetName val="Power Costs"/>
      <sheetName val="Schedule_B"/>
      <sheetName val="Actuals"/>
      <sheetName val="CT Oil Valuation"/>
      <sheetName val="Centrailia"/>
      <sheetName val="Restating=&gt;"/>
      <sheetName val="PKW24C FERC 557 costs"/>
      <sheetName val="F2018 Sch Level Delivered Load"/>
      <sheetName val="Electric - Load"/>
      <sheetName val="Temp Norm Adj=&gt;"/>
      <sheetName val="PKW 557"/>
      <sheetName val="Load Impact to Cost &amp; Rev"/>
      <sheetName val="Load Temp Adj"/>
      <sheetName val="2018 Hydro"/>
      <sheetName val="2018 Wind"/>
      <sheetName val="EA Database"/>
      <sheetName val="BAGE &amp; SAGE"/>
      <sheetName val="PKW-WP ENERG"/>
      <sheetName val="Wind Integration Costs"/>
      <sheetName val="Price"/>
      <sheetName val="PCA Calc=&gt;"/>
      <sheetName val="Sched B 2018"/>
      <sheetName val="Actuals 2018"/>
    </sheetNames>
    <sheetDataSet>
      <sheetData sheetId="0"/>
      <sheetData sheetId="1"/>
      <sheetData sheetId="2">
        <row r="13">
          <cell r="J13">
            <v>37464673.568808615</v>
          </cell>
        </row>
        <row r="14">
          <cell r="J14">
            <v>143207932.26523876</v>
          </cell>
        </row>
        <row r="15">
          <cell r="J15">
            <v>433447888.18948001</v>
          </cell>
        </row>
        <row r="16">
          <cell r="J16">
            <v>7832796.3799999999</v>
          </cell>
        </row>
        <row r="17">
          <cell r="J17">
            <v>426253.88751197996</v>
          </cell>
        </row>
        <row r="18">
          <cell r="J18">
            <v>112334321.32462588</v>
          </cell>
        </row>
        <row r="19">
          <cell r="J19">
            <v>-5469488.0226492053</v>
          </cell>
        </row>
        <row r="20">
          <cell r="J20">
            <v>-21415123.754653782</v>
          </cell>
        </row>
        <row r="24">
          <cell r="J24">
            <v>108520132.47835678</v>
          </cell>
        </row>
        <row r="25">
          <cell r="J25">
            <v>876514.03</v>
          </cell>
        </row>
        <row r="26">
          <cell r="J26">
            <v>-8666881.7085096519</v>
          </cell>
        </row>
        <row r="27">
          <cell r="J27">
            <v>4733258.1026060628</v>
          </cell>
        </row>
        <row r="28">
          <cell r="J28">
            <v>813292276.7408154</v>
          </cell>
        </row>
      </sheetData>
      <sheetData sheetId="3">
        <row r="42">
          <cell r="D42">
            <v>20503307194.246826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tabSelected="1" workbookViewId="0">
      <selection activeCell="B26" sqref="B26"/>
    </sheetView>
  </sheetViews>
  <sheetFormatPr defaultColWidth="8.85546875" defaultRowHeight="11.25" x14ac:dyDescent="0.2"/>
  <cols>
    <col min="1" max="1" width="5.28515625" style="3" customWidth="1"/>
    <col min="2" max="2" width="23.28515625" style="3" bestFit="1" customWidth="1"/>
    <col min="3" max="3" width="9.5703125" style="3" bestFit="1" customWidth="1"/>
    <col min="4" max="4" width="12.85546875" style="3" bestFit="1" customWidth="1"/>
    <col min="5" max="5" width="11.5703125" style="3" bestFit="1" customWidth="1"/>
    <col min="6" max="6" width="17.28515625" style="3" bestFit="1" customWidth="1"/>
    <col min="7" max="7" width="9.85546875" style="3" bestFit="1" customWidth="1"/>
    <col min="8" max="9" width="11.5703125" style="3" bestFit="1" customWidth="1"/>
    <col min="10" max="10" width="0.85546875" style="3" customWidth="1"/>
    <col min="11" max="11" width="11.85546875" style="3" bestFit="1" customWidth="1"/>
    <col min="12" max="12" width="8.5703125" style="3" bestFit="1" customWidth="1"/>
    <col min="13" max="13" width="10.7109375" style="3" bestFit="1" customWidth="1"/>
    <col min="14" max="14" width="11.28515625" style="102" bestFit="1" customWidth="1"/>
    <col min="15" max="15" width="13.42578125" style="3" bestFit="1" customWidth="1"/>
    <col min="16" max="16384" width="8.85546875" style="3"/>
  </cols>
  <sheetData>
    <row r="1" spans="1:17" x14ac:dyDescent="0.2">
      <c r="A1" s="240" t="s">
        <v>16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99"/>
      <c r="O1" s="2"/>
      <c r="P1" s="2"/>
      <c r="Q1" s="2"/>
    </row>
    <row r="2" spans="1:17" x14ac:dyDescent="0.2">
      <c r="A2" s="241" t="s">
        <v>107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99"/>
      <c r="O2" s="2"/>
      <c r="P2" s="2"/>
      <c r="Q2" s="2"/>
    </row>
    <row r="3" spans="1:17" x14ac:dyDescent="0.2">
      <c r="A3" s="240" t="s">
        <v>86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99"/>
      <c r="O3" s="2"/>
      <c r="P3" s="2"/>
      <c r="Q3" s="2"/>
    </row>
    <row r="4" spans="1:17" x14ac:dyDescent="0.2">
      <c r="A4" s="240" t="s">
        <v>80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99"/>
      <c r="O4" s="2"/>
      <c r="P4" s="2"/>
      <c r="Q4" s="2"/>
    </row>
    <row r="5" spans="1:17" x14ac:dyDescent="0.2">
      <c r="A5" s="240"/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99"/>
      <c r="O5" s="2"/>
      <c r="P5" s="2"/>
      <c r="Q5" s="2"/>
    </row>
    <row r="6" spans="1:17" x14ac:dyDescent="0.2">
      <c r="A6" s="113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00"/>
      <c r="O6" s="2"/>
      <c r="P6" s="2"/>
      <c r="Q6" s="2"/>
    </row>
    <row r="7" spans="1:17" x14ac:dyDescent="0.2">
      <c r="A7" s="5"/>
      <c r="B7" s="113"/>
      <c r="C7" s="113"/>
      <c r="D7" s="113"/>
      <c r="E7" s="113"/>
      <c r="F7" s="113"/>
      <c r="G7" s="113"/>
      <c r="H7" s="113"/>
      <c r="J7" s="113"/>
      <c r="K7" s="113"/>
      <c r="L7" s="113"/>
      <c r="M7" s="113"/>
      <c r="N7" s="101"/>
      <c r="O7" s="113"/>
      <c r="P7" s="2"/>
      <c r="Q7" s="2"/>
    </row>
    <row r="8" spans="1:17" ht="15" customHeight="1" x14ac:dyDescent="0.2">
      <c r="A8" s="6" t="s">
        <v>59</v>
      </c>
      <c r="B8" s="113"/>
      <c r="C8" s="113"/>
      <c r="D8" s="113" t="s">
        <v>61</v>
      </c>
      <c r="E8" s="113" t="s">
        <v>62</v>
      </c>
      <c r="F8" s="113" t="s">
        <v>62</v>
      </c>
      <c r="G8" s="113" t="s">
        <v>112</v>
      </c>
      <c r="H8" s="113" t="s">
        <v>62</v>
      </c>
      <c r="I8" s="113" t="s">
        <v>62</v>
      </c>
      <c r="J8" s="113"/>
      <c r="K8" s="113" t="s">
        <v>62</v>
      </c>
      <c r="L8" s="113" t="s">
        <v>33</v>
      </c>
      <c r="M8" s="113" t="s">
        <v>33</v>
      </c>
      <c r="N8" s="101"/>
      <c r="O8" s="113"/>
      <c r="P8" s="2"/>
      <c r="Q8" s="2"/>
    </row>
    <row r="9" spans="1:17" ht="15" customHeight="1" x14ac:dyDescent="0.2">
      <c r="A9" s="7" t="s">
        <v>60</v>
      </c>
      <c r="B9" s="8"/>
      <c r="C9" s="9" t="s">
        <v>14</v>
      </c>
      <c r="D9" s="10">
        <v>7</v>
      </c>
      <c r="E9" s="10" t="s">
        <v>45</v>
      </c>
      <c r="F9" s="10" t="s">
        <v>63</v>
      </c>
      <c r="G9" s="10" t="s">
        <v>113</v>
      </c>
      <c r="H9" s="10" t="s">
        <v>46</v>
      </c>
      <c r="I9" s="10" t="s">
        <v>47</v>
      </c>
      <c r="J9" s="11"/>
      <c r="K9" s="10" t="s">
        <v>64</v>
      </c>
      <c r="L9" s="10">
        <v>35</v>
      </c>
      <c r="M9" s="10">
        <v>43</v>
      </c>
      <c r="Q9" s="2"/>
    </row>
    <row r="10" spans="1:17" x14ac:dyDescent="0.2">
      <c r="A10" s="12"/>
      <c r="B10" s="13" t="s">
        <v>13</v>
      </c>
      <c r="C10" s="13" t="s">
        <v>12</v>
      </c>
      <c r="D10" s="13" t="s">
        <v>11</v>
      </c>
      <c r="E10" s="13" t="s">
        <v>10</v>
      </c>
      <c r="F10" s="13" t="s">
        <v>73</v>
      </c>
      <c r="G10" s="13" t="s">
        <v>8</v>
      </c>
      <c r="H10" s="13" t="s">
        <v>7</v>
      </c>
      <c r="I10" s="13" t="s">
        <v>6</v>
      </c>
      <c r="J10" s="14"/>
      <c r="K10" s="13" t="s">
        <v>5</v>
      </c>
      <c r="L10" s="13" t="s">
        <v>4</v>
      </c>
      <c r="M10" s="13" t="s">
        <v>3</v>
      </c>
      <c r="N10" s="103"/>
      <c r="Q10" s="2"/>
    </row>
    <row r="11" spans="1:17" x14ac:dyDescent="0.2">
      <c r="A11" s="13">
        <v>1</v>
      </c>
      <c r="B11" s="15" t="s">
        <v>50</v>
      </c>
      <c r="C11" s="13"/>
      <c r="D11" s="13"/>
      <c r="E11" s="13"/>
      <c r="F11" s="13"/>
      <c r="G11" s="13"/>
      <c r="H11" s="13"/>
      <c r="I11" s="13"/>
      <c r="J11" s="14"/>
      <c r="K11" s="13"/>
      <c r="L11" s="13"/>
      <c r="M11" s="13"/>
      <c r="Q11" s="2"/>
    </row>
    <row r="12" spans="1:17" x14ac:dyDescent="0.2">
      <c r="A12" s="13">
        <f>A11+1</f>
        <v>2</v>
      </c>
      <c r="B12" s="16" t="s">
        <v>85</v>
      </c>
      <c r="C12" s="13" t="s">
        <v>244</v>
      </c>
      <c r="D12" s="17">
        <f>'[53]Exhibit No.__(JAP-Res RD)'!$I$23</f>
        <v>1190833571</v>
      </c>
      <c r="E12" s="17">
        <f>'[53]Exhibit No.__(JAP-SV RD)'!$I$25</f>
        <v>283619465</v>
      </c>
      <c r="F12" s="18">
        <f>SUM(K12:M12)</f>
        <v>298308771</v>
      </c>
      <c r="G12" s="17">
        <f>'[53]Exhibit No.__(JAP-TRANSP RD)'!$I$41</f>
        <v>4419379.78</v>
      </c>
      <c r="H12" s="17">
        <f>'[53]Exhibit No.__(JAP-SV RD)'!$I$79+'[53]Exhibit No.__(JAP-SV RD)'!$I$105</f>
        <v>169513130</v>
      </c>
      <c r="I12" s="17">
        <f>'[53]Exhibit No.__(JAP-PV RD)'!$I$29</f>
        <v>121954195</v>
      </c>
      <c r="J12" s="19"/>
      <c r="K12" s="17">
        <f>'[53]Exhibit No.__(JAP-SV RD)'!$I$47+'[53]Exhibit No.__(JAP-SV RD)'!$I$136</f>
        <v>286296713</v>
      </c>
      <c r="L12" s="17">
        <f>'[53]Exhibit No.__(JAP-PV RD)'!$I$51</f>
        <v>298893</v>
      </c>
      <c r="M12" s="17">
        <f>'[53]Exhibit No.__(JAP-PV RD)'!$I$75</f>
        <v>11713165</v>
      </c>
      <c r="N12" s="104"/>
      <c r="Q12" s="2"/>
    </row>
    <row r="13" spans="1:17" x14ac:dyDescent="0.2">
      <c r="A13" s="13">
        <f t="shared" ref="A13:A18" si="0">A12+1</f>
        <v>3</v>
      </c>
      <c r="B13" s="12" t="s">
        <v>49</v>
      </c>
      <c r="C13" s="13" t="s">
        <v>87</v>
      </c>
      <c r="D13" s="20">
        <f>'2019 GRC PCA Cost'!E25</f>
        <v>653245437.42999434</v>
      </c>
      <c r="E13" s="20">
        <f>'2019 GRC PCA Cost'!F25</f>
        <v>164131597.09692881</v>
      </c>
      <c r="F13" s="21">
        <f>SUM(K13:M13)</f>
        <v>188354327.45875615</v>
      </c>
      <c r="G13" s="20">
        <f>'2019 GRC PCA Cost'!L25</f>
        <v>0</v>
      </c>
      <c r="H13" s="20">
        <f>'2019 GRC PCA Cost'!H25</f>
        <v>114981164.18090849</v>
      </c>
      <c r="I13" s="20">
        <f>'2019 GRC PCA Cost'!I25</f>
        <v>80106185.888576105</v>
      </c>
      <c r="J13" s="19"/>
      <c r="K13" s="20">
        <f>'2019 GRC PCA Cost'!G25</f>
        <v>181770323.97629184</v>
      </c>
      <c r="L13" s="20">
        <f>'2019 GRC PCA Cost'!J25</f>
        <v>230451.31080900395</v>
      </c>
      <c r="M13" s="20">
        <f>'2019 GRC PCA Cost'!K25</f>
        <v>6353552.1716552842</v>
      </c>
      <c r="N13" s="104"/>
      <c r="Q13" s="2"/>
    </row>
    <row r="14" spans="1:17" x14ac:dyDescent="0.2">
      <c r="A14" s="13">
        <f t="shared" si="0"/>
        <v>4</v>
      </c>
      <c r="B14" s="16" t="s">
        <v>88</v>
      </c>
      <c r="C14" s="13" t="str">
        <f>"("&amp;A12&amp;") - ("&amp;A$13&amp;")"</f>
        <v>(2) - (3)</v>
      </c>
      <c r="D14" s="18">
        <f>D12-D13</f>
        <v>537588133.57000566</v>
      </c>
      <c r="E14" s="18">
        <f t="shared" ref="E14:L14" si="1">E12-E13</f>
        <v>119487867.90307119</v>
      </c>
      <c r="F14" s="18">
        <f t="shared" si="1"/>
        <v>109954443.54124385</v>
      </c>
      <c r="G14" s="18">
        <f>G12-G13</f>
        <v>4419379.78</v>
      </c>
      <c r="H14" s="18">
        <f>H12-H13</f>
        <v>54531965.819091514</v>
      </c>
      <c r="I14" s="18">
        <f>I12-I13</f>
        <v>41848009.111423895</v>
      </c>
      <c r="J14" s="19"/>
      <c r="K14" s="18">
        <f t="shared" si="1"/>
        <v>104526389.02370816</v>
      </c>
      <c r="L14" s="18">
        <f t="shared" si="1"/>
        <v>68441.689190996054</v>
      </c>
      <c r="M14" s="18">
        <f>M12-M13</f>
        <v>5359612.8283447158</v>
      </c>
      <c r="Q14" s="2"/>
    </row>
    <row r="15" spans="1:17" x14ac:dyDescent="0.2">
      <c r="A15" s="13">
        <f t="shared" si="0"/>
        <v>5</v>
      </c>
      <c r="B15" s="16"/>
      <c r="C15" s="22"/>
      <c r="D15" s="18"/>
      <c r="E15" s="18"/>
      <c r="F15" s="18"/>
      <c r="G15" s="18"/>
      <c r="H15" s="18"/>
      <c r="I15" s="18"/>
      <c r="J15" s="19"/>
      <c r="K15" s="18"/>
      <c r="L15" s="18"/>
      <c r="M15" s="18"/>
      <c r="Q15" s="2"/>
    </row>
    <row r="16" spans="1:17" x14ac:dyDescent="0.2">
      <c r="A16" s="13">
        <f t="shared" si="0"/>
        <v>6</v>
      </c>
      <c r="B16" s="12" t="s">
        <v>48</v>
      </c>
      <c r="C16" s="13" t="s">
        <v>244</v>
      </c>
      <c r="D16" s="17">
        <f>'[53]Exhibit No.__(JAP-Res RD)'!$I$16</f>
        <v>92631640</v>
      </c>
      <c r="E16" s="17">
        <f>'[53]Exhibit No.__(JAP-SV RD)'!$I$17</f>
        <v>24118368</v>
      </c>
      <c r="F16" s="18">
        <f>SUM(K16:M16)</f>
        <v>6048988</v>
      </c>
      <c r="G16" s="17">
        <f>'[53]Exhibit No.__(JAP-TRANSP RD)'!$I$30</f>
        <v>306800</v>
      </c>
      <c r="H16" s="17">
        <f>'[53]Exhibit No.__(JAP-SV RD)'!$I$65+'[53]Exhibit No.__(JAP-SV RD)'!$I$85</f>
        <v>1162361</v>
      </c>
      <c r="I16" s="17">
        <f>'[53]Exhibit No.__(JAP-PV RD)'!$I$15</f>
        <v>2198897</v>
      </c>
      <c r="J16" s="19"/>
      <c r="K16" s="17">
        <f>'[53]Exhibit No.__(JAP-SV RD)'!$I$31+'[53]Exhibit No.__(JAP-SV RD)'!$I$118</f>
        <v>5341064</v>
      </c>
      <c r="L16" s="17">
        <f>'[53]Exhibit No.__(JAP-PV RD)'!$I$37</f>
        <v>14432</v>
      </c>
      <c r="M16" s="17">
        <f>'[53]Exhibit No.__(JAP-PV RD)'!$I$60</f>
        <v>693492</v>
      </c>
      <c r="Q16" s="2"/>
    </row>
    <row r="17" spans="1:17" x14ac:dyDescent="0.2">
      <c r="A17" s="13">
        <f t="shared" si="0"/>
        <v>7</v>
      </c>
      <c r="B17" s="12"/>
      <c r="C17" s="23"/>
      <c r="D17" s="19"/>
      <c r="E17" s="19"/>
      <c r="F17" s="19"/>
      <c r="G17" s="19"/>
      <c r="H17" s="19"/>
      <c r="I17" s="19"/>
      <c r="J17" s="19"/>
      <c r="K17" s="19"/>
      <c r="L17" s="19"/>
      <c r="M17" s="19"/>
      <c r="Q17" s="2"/>
    </row>
    <row r="18" spans="1:17" ht="12" thickBot="1" x14ac:dyDescent="0.25">
      <c r="A18" s="13">
        <f t="shared" si="0"/>
        <v>8</v>
      </c>
      <c r="B18" s="12" t="s">
        <v>89</v>
      </c>
      <c r="C18" s="13" t="str">
        <f>"("&amp;A14&amp;") - ("&amp;A16&amp;")"</f>
        <v>(4) - (6)</v>
      </c>
      <c r="D18" s="24">
        <f>D14-D16</f>
        <v>444956493.57000566</v>
      </c>
      <c r="E18" s="24">
        <f t="shared" ref="E18:I18" si="2">E14-E16</f>
        <v>95369499.903071195</v>
      </c>
      <c r="F18" s="24">
        <f t="shared" si="2"/>
        <v>103905455.54124385</v>
      </c>
      <c r="G18" s="24">
        <f t="shared" si="2"/>
        <v>4112579.7800000003</v>
      </c>
      <c r="H18" s="24">
        <f t="shared" si="2"/>
        <v>53369604.819091514</v>
      </c>
      <c r="I18" s="24">
        <f t="shared" si="2"/>
        <v>39649112.111423895</v>
      </c>
      <c r="J18" s="18"/>
      <c r="K18" s="24">
        <f>K14-K16</f>
        <v>99185325.023708165</v>
      </c>
      <c r="L18" s="24">
        <f t="shared" ref="L18:M18" si="3">L14-L16</f>
        <v>54009.689190996054</v>
      </c>
      <c r="M18" s="24">
        <f t="shared" si="3"/>
        <v>4666120.8283447158</v>
      </c>
      <c r="Q18" s="2"/>
    </row>
    <row r="19" spans="1:17" ht="12" thickTop="1" x14ac:dyDescent="0.2">
      <c r="A19" s="2"/>
      <c r="B19" s="12"/>
      <c r="C19" s="2"/>
      <c r="D19" s="25"/>
      <c r="E19" s="2"/>
      <c r="F19" s="2"/>
      <c r="G19" s="2"/>
      <c r="H19" s="2"/>
      <c r="I19" s="2"/>
      <c r="J19" s="2"/>
      <c r="K19" s="2"/>
      <c r="L19" s="2"/>
      <c r="M19" s="2"/>
      <c r="N19" s="100"/>
      <c r="O19" s="2"/>
      <c r="P19" s="2"/>
      <c r="Q19" s="2"/>
    </row>
    <row r="21" spans="1:17" x14ac:dyDescent="0.2">
      <c r="B21" s="12" t="s">
        <v>118</v>
      </c>
    </row>
  </sheetData>
  <mergeCells count="5">
    <mergeCell ref="A1:M1"/>
    <mergeCell ref="A3:M3"/>
    <mergeCell ref="A4:M4"/>
    <mergeCell ref="A2:M2"/>
    <mergeCell ref="A5:M5"/>
  </mergeCells>
  <printOptions horizontalCentered="1"/>
  <pageMargins left="0.7" right="0.7" top="0.75" bottom="0.75" header="0.3" footer="0.3"/>
  <pageSetup scale="73" orientation="landscape" blackAndWhite="1" horizontalDpi="300" verticalDpi="300" r:id="rId1"/>
  <headerFooter alignWithMargins="0">
    <oddFooter>&amp;R&amp;A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zoomScaleNormal="100" workbookViewId="0">
      <selection activeCell="I16" sqref="I16"/>
    </sheetView>
  </sheetViews>
  <sheetFormatPr defaultColWidth="9.140625" defaultRowHeight="11.25" x14ac:dyDescent="0.2"/>
  <cols>
    <col min="1" max="1" width="4.28515625" style="28" bestFit="1" customWidth="1"/>
    <col min="2" max="2" width="46.28515625" style="28" customWidth="1"/>
    <col min="3" max="3" width="10.42578125" style="28" bestFit="1" customWidth="1"/>
    <col min="4" max="4" width="10.28515625" style="28" bestFit="1" customWidth="1"/>
    <col min="5" max="5" width="9.5703125" style="28" bestFit="1" customWidth="1"/>
    <col min="6" max="6" width="15.85546875" style="28" bestFit="1" customWidth="1"/>
    <col min="7" max="7" width="9.7109375" style="28" customWidth="1"/>
    <col min="8" max="9" width="9.5703125" style="28" bestFit="1" customWidth="1"/>
    <col min="10" max="10" width="7.85546875" style="28" bestFit="1" customWidth="1"/>
    <col min="11" max="11" width="14.5703125" style="28" bestFit="1" customWidth="1"/>
    <col min="12" max="12" width="9.140625" style="28"/>
    <col min="13" max="13" width="10.28515625" style="28" bestFit="1" customWidth="1"/>
    <col min="14" max="16384" width="9.140625" style="28"/>
  </cols>
  <sheetData>
    <row r="1" spans="1:20" x14ac:dyDescent="0.2">
      <c r="A1" s="240" t="str">
        <f>'Exh. JAP-11 Page 1'!A1:M1</f>
        <v>Puget Sound Energy</v>
      </c>
      <c r="B1" s="240"/>
      <c r="C1" s="240"/>
      <c r="D1" s="240"/>
      <c r="E1" s="240"/>
      <c r="F1" s="240"/>
      <c r="G1" s="240"/>
      <c r="H1" s="240"/>
      <c r="I1" s="240"/>
      <c r="J1" s="1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spans="1:20" ht="12.75" customHeight="1" x14ac:dyDescent="0.2">
      <c r="A2" s="242" t="str">
        <f>'Exh. JAP-11 Page 1'!A2:M2</f>
        <v>2019 General Rate Case (GRC)</v>
      </c>
      <c r="B2" s="242"/>
      <c r="C2" s="242"/>
      <c r="D2" s="242"/>
      <c r="E2" s="242"/>
      <c r="F2" s="242"/>
      <c r="G2" s="242"/>
      <c r="H2" s="242"/>
      <c r="I2" s="242"/>
      <c r="J2" s="1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spans="1:20" ht="12.75" customHeight="1" x14ac:dyDescent="0.2">
      <c r="A3" s="240" t="str">
        <f>'Exh. JAP-11 Page 1'!A3:M3</f>
        <v>Electric Decoupling Mechanism (Schedule 142)</v>
      </c>
      <c r="B3" s="240"/>
      <c r="C3" s="240"/>
      <c r="D3" s="240"/>
      <c r="E3" s="240"/>
      <c r="F3" s="240"/>
      <c r="G3" s="240"/>
      <c r="H3" s="240"/>
      <c r="I3" s="240"/>
      <c r="J3" s="1"/>
      <c r="K3" s="27"/>
      <c r="L3" s="27"/>
      <c r="M3" s="27"/>
      <c r="N3" s="27"/>
      <c r="O3" s="27"/>
      <c r="P3" s="27"/>
      <c r="Q3" s="27"/>
      <c r="R3" s="27"/>
      <c r="S3" s="27"/>
      <c r="T3" s="27"/>
    </row>
    <row r="4" spans="1:20" x14ac:dyDescent="0.2">
      <c r="A4" s="240" t="s">
        <v>81</v>
      </c>
      <c r="B4" s="240"/>
      <c r="C4" s="240"/>
      <c r="D4" s="240"/>
      <c r="E4" s="240"/>
      <c r="F4" s="240"/>
      <c r="G4" s="240"/>
      <c r="H4" s="240"/>
      <c r="I4" s="240"/>
      <c r="J4" s="1"/>
      <c r="K4" s="27"/>
      <c r="L4" s="27"/>
      <c r="M4" s="27"/>
      <c r="N4" s="27"/>
      <c r="O4" s="27"/>
      <c r="P4" s="27"/>
      <c r="Q4" s="27"/>
      <c r="R4" s="27"/>
      <c r="S4" s="27"/>
      <c r="T4" s="27"/>
    </row>
    <row r="5" spans="1:20" x14ac:dyDescent="0.2">
      <c r="A5" s="240"/>
      <c r="B5" s="240"/>
      <c r="C5" s="240"/>
      <c r="D5" s="240"/>
      <c r="E5" s="240"/>
      <c r="F5" s="240"/>
      <c r="G5" s="240"/>
      <c r="H5" s="240"/>
      <c r="I5" s="240"/>
      <c r="J5" s="1"/>
      <c r="K5" s="27"/>
      <c r="L5" s="27"/>
      <c r="M5" s="27"/>
      <c r="N5" s="27"/>
      <c r="O5" s="27"/>
      <c r="P5" s="27"/>
      <c r="Q5" s="27"/>
      <c r="R5" s="27"/>
      <c r="S5" s="27"/>
      <c r="T5" s="27"/>
    </row>
    <row r="6" spans="1:20" x14ac:dyDescent="0.2">
      <c r="A6" s="1"/>
      <c r="B6" s="1"/>
      <c r="C6" s="1"/>
      <c r="D6" s="1"/>
      <c r="E6" s="1"/>
      <c r="F6" s="4"/>
      <c r="G6" s="110"/>
      <c r="H6" s="4"/>
      <c r="I6" s="4"/>
      <c r="J6" s="4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0" x14ac:dyDescent="0.2">
      <c r="A7" s="29"/>
      <c r="B7" s="29"/>
      <c r="C7" s="29"/>
      <c r="D7" s="29"/>
      <c r="E7" s="29"/>
      <c r="F7" s="29"/>
      <c r="G7" s="29"/>
      <c r="H7" s="29"/>
      <c r="I7" s="29"/>
      <c r="J7" s="29"/>
    </row>
    <row r="8" spans="1:20" ht="12.75" customHeight="1" x14ac:dyDescent="0.2">
      <c r="A8" s="6" t="s">
        <v>59</v>
      </c>
      <c r="B8" s="29"/>
      <c r="C8" s="29"/>
      <c r="D8" s="4" t="s">
        <v>61</v>
      </c>
      <c r="E8" s="4" t="s">
        <v>62</v>
      </c>
      <c r="F8" s="4" t="s">
        <v>62</v>
      </c>
      <c r="G8" s="110" t="s">
        <v>112</v>
      </c>
      <c r="H8" s="4" t="s">
        <v>62</v>
      </c>
      <c r="I8" s="4" t="s">
        <v>62</v>
      </c>
      <c r="J8" s="29"/>
    </row>
    <row r="9" spans="1:20" s="31" customFormat="1" ht="10.15" customHeight="1" x14ac:dyDescent="0.2">
      <c r="A9" s="7" t="s">
        <v>60</v>
      </c>
      <c r="B9" s="30"/>
      <c r="C9" s="9" t="s">
        <v>14</v>
      </c>
      <c r="D9" s="10">
        <v>7</v>
      </c>
      <c r="E9" s="10" t="s">
        <v>45</v>
      </c>
      <c r="F9" s="10" t="s">
        <v>63</v>
      </c>
      <c r="G9" s="10" t="s">
        <v>113</v>
      </c>
      <c r="H9" s="10" t="s">
        <v>46</v>
      </c>
      <c r="I9" s="10" t="s">
        <v>47</v>
      </c>
    </row>
    <row r="10" spans="1:20" x14ac:dyDescent="0.2">
      <c r="A10" s="12"/>
      <c r="B10" s="13" t="s">
        <v>13</v>
      </c>
      <c r="C10" s="13" t="s">
        <v>12</v>
      </c>
      <c r="D10" s="13" t="s">
        <v>11</v>
      </c>
      <c r="E10" s="13" t="s">
        <v>10</v>
      </c>
      <c r="F10" s="13" t="s">
        <v>9</v>
      </c>
      <c r="G10" s="13" t="s">
        <v>8</v>
      </c>
      <c r="H10" s="13" t="s">
        <v>7</v>
      </c>
      <c r="I10" s="13" t="s">
        <v>6</v>
      </c>
    </row>
    <row r="11" spans="1:20" x14ac:dyDescent="0.2">
      <c r="A11" s="13"/>
      <c r="B11" s="15"/>
      <c r="C11" s="13"/>
      <c r="D11" s="13"/>
      <c r="E11" s="13"/>
      <c r="F11" s="13"/>
      <c r="G11" s="13"/>
      <c r="H11" s="13"/>
      <c r="I11" s="13"/>
    </row>
    <row r="12" spans="1:20" x14ac:dyDescent="0.2">
      <c r="A12" s="13">
        <v>1</v>
      </c>
      <c r="B12" s="12" t="s">
        <v>68</v>
      </c>
      <c r="C12" s="22" t="s">
        <v>242</v>
      </c>
      <c r="D12" s="17">
        <f>'Exh. JAP-11 Page 1'!$D$18</f>
        <v>444956493.57000566</v>
      </c>
      <c r="E12" s="17">
        <f>'Exh. JAP-11 Page 1'!$E$18</f>
        <v>95369499.903071195</v>
      </c>
      <c r="F12" s="17">
        <f>'Exh. JAP-11 Page 1'!$F$18</f>
        <v>103905455.54124385</v>
      </c>
      <c r="G12" s="17">
        <f>'Exh. JAP-11 Page 1'!G18</f>
        <v>4112579.7800000003</v>
      </c>
      <c r="H12" s="17">
        <f>'Exh. JAP-11 Page 1'!$H$18</f>
        <v>53369604.819091514</v>
      </c>
      <c r="I12" s="17">
        <f>'Exh. JAP-11 Page 1'!$I$18</f>
        <v>39649112.111423895</v>
      </c>
      <c r="J12" s="32"/>
      <c r="K12" s="18"/>
    </row>
    <row r="13" spans="1:20" x14ac:dyDescent="0.2">
      <c r="A13" s="13">
        <f>A12+1</f>
        <v>2</v>
      </c>
      <c r="B13" s="12"/>
      <c r="C13" s="12"/>
      <c r="D13" s="12"/>
      <c r="E13" s="12"/>
      <c r="F13" s="12"/>
      <c r="G13" s="12"/>
      <c r="H13" s="12"/>
      <c r="I13" s="12"/>
      <c r="J13" s="107"/>
    </row>
    <row r="14" spans="1:20" x14ac:dyDescent="0.2">
      <c r="A14" s="13">
        <f t="shared" ref="A14:A16" si="0">A13+1</f>
        <v>3</v>
      </c>
      <c r="B14" s="12" t="s">
        <v>17</v>
      </c>
      <c r="C14" s="22" t="s">
        <v>87</v>
      </c>
      <c r="D14" s="33">
        <f>'12ME Dec 2018 Cust Data'!P8</f>
        <v>1010572</v>
      </c>
      <c r="E14" s="33">
        <f>'12ME Dec 2018 Cust Data'!P10+'12ME Dec 2018 Cust Data'!P27</f>
        <v>121598</v>
      </c>
      <c r="F14" s="33">
        <f>SUM('12ME Dec 2018 Cust Data'!P9,'12ME Dec 2018 Cust Data'!P11,'12ME Dec 2018 Cust Data'!P13,'12ME Dec 2018 Cust Data'!P15,'12ME Dec 2018 Cust Data'!P17,'12ME Dec 2018 Cust Data'!P28)</f>
        <v>8321</v>
      </c>
      <c r="G14" s="33">
        <f>'12ME Dec 2018 Cust Data'!P32</f>
        <v>94</v>
      </c>
      <c r="H14" s="33">
        <f>'12ME Dec 2018 Cust Data'!P12+'12ME Dec 2018 Cust Data'!P29</f>
        <v>841</v>
      </c>
      <c r="I14" s="33">
        <f>'12ME Dec 2018 Cust Data'!P14+'12ME Dec 2018 Cust Data'!P30+'12ME Dec 2018 Cust Data'!P31</f>
        <v>487</v>
      </c>
      <c r="J14" s="117"/>
    </row>
    <row r="15" spans="1:20" x14ac:dyDescent="0.2">
      <c r="A15" s="13">
        <f t="shared" si="0"/>
        <v>4</v>
      </c>
      <c r="B15" s="12"/>
      <c r="C15" s="12"/>
      <c r="D15" s="34"/>
      <c r="E15" s="34"/>
      <c r="F15" s="34"/>
      <c r="G15" s="34"/>
      <c r="H15" s="34"/>
      <c r="I15" s="34"/>
    </row>
    <row r="16" spans="1:20" x14ac:dyDescent="0.2">
      <c r="A16" s="13">
        <f t="shared" si="0"/>
        <v>5</v>
      </c>
      <c r="B16" s="12" t="s">
        <v>67</v>
      </c>
      <c r="C16" s="13" t="str">
        <f>"("&amp;A12&amp;") / ("&amp;A14&amp;")"</f>
        <v>(1) / (3)</v>
      </c>
      <c r="D16" s="35">
        <f>ROUND(D12/D14,2)</f>
        <v>440.3</v>
      </c>
      <c r="E16" s="35">
        <f t="shared" ref="E16:I16" si="1">ROUND(E12/E14,2)</f>
        <v>784.3</v>
      </c>
      <c r="F16" s="35">
        <f t="shared" si="1"/>
        <v>12487.14</v>
      </c>
      <c r="G16" s="35">
        <f t="shared" si="1"/>
        <v>43750.85</v>
      </c>
      <c r="H16" s="35">
        <f t="shared" si="1"/>
        <v>63459.7</v>
      </c>
      <c r="I16" s="35">
        <f t="shared" si="1"/>
        <v>81415.009999999995</v>
      </c>
    </row>
    <row r="17" spans="1:11" x14ac:dyDescent="0.2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</row>
    <row r="19" spans="1:11" x14ac:dyDescent="0.2">
      <c r="B19" s="12" t="s">
        <v>118</v>
      </c>
    </row>
  </sheetData>
  <mergeCells count="5">
    <mergeCell ref="A1:I1"/>
    <mergeCell ref="A3:I3"/>
    <mergeCell ref="A4:I4"/>
    <mergeCell ref="A2:I2"/>
    <mergeCell ref="A5:I5"/>
  </mergeCells>
  <printOptions horizontalCentered="1"/>
  <pageMargins left="0.7" right="0.7" top="0.75" bottom="0.75" header="0.3" footer="0.3"/>
  <pageSetup scale="86" orientation="landscape" blackAndWhite="1" horizontalDpi="1200" verticalDpi="1200" r:id="rId1"/>
  <headerFooter>
    <oddFooter>&amp;R&amp;A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zoomScaleNormal="100" workbookViewId="0">
      <selection activeCell="G16" sqref="G16"/>
    </sheetView>
  </sheetViews>
  <sheetFormatPr defaultColWidth="9.140625" defaultRowHeight="11.25" x14ac:dyDescent="0.2"/>
  <cols>
    <col min="1" max="1" width="4.42578125" style="28" bestFit="1" customWidth="1"/>
    <col min="2" max="2" width="38.5703125" style="28" customWidth="1"/>
    <col min="3" max="3" width="10.42578125" style="28" bestFit="1" customWidth="1"/>
    <col min="4" max="6" width="17.7109375" style="28" customWidth="1"/>
    <col min="7" max="7" width="15.42578125" style="28" customWidth="1"/>
    <col min="8" max="8" width="10.28515625" style="28" bestFit="1" customWidth="1"/>
    <col min="9" max="16384" width="9.140625" style="28"/>
  </cols>
  <sheetData>
    <row r="1" spans="1:15" x14ac:dyDescent="0.2">
      <c r="A1" s="240" t="str">
        <f>'Exh. JAP-11 Page 1'!A1:M1</f>
        <v>Puget Sound Energy</v>
      </c>
      <c r="B1" s="240"/>
      <c r="C1" s="240"/>
      <c r="D1" s="240"/>
      <c r="E1" s="240"/>
      <c r="F1" s="240"/>
      <c r="G1" s="27"/>
      <c r="H1" s="27"/>
      <c r="I1" s="27"/>
      <c r="J1" s="27"/>
      <c r="K1" s="27"/>
      <c r="L1" s="27"/>
      <c r="M1" s="27"/>
      <c r="N1" s="27"/>
      <c r="O1" s="27"/>
    </row>
    <row r="2" spans="1:15" ht="12.75" customHeight="1" x14ac:dyDescent="0.2">
      <c r="A2" s="242" t="str">
        <f>'Exh. JAP-11 Page 1'!A2:M2</f>
        <v>2019 General Rate Case (GRC)</v>
      </c>
      <c r="B2" s="242"/>
      <c r="C2" s="242"/>
      <c r="D2" s="242"/>
      <c r="E2" s="242"/>
      <c r="F2" s="242"/>
      <c r="G2" s="27"/>
      <c r="H2" s="27"/>
      <c r="I2" s="27"/>
      <c r="J2" s="27"/>
      <c r="K2" s="27"/>
      <c r="L2" s="27"/>
      <c r="M2" s="27"/>
      <c r="N2" s="27"/>
      <c r="O2" s="27"/>
    </row>
    <row r="3" spans="1:15" ht="12.75" customHeight="1" x14ac:dyDescent="0.2">
      <c r="A3" s="240" t="str">
        <f>'Exh. JAP-11 Page 1'!A3:M3</f>
        <v>Electric Decoupling Mechanism (Schedule 142)</v>
      </c>
      <c r="B3" s="240"/>
      <c r="C3" s="240"/>
      <c r="D3" s="240"/>
      <c r="E3" s="240"/>
      <c r="F3" s="240"/>
      <c r="G3" s="27"/>
      <c r="H3" s="27"/>
      <c r="I3" s="27"/>
      <c r="J3" s="27"/>
      <c r="K3" s="27"/>
      <c r="L3" s="27"/>
      <c r="M3" s="27"/>
      <c r="N3" s="27"/>
      <c r="O3" s="27"/>
    </row>
    <row r="4" spans="1:15" x14ac:dyDescent="0.2">
      <c r="A4" s="240" t="s">
        <v>82</v>
      </c>
      <c r="B4" s="240"/>
      <c r="C4" s="240"/>
      <c r="D4" s="240"/>
      <c r="E4" s="240"/>
      <c r="F4" s="240"/>
      <c r="G4" s="27"/>
      <c r="H4" s="27"/>
      <c r="I4" s="27"/>
      <c r="J4" s="27"/>
      <c r="K4" s="27"/>
      <c r="L4" s="27"/>
      <c r="M4" s="27"/>
      <c r="N4" s="27"/>
      <c r="O4" s="27"/>
    </row>
    <row r="5" spans="1:15" x14ac:dyDescent="0.2">
      <c r="A5" s="240"/>
      <c r="B5" s="240"/>
      <c r="C5" s="240"/>
      <c r="D5" s="240"/>
      <c r="E5" s="240"/>
      <c r="F5" s="240"/>
      <c r="G5" s="27"/>
      <c r="H5" s="27"/>
      <c r="I5" s="27"/>
      <c r="J5" s="27"/>
      <c r="K5" s="27"/>
      <c r="L5" s="27"/>
      <c r="M5" s="27"/>
      <c r="N5" s="27"/>
      <c r="O5" s="27"/>
    </row>
    <row r="6" spans="1:15" x14ac:dyDescent="0.2">
      <c r="A6" s="1"/>
      <c r="B6" s="1"/>
      <c r="C6" s="1"/>
      <c r="D6" s="1"/>
      <c r="E6" s="1"/>
      <c r="F6" s="4"/>
      <c r="G6" s="27"/>
      <c r="H6" s="27"/>
      <c r="I6" s="27"/>
      <c r="J6" s="27"/>
      <c r="K6" s="27"/>
      <c r="L6" s="27"/>
      <c r="M6" s="27"/>
      <c r="N6" s="27"/>
      <c r="O6" s="27"/>
    </row>
    <row r="7" spans="1:15" x14ac:dyDescent="0.2">
      <c r="A7" s="29"/>
      <c r="B7" s="29"/>
      <c r="C7" s="29"/>
      <c r="D7" s="29"/>
      <c r="E7" s="29"/>
      <c r="F7" s="29"/>
    </row>
    <row r="8" spans="1:15" ht="12.75" customHeight="1" x14ac:dyDescent="0.2">
      <c r="A8" s="6" t="s">
        <v>59</v>
      </c>
      <c r="B8" s="29"/>
      <c r="C8" s="29"/>
      <c r="D8" s="4" t="s">
        <v>61</v>
      </c>
      <c r="E8" s="4" t="s">
        <v>62</v>
      </c>
      <c r="F8" s="4" t="s">
        <v>62</v>
      </c>
      <c r="G8" s="110" t="s">
        <v>112</v>
      </c>
    </row>
    <row r="9" spans="1:15" ht="10.15" customHeight="1" x14ac:dyDescent="0.2">
      <c r="A9" s="7" t="s">
        <v>60</v>
      </c>
      <c r="B9" s="30"/>
      <c r="C9" s="9" t="s">
        <v>14</v>
      </c>
      <c r="D9" s="10">
        <v>7</v>
      </c>
      <c r="E9" s="10" t="s">
        <v>45</v>
      </c>
      <c r="F9" s="10" t="s">
        <v>63</v>
      </c>
      <c r="G9" s="10" t="s">
        <v>113</v>
      </c>
    </row>
    <row r="10" spans="1:15" x14ac:dyDescent="0.2">
      <c r="A10" s="12"/>
      <c r="B10" s="13" t="s">
        <v>13</v>
      </c>
      <c r="C10" s="13" t="s">
        <v>12</v>
      </c>
      <c r="D10" s="13" t="s">
        <v>11</v>
      </c>
      <c r="E10" s="13" t="s">
        <v>10</v>
      </c>
      <c r="F10" s="13" t="s">
        <v>9</v>
      </c>
      <c r="G10" s="13" t="s">
        <v>8</v>
      </c>
    </row>
    <row r="11" spans="1:15" x14ac:dyDescent="0.2">
      <c r="A11" s="13"/>
      <c r="B11" s="15"/>
      <c r="C11" s="13"/>
      <c r="D11" s="13"/>
      <c r="E11" s="13"/>
      <c r="F11" s="13"/>
      <c r="G11" s="13"/>
    </row>
    <row r="12" spans="1:15" x14ac:dyDescent="0.2">
      <c r="A12" s="13">
        <v>1</v>
      </c>
      <c r="B12" s="12" t="s">
        <v>68</v>
      </c>
      <c r="C12" s="22" t="s">
        <v>242</v>
      </c>
      <c r="D12" s="17">
        <f>'Exh. JAP-11 Page 1'!$D$18</f>
        <v>444956493.57000566</v>
      </c>
      <c r="E12" s="17">
        <f>'Exh. JAP-11 Page 1'!$E$18</f>
        <v>95369499.903071195</v>
      </c>
      <c r="F12" s="17">
        <f>'Exh. JAP-11 Page 1'!$F$18</f>
        <v>103905455.54124385</v>
      </c>
      <c r="G12" s="17">
        <f>'Exh. JAP-11 Page 1'!$G$18</f>
        <v>4112579.7800000003</v>
      </c>
    </row>
    <row r="13" spans="1:15" x14ac:dyDescent="0.2">
      <c r="A13" s="13">
        <f>A12+1</f>
        <v>2</v>
      </c>
      <c r="B13" s="12"/>
      <c r="C13" s="12"/>
      <c r="D13" s="12"/>
      <c r="E13" s="12"/>
      <c r="F13" s="12"/>
      <c r="G13" s="12"/>
    </row>
    <row r="14" spans="1:15" x14ac:dyDescent="0.2">
      <c r="A14" s="13">
        <f t="shared" ref="A14:A16" si="0">A13+1</f>
        <v>3</v>
      </c>
      <c r="B14" s="12" t="s">
        <v>54</v>
      </c>
      <c r="C14" s="13" t="s">
        <v>244</v>
      </c>
      <c r="D14" s="33">
        <f>'[53]Exhibit No.__(JAP-Res RD)'!$C$23</f>
        <v>10623030235.689331</v>
      </c>
      <c r="E14" s="33">
        <f>'[53]Exhibit No.__(JAP-SV RD)'!$C$25</f>
        <v>2700129196.7702866</v>
      </c>
      <c r="F14" s="33">
        <f>'[53]Exhibit No.__(JAP-SV RD)'!$C$39+'[53]Exhibit No.__(JAP-SV RD)'!$C$128+'[53]Exhibit No.__(JAP-PV RD)'!$C$43+'[53]Exhibit No.__(JAP-PV RD)'!$C$66</f>
        <v>3133118060.6809115</v>
      </c>
      <c r="G14" s="33">
        <f>'[53]Exhibit No.__(JAP-TRANSP RD)'!$C$39</f>
        <v>336220536</v>
      </c>
    </row>
    <row r="15" spans="1:15" x14ac:dyDescent="0.2">
      <c r="A15" s="13">
        <f t="shared" si="0"/>
        <v>4</v>
      </c>
      <c r="B15" s="12"/>
      <c r="C15" s="12"/>
      <c r="D15" s="34"/>
      <c r="E15" s="34"/>
      <c r="F15" s="34"/>
      <c r="G15" s="34"/>
    </row>
    <row r="16" spans="1:15" x14ac:dyDescent="0.2">
      <c r="A16" s="13">
        <f t="shared" si="0"/>
        <v>5</v>
      </c>
      <c r="B16" s="12" t="s">
        <v>69</v>
      </c>
      <c r="C16" s="13" t="str">
        <f>"("&amp;A12&amp;") / ("&amp;A14&amp;")"</f>
        <v>(1) / (3)</v>
      </c>
      <c r="D16" s="36">
        <f>ROUND(D12/D14,6)</f>
        <v>4.1886E-2</v>
      </c>
      <c r="E16" s="36">
        <f>ROUND(E12/E14,6)</f>
        <v>3.5319999999999997E-2</v>
      </c>
      <c r="F16" s="36">
        <f t="shared" ref="F16" si="1">ROUND(F12/F14,6)</f>
        <v>3.3163999999999999E-2</v>
      </c>
      <c r="G16" s="36">
        <f t="shared" ref="G16" si="2">ROUND(G12/G14,6)</f>
        <v>1.2232E-2</v>
      </c>
    </row>
    <row r="17" spans="1:6" x14ac:dyDescent="0.2">
      <c r="A17" s="29"/>
      <c r="B17" s="29"/>
      <c r="C17" s="29"/>
      <c r="D17" s="29"/>
      <c r="E17" s="29"/>
      <c r="F17" s="29"/>
    </row>
    <row r="18" spans="1:6" x14ac:dyDescent="0.2">
      <c r="C18" s="29"/>
    </row>
    <row r="19" spans="1:6" x14ac:dyDescent="0.2">
      <c r="B19" s="12" t="s">
        <v>118</v>
      </c>
      <c r="C19" s="29"/>
    </row>
  </sheetData>
  <mergeCells count="5">
    <mergeCell ref="A1:F1"/>
    <mergeCell ref="A3:F3"/>
    <mergeCell ref="A4:F4"/>
    <mergeCell ref="A2:F2"/>
    <mergeCell ref="A5:F5"/>
  </mergeCells>
  <printOptions horizontalCentered="1"/>
  <pageMargins left="0.7" right="0.7" top="0.75" bottom="0.75" header="0.3" footer="0.3"/>
  <pageSetup orientation="landscape" blackAndWhite="1" horizontalDpi="1200" verticalDpi="1200" r:id="rId1"/>
  <headerFooter>
    <oddFooter>&amp;R&amp;A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"/>
  <sheetViews>
    <sheetView zoomScaleNormal="100" workbookViewId="0">
      <selection activeCell="G17" sqref="G17"/>
    </sheetView>
  </sheetViews>
  <sheetFormatPr defaultColWidth="9.140625" defaultRowHeight="11.25" x14ac:dyDescent="0.2"/>
  <cols>
    <col min="1" max="1" width="4.7109375" style="28" bestFit="1" customWidth="1"/>
    <col min="2" max="2" width="32.7109375" style="28" customWidth="1"/>
    <col min="3" max="3" width="19.85546875" style="28" customWidth="1"/>
    <col min="4" max="7" width="11.7109375" style="28" customWidth="1"/>
    <col min="8" max="8" width="9.140625" style="107" customWidth="1"/>
    <col min="9" max="9" width="9.140625" style="28" customWidth="1"/>
    <col min="10" max="10" width="9.140625" style="28"/>
    <col min="11" max="11" width="10.28515625" style="28" bestFit="1" customWidth="1"/>
    <col min="12" max="16384" width="9.140625" style="28"/>
  </cols>
  <sheetData>
    <row r="1" spans="1:18" x14ac:dyDescent="0.2">
      <c r="A1" s="240" t="str">
        <f>'Exh. JAP-11 Page 1'!A1:M1</f>
        <v>Puget Sound Energy</v>
      </c>
      <c r="B1" s="240"/>
      <c r="C1" s="240"/>
      <c r="D1" s="240"/>
      <c r="E1" s="240"/>
      <c r="F1" s="240"/>
      <c r="G1" s="240"/>
      <c r="H1" s="99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ht="12.75" customHeight="1" x14ac:dyDescent="0.2">
      <c r="A2" s="242" t="str">
        <f>'Exh. JAP-11 Page 1'!A2:M2</f>
        <v>2019 General Rate Case (GRC)</v>
      </c>
      <c r="B2" s="242"/>
      <c r="C2" s="242"/>
      <c r="D2" s="242"/>
      <c r="E2" s="242"/>
      <c r="F2" s="242"/>
      <c r="G2" s="242"/>
      <c r="H2" s="99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8" ht="12.75" customHeight="1" x14ac:dyDescent="0.2">
      <c r="A3" s="240" t="str">
        <f>'Exh. JAP-11 Page 1'!A3:M3</f>
        <v>Electric Decoupling Mechanism (Schedule 142)</v>
      </c>
      <c r="B3" s="240"/>
      <c r="C3" s="240"/>
      <c r="D3" s="240"/>
      <c r="E3" s="240"/>
      <c r="F3" s="240"/>
      <c r="G3" s="240"/>
      <c r="H3" s="99"/>
      <c r="I3" s="27"/>
      <c r="J3" s="27"/>
      <c r="K3" s="27"/>
      <c r="L3" s="27"/>
      <c r="M3" s="27"/>
      <c r="N3" s="27"/>
      <c r="O3" s="27"/>
      <c r="P3" s="27"/>
      <c r="Q3" s="27"/>
      <c r="R3" s="27"/>
    </row>
    <row r="4" spans="1:18" x14ac:dyDescent="0.2">
      <c r="A4" s="240" t="s">
        <v>66</v>
      </c>
      <c r="B4" s="240"/>
      <c r="C4" s="240"/>
      <c r="D4" s="240"/>
      <c r="E4" s="240"/>
      <c r="F4" s="240"/>
      <c r="G4" s="240"/>
      <c r="H4" s="99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18" x14ac:dyDescent="0.2">
      <c r="A5" s="240"/>
      <c r="B5" s="240"/>
      <c r="C5" s="240"/>
      <c r="D5" s="240"/>
      <c r="E5" s="240"/>
      <c r="F5" s="240"/>
      <c r="G5" s="240"/>
      <c r="H5" s="99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pans="1:18" x14ac:dyDescent="0.2">
      <c r="A6" s="1"/>
      <c r="B6" s="1"/>
      <c r="C6" s="1"/>
      <c r="D6" s="4"/>
      <c r="E6" s="4"/>
      <c r="F6" s="4"/>
      <c r="G6" s="4"/>
      <c r="H6" s="101"/>
      <c r="I6" s="27"/>
      <c r="J6" s="27"/>
      <c r="K6" s="27"/>
      <c r="L6" s="27"/>
      <c r="M6" s="27"/>
      <c r="N6" s="27"/>
      <c r="O6" s="27"/>
      <c r="P6" s="27"/>
      <c r="Q6" s="27"/>
      <c r="R6" s="27"/>
    </row>
    <row r="7" spans="1:18" x14ac:dyDescent="0.2">
      <c r="A7" s="29"/>
      <c r="B7" s="29"/>
      <c r="C7" s="29"/>
      <c r="D7" s="29"/>
      <c r="E7" s="29"/>
      <c r="F7" s="29"/>
      <c r="G7" s="29"/>
      <c r="H7" s="106"/>
    </row>
    <row r="8" spans="1:18" ht="12.75" customHeight="1" x14ac:dyDescent="0.2">
      <c r="A8" s="29"/>
      <c r="B8" s="29"/>
      <c r="C8" s="29"/>
      <c r="D8" s="243" t="s">
        <v>51</v>
      </c>
      <c r="E8" s="244"/>
      <c r="F8" s="243" t="s">
        <v>53</v>
      </c>
      <c r="G8" s="244"/>
      <c r="H8" s="106"/>
    </row>
    <row r="9" spans="1:18" ht="12.75" customHeight="1" x14ac:dyDescent="0.2">
      <c r="A9" s="38" t="s">
        <v>59</v>
      </c>
      <c r="B9" s="29"/>
      <c r="C9" s="29"/>
      <c r="D9" s="39" t="s">
        <v>55</v>
      </c>
      <c r="E9" s="40" t="s">
        <v>56</v>
      </c>
      <c r="F9" s="39" t="s">
        <v>55</v>
      </c>
      <c r="G9" s="40" t="s">
        <v>56</v>
      </c>
      <c r="H9" s="106"/>
    </row>
    <row r="10" spans="1:18" ht="12.75" customHeight="1" x14ac:dyDescent="0.2">
      <c r="A10" s="9" t="s">
        <v>60</v>
      </c>
      <c r="B10" s="8"/>
      <c r="C10" s="9" t="s">
        <v>14</v>
      </c>
      <c r="D10" s="41" t="s">
        <v>57</v>
      </c>
      <c r="E10" s="42" t="s">
        <v>58</v>
      </c>
      <c r="F10" s="41" t="s">
        <v>57</v>
      </c>
      <c r="G10" s="42" t="s">
        <v>58</v>
      </c>
    </row>
    <row r="11" spans="1:18" x14ac:dyDescent="0.2">
      <c r="A11" s="12"/>
      <c r="B11" s="13" t="s">
        <v>13</v>
      </c>
      <c r="C11" s="13" t="s">
        <v>12</v>
      </c>
      <c r="D11" s="13" t="s">
        <v>11</v>
      </c>
      <c r="E11" s="13" t="s">
        <v>10</v>
      </c>
      <c r="F11" s="13" t="s">
        <v>9</v>
      </c>
      <c r="G11" s="13" t="s">
        <v>8</v>
      </c>
    </row>
    <row r="12" spans="1:18" x14ac:dyDescent="0.2">
      <c r="A12" s="13"/>
      <c r="B12" s="15"/>
      <c r="C12" s="13"/>
      <c r="D12" s="13"/>
      <c r="E12" s="13"/>
      <c r="F12" s="13"/>
      <c r="G12" s="13"/>
    </row>
    <row r="13" spans="1:18" x14ac:dyDescent="0.2">
      <c r="A13" s="13">
        <v>1</v>
      </c>
      <c r="B13" s="12" t="s">
        <v>68</v>
      </c>
      <c r="C13" s="22" t="s">
        <v>242</v>
      </c>
      <c r="D13" s="17">
        <f>'Exh. JAP-11 Page 1'!H18*(('[53]Exhibit No.__(JAP-SV RD)'!$I$73+'[53]Exhibit No.__(JAP-SV RD)'!$I$96)/('[53]Exhibit No.__(JAP-SV RD)'!$I$75+'[53]Exhibit No.__(JAP-SV RD)'!$I$96+'[53]Exhibit No.__(JAP-SV RD)'!$I$97))</f>
        <v>30963655.281904049</v>
      </c>
      <c r="E13" s="17">
        <f>'Exh. JAP-11 Page 1'!H18*(('[53]Exhibit No.__(JAP-SV RD)'!$I$74+'[53]Exhibit No.__(JAP-SV RD)'!$I$97)/('[53]Exhibit No.__(JAP-SV RD)'!$I$75+'[53]Exhibit No.__(JAP-SV RD)'!$I$96+'[53]Exhibit No.__(JAP-SV RD)'!$I$97))</f>
        <v>22405949.537187468</v>
      </c>
      <c r="F13" s="17">
        <f>'Exh. JAP-11 Page 1'!I18*('[53]Exhibit No.__(JAP-PV RD)'!$I$23/'[53]Exhibit No.__(JAP-PV RD)'!$I$25)</f>
        <v>23528381.738923617</v>
      </c>
      <c r="G13" s="17">
        <f>'Exh. JAP-11 Page 1'!I18*'[53]Exhibit No.__(JAP-PV RD)'!$I$24/'[53]Exhibit No.__(JAP-PV RD)'!$I$25</f>
        <v>16120730.372500282</v>
      </c>
      <c r="H13" s="109"/>
      <c r="I13" s="18"/>
    </row>
    <row r="14" spans="1:18" x14ac:dyDescent="0.2">
      <c r="A14" s="13">
        <v>2</v>
      </c>
      <c r="B14" s="12"/>
      <c r="C14" s="12"/>
      <c r="D14" s="12"/>
      <c r="E14" s="12"/>
      <c r="F14" s="12"/>
      <c r="G14" s="12"/>
      <c r="H14" s="109"/>
    </row>
    <row r="15" spans="1:18" x14ac:dyDescent="0.2">
      <c r="A15" s="13">
        <v>3</v>
      </c>
      <c r="B15" s="12" t="s">
        <v>52</v>
      </c>
      <c r="C15" s="13" t="s">
        <v>244</v>
      </c>
      <c r="D15" s="33">
        <f>'[53]Exhibit No.__(JAP-SV RD)'!$C$73+'[53]Exhibit No.__(JAP-SV RD)'!$C$96</f>
        <v>2289533</v>
      </c>
      <c r="E15" s="33">
        <f>'[53]Exhibit No.__(JAP-SV RD)'!$C$74+'[53]Exhibit No.__(JAP-SV RD)'!$C$97</f>
        <v>2485131</v>
      </c>
      <c r="F15" s="33">
        <f>'[53]Exhibit No.__(JAP-PV RD)'!$C$23</f>
        <v>1708564</v>
      </c>
      <c r="G15" s="33">
        <f>'[53]Exhibit No.__(JAP-PV RD)'!$C$24</f>
        <v>1755251</v>
      </c>
    </row>
    <row r="16" spans="1:18" x14ac:dyDescent="0.2">
      <c r="A16" s="13">
        <v>4</v>
      </c>
      <c r="B16" s="12"/>
      <c r="C16" s="12"/>
      <c r="D16" s="34"/>
      <c r="E16" s="34"/>
      <c r="F16" s="34"/>
      <c r="G16" s="34"/>
    </row>
    <row r="17" spans="1:8" x14ac:dyDescent="0.2">
      <c r="A17" s="13">
        <v>5</v>
      </c>
      <c r="B17" s="12" t="s">
        <v>70</v>
      </c>
      <c r="C17" s="13" t="str">
        <f>"("&amp;A13&amp;") / ("&amp;A15&amp;")"</f>
        <v>(1) / (3)</v>
      </c>
      <c r="D17" s="35">
        <f>ROUND(D13/D15,2)</f>
        <v>13.52</v>
      </c>
      <c r="E17" s="35">
        <f>ROUND(E13/E15,2)</f>
        <v>9.02</v>
      </c>
      <c r="F17" s="35">
        <f>ROUND(F13/F15,2)</f>
        <v>13.77</v>
      </c>
      <c r="G17" s="35">
        <f>ROUND(G13/G15,2)</f>
        <v>9.18</v>
      </c>
    </row>
    <row r="18" spans="1:8" x14ac:dyDescent="0.2">
      <c r="C18" s="29"/>
      <c r="D18" s="37"/>
      <c r="E18" s="37"/>
      <c r="F18" s="37"/>
      <c r="G18" s="37"/>
      <c r="H18" s="108"/>
    </row>
    <row r="19" spans="1:8" x14ac:dyDescent="0.2">
      <c r="D19" s="37"/>
      <c r="E19" s="37"/>
      <c r="F19" s="37"/>
      <c r="G19" s="37"/>
      <c r="H19" s="108"/>
    </row>
  </sheetData>
  <mergeCells count="7">
    <mergeCell ref="A1:G1"/>
    <mergeCell ref="A3:G3"/>
    <mergeCell ref="A4:G4"/>
    <mergeCell ref="D8:E8"/>
    <mergeCell ref="F8:G8"/>
    <mergeCell ref="A2:G2"/>
    <mergeCell ref="A5:G5"/>
  </mergeCells>
  <printOptions horizontalCentered="1"/>
  <pageMargins left="0.7" right="0.7" top="0.75" bottom="0.75" header="0.3" footer="0.3"/>
  <pageSetup scale="96" orientation="landscape" blackAndWhite="1" horizontalDpi="1200" verticalDpi="1200" r:id="rId1"/>
  <headerFooter>
    <oddFooter>&amp;R&amp;A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topLeftCell="E1" zoomScaleNormal="100" workbookViewId="0">
      <pane ySplit="7" topLeftCell="A13" activePane="bottomLeft" state="frozen"/>
      <selection activeCell="D11" sqref="D11"/>
      <selection pane="bottomLeft" activeCell="Q36" sqref="Q36"/>
    </sheetView>
  </sheetViews>
  <sheetFormatPr defaultColWidth="9.140625" defaultRowHeight="11.25" x14ac:dyDescent="0.2"/>
  <cols>
    <col min="1" max="1" width="4.28515625" style="43" bestFit="1" customWidth="1"/>
    <col min="2" max="2" width="23" style="43" customWidth="1"/>
    <col min="3" max="3" width="32.5703125" style="43" bestFit="1" customWidth="1"/>
    <col min="4" max="4" width="11.5703125" style="59" bestFit="1" customWidth="1"/>
    <col min="5" max="7" width="10.7109375" style="59" bestFit="1" customWidth="1"/>
    <col min="8" max="8" width="9.5703125" style="59" bestFit="1" customWidth="1"/>
    <col min="9" max="14" width="9.5703125" style="43" bestFit="1" customWidth="1"/>
    <col min="15" max="17" width="10.7109375" style="43" bestFit="1" customWidth="1"/>
    <col min="18" max="16384" width="9.140625" style="43"/>
  </cols>
  <sheetData>
    <row r="1" spans="1:17" x14ac:dyDescent="0.2">
      <c r="A1" s="240" t="str">
        <f>'Exh. JAP-11 Page 1'!A1:M1</f>
        <v>Puget Sound Energy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</row>
    <row r="2" spans="1:17" x14ac:dyDescent="0.2">
      <c r="A2" s="242" t="str">
        <f>'Exh. JAP-11 Page 1'!A2:M2</f>
        <v>2019 General Rate Case (GRC)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</row>
    <row r="3" spans="1:17" x14ac:dyDescent="0.2">
      <c r="A3" s="240" t="str">
        <f>'Exh. JAP-11 Page 1'!A3:M3</f>
        <v>Electric Decoupling Mechanism (Schedule 142)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</row>
    <row r="4" spans="1:17" x14ac:dyDescent="0.2">
      <c r="A4" s="240" t="s">
        <v>35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</row>
    <row r="5" spans="1:17" x14ac:dyDescent="0.2">
      <c r="A5" s="12"/>
      <c r="B5" s="12"/>
      <c r="C5" s="12"/>
      <c r="D5" s="13"/>
      <c r="E5" s="13"/>
      <c r="F5" s="13"/>
      <c r="G5" s="13"/>
      <c r="H5" s="13"/>
      <c r="I5" s="12"/>
      <c r="J5" s="12"/>
      <c r="K5" s="12"/>
      <c r="L5" s="12"/>
      <c r="M5" s="12"/>
      <c r="N5" s="12"/>
      <c r="O5" s="12"/>
      <c r="P5" s="12"/>
      <c r="Q5" s="12"/>
    </row>
    <row r="6" spans="1:17" ht="45" x14ac:dyDescent="0.2">
      <c r="A6" s="44" t="s">
        <v>15</v>
      </c>
      <c r="B6" s="44"/>
      <c r="C6" s="8"/>
      <c r="D6" s="44" t="s">
        <v>14</v>
      </c>
      <c r="E6" s="45" t="s">
        <v>20</v>
      </c>
      <c r="F6" s="45" t="s">
        <v>21</v>
      </c>
      <c r="G6" s="45" t="s">
        <v>22</v>
      </c>
      <c r="H6" s="45" t="s">
        <v>23</v>
      </c>
      <c r="I6" s="45" t="s">
        <v>24</v>
      </c>
      <c r="J6" s="45" t="s">
        <v>25</v>
      </c>
      <c r="K6" s="45" t="s">
        <v>26</v>
      </c>
      <c r="L6" s="45" t="s">
        <v>27</v>
      </c>
      <c r="M6" s="45" t="s">
        <v>28</v>
      </c>
      <c r="N6" s="45" t="s">
        <v>29</v>
      </c>
      <c r="O6" s="45" t="s">
        <v>30</v>
      </c>
      <c r="P6" s="45" t="s">
        <v>31</v>
      </c>
      <c r="Q6" s="44" t="s">
        <v>32</v>
      </c>
    </row>
    <row r="7" spans="1:17" x14ac:dyDescent="0.2">
      <c r="A7" s="12"/>
      <c r="B7" s="12"/>
      <c r="C7" s="13" t="s">
        <v>13</v>
      </c>
      <c r="D7" s="13" t="s">
        <v>12</v>
      </c>
      <c r="E7" s="13" t="s">
        <v>11</v>
      </c>
      <c r="F7" s="13" t="s">
        <v>10</v>
      </c>
      <c r="G7" s="13" t="s">
        <v>9</v>
      </c>
      <c r="H7" s="13" t="s">
        <v>8</v>
      </c>
      <c r="I7" s="13" t="s">
        <v>7</v>
      </c>
      <c r="J7" s="13" t="s">
        <v>6</v>
      </c>
      <c r="K7" s="13" t="s">
        <v>5</v>
      </c>
      <c r="L7" s="13" t="s">
        <v>4</v>
      </c>
      <c r="M7" s="13" t="s">
        <v>3</v>
      </c>
      <c r="N7" s="13" t="s">
        <v>2</v>
      </c>
      <c r="O7" s="13" t="s">
        <v>1</v>
      </c>
      <c r="P7" s="13" t="s">
        <v>0</v>
      </c>
      <c r="Q7" s="13" t="s">
        <v>19</v>
      </c>
    </row>
    <row r="8" spans="1:17" x14ac:dyDescent="0.2">
      <c r="A8" s="13"/>
      <c r="B8" s="46" t="s">
        <v>37</v>
      </c>
      <c r="C8" s="15"/>
      <c r="D8" s="13"/>
      <c r="E8" s="13"/>
      <c r="F8" s="13"/>
      <c r="G8" s="13"/>
      <c r="H8" s="13"/>
      <c r="I8" s="13"/>
      <c r="J8" s="13"/>
      <c r="K8" s="12"/>
      <c r="L8" s="12"/>
      <c r="M8" s="12"/>
      <c r="N8" s="12"/>
      <c r="O8" s="12"/>
      <c r="P8" s="12"/>
      <c r="Q8" s="12"/>
    </row>
    <row r="9" spans="1:17" x14ac:dyDescent="0.2">
      <c r="A9" s="13">
        <v>1</v>
      </c>
      <c r="B9" s="47" t="s">
        <v>38</v>
      </c>
      <c r="D9" s="13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26"/>
    </row>
    <row r="10" spans="1:17" x14ac:dyDescent="0.2">
      <c r="A10" s="13">
        <f t="shared" ref="A10:A56" si="0">A9+1</f>
        <v>2</v>
      </c>
      <c r="B10" s="13"/>
      <c r="C10" s="12" t="s">
        <v>91</v>
      </c>
      <c r="D10" s="13" t="s">
        <v>244</v>
      </c>
      <c r="E10" s="231">
        <v>1217809396.3717051</v>
      </c>
      <c r="F10" s="231">
        <v>1029221052.455801</v>
      </c>
      <c r="G10" s="231">
        <v>1042285607.8058866</v>
      </c>
      <c r="H10" s="231">
        <v>848382820.3486625</v>
      </c>
      <c r="I10" s="231">
        <v>682087265.04118538</v>
      </c>
      <c r="J10" s="231">
        <v>662181951.97669625</v>
      </c>
      <c r="K10" s="231">
        <v>694649291.53142309</v>
      </c>
      <c r="L10" s="231">
        <v>673174372.85823476</v>
      </c>
      <c r="M10" s="231">
        <v>642880803.18132174</v>
      </c>
      <c r="N10" s="231">
        <v>823326861.21608186</v>
      </c>
      <c r="O10" s="231">
        <v>1037566972.4656866</v>
      </c>
      <c r="P10" s="231">
        <v>1269463840.4366477</v>
      </c>
      <c r="Q10" s="48">
        <f>SUM(E10:P10)</f>
        <v>10623030235.689333</v>
      </c>
    </row>
    <row r="11" spans="1:17" x14ac:dyDescent="0.2">
      <c r="A11" s="13">
        <f t="shared" si="0"/>
        <v>3</v>
      </c>
      <c r="B11" s="13"/>
      <c r="C11" s="12" t="s">
        <v>36</v>
      </c>
      <c r="D11" s="49" t="s">
        <v>74</v>
      </c>
      <c r="E11" s="50">
        <f t="shared" ref="E11:P11" si="1">E10/$Q10</f>
        <v>0.11463860775622474</v>
      </c>
      <c r="F11" s="50">
        <f t="shared" si="1"/>
        <v>9.6885825383232982E-2</v>
      </c>
      <c r="G11" s="50">
        <f t="shared" si="1"/>
        <v>9.8115658590917323E-2</v>
      </c>
      <c r="H11" s="50">
        <f t="shared" si="1"/>
        <v>7.9862600550492602E-2</v>
      </c>
      <c r="I11" s="50">
        <f t="shared" si="1"/>
        <v>6.4208352034020588E-2</v>
      </c>
      <c r="J11" s="50">
        <f t="shared" si="1"/>
        <v>6.2334563423534016E-2</v>
      </c>
      <c r="K11" s="50">
        <f t="shared" si="1"/>
        <v>6.5390879637870769E-2</v>
      </c>
      <c r="L11" s="50">
        <f t="shared" si="1"/>
        <v>6.3369336048449285E-2</v>
      </c>
      <c r="M11" s="50">
        <f t="shared" si="1"/>
        <v>6.0517647876166938E-2</v>
      </c>
      <c r="N11" s="50">
        <f t="shared" si="1"/>
        <v>7.750395536388642E-2</v>
      </c>
      <c r="O11" s="50">
        <f t="shared" si="1"/>
        <v>9.7671469387318216E-2</v>
      </c>
      <c r="P11" s="50">
        <f t="shared" si="1"/>
        <v>0.11950110394788607</v>
      </c>
      <c r="Q11" s="50">
        <f>SUM(E11:P11)</f>
        <v>0.99999999999999989</v>
      </c>
    </row>
    <row r="12" spans="1:17" x14ac:dyDescent="0.2">
      <c r="A12" s="13">
        <f t="shared" si="0"/>
        <v>4</v>
      </c>
      <c r="B12" s="13"/>
      <c r="C12" s="12"/>
      <c r="D12" s="51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</row>
    <row r="13" spans="1:17" x14ac:dyDescent="0.2">
      <c r="A13" s="13">
        <f t="shared" si="0"/>
        <v>5</v>
      </c>
      <c r="B13" s="47" t="s">
        <v>42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</row>
    <row r="14" spans="1:17" x14ac:dyDescent="0.2">
      <c r="A14" s="13">
        <f t="shared" si="0"/>
        <v>6</v>
      </c>
      <c r="B14" s="13"/>
      <c r="C14" s="12" t="str">
        <f>C10</f>
        <v xml:space="preserve">Weather-Normalized kWh Sales </v>
      </c>
      <c r="D14" s="13" t="str">
        <f>D10</f>
        <v>Exhibit JAP-6</v>
      </c>
      <c r="E14" s="231">
        <v>268383989.57199278</v>
      </c>
      <c r="F14" s="231">
        <v>227279211.53795847</v>
      </c>
      <c r="G14" s="231">
        <v>244720280.50093108</v>
      </c>
      <c r="H14" s="231">
        <v>211476318.75275233</v>
      </c>
      <c r="I14" s="231">
        <v>208012350.22681922</v>
      </c>
      <c r="J14" s="231">
        <v>200157659.37976211</v>
      </c>
      <c r="K14" s="231">
        <v>218343544.81734061</v>
      </c>
      <c r="L14" s="231">
        <v>219728935.14893684</v>
      </c>
      <c r="M14" s="231">
        <v>196113261.95298892</v>
      </c>
      <c r="N14" s="231">
        <v>215665873.9648062</v>
      </c>
      <c r="O14" s="231">
        <v>236065221.06438547</v>
      </c>
      <c r="P14" s="231">
        <v>254182549.85161248</v>
      </c>
      <c r="Q14" s="48">
        <f>SUM(E14:P14)</f>
        <v>2700129196.7702866</v>
      </c>
    </row>
    <row r="15" spans="1:17" x14ac:dyDescent="0.2">
      <c r="A15" s="13">
        <f t="shared" si="0"/>
        <v>7</v>
      </c>
      <c r="B15" s="13"/>
      <c r="C15" s="12" t="s">
        <v>36</v>
      </c>
      <c r="D15" s="22" t="s">
        <v>75</v>
      </c>
      <c r="E15" s="53">
        <f t="shared" ref="E15:P15" si="2">E14/$Q14</f>
        <v>9.9396721420965978E-2</v>
      </c>
      <c r="F15" s="53">
        <f t="shared" si="2"/>
        <v>8.4173457999644846E-2</v>
      </c>
      <c r="G15" s="53">
        <f t="shared" si="2"/>
        <v>9.063280408717074E-2</v>
      </c>
      <c r="H15" s="53">
        <f t="shared" si="2"/>
        <v>7.8320814798679306E-2</v>
      </c>
      <c r="I15" s="53">
        <f t="shared" si="2"/>
        <v>7.7037924879901909E-2</v>
      </c>
      <c r="J15" s="53">
        <f t="shared" si="2"/>
        <v>7.4128919319555994E-2</v>
      </c>
      <c r="K15" s="53">
        <f t="shared" si="2"/>
        <v>8.0864110161287292E-2</v>
      </c>
      <c r="L15" s="53">
        <f t="shared" si="2"/>
        <v>8.1377193140151169E-2</v>
      </c>
      <c r="M15" s="53">
        <f t="shared" si="2"/>
        <v>7.2631066019939516E-2</v>
      </c>
      <c r="N15" s="53">
        <f t="shared" si="2"/>
        <v>7.987242766856166E-2</v>
      </c>
      <c r="O15" s="53">
        <f t="shared" si="2"/>
        <v>8.7427379899728819E-2</v>
      </c>
      <c r="P15" s="53">
        <f t="shared" si="2"/>
        <v>9.4137180604412785E-2</v>
      </c>
      <c r="Q15" s="53">
        <f>SUM(E15:P15)</f>
        <v>0.99999999999999989</v>
      </c>
    </row>
    <row r="16" spans="1:17" x14ac:dyDescent="0.2">
      <c r="A16" s="13">
        <f t="shared" si="0"/>
        <v>8</v>
      </c>
      <c r="B16" s="13"/>
      <c r="C16" s="12"/>
      <c r="D16" s="22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</row>
    <row r="17" spans="1:17" x14ac:dyDescent="0.2">
      <c r="A17" s="13">
        <f t="shared" si="0"/>
        <v>9</v>
      </c>
      <c r="B17" s="47" t="s">
        <v>65</v>
      </c>
      <c r="D17" s="13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26"/>
    </row>
    <row r="18" spans="1:17" x14ac:dyDescent="0.2">
      <c r="A18" s="13">
        <f t="shared" si="0"/>
        <v>10</v>
      </c>
      <c r="B18" s="13"/>
      <c r="C18" s="12" t="str">
        <f>C10</f>
        <v xml:space="preserve">Weather-Normalized kWh Sales </v>
      </c>
      <c r="D18" s="13" t="str">
        <f>D10</f>
        <v>Exhibit JAP-6</v>
      </c>
      <c r="E18" s="231">
        <v>284490231.19315612</v>
      </c>
      <c r="F18" s="231">
        <v>262584491.92486563</v>
      </c>
      <c r="G18" s="231">
        <v>278342863.5656966</v>
      </c>
      <c r="H18" s="231">
        <v>250818189.4840396</v>
      </c>
      <c r="I18" s="231">
        <v>257611898.41416478</v>
      </c>
      <c r="J18" s="231">
        <v>240257964.078789</v>
      </c>
      <c r="K18" s="231">
        <v>269716764.2743544</v>
      </c>
      <c r="L18" s="231">
        <v>257395354.84975731</v>
      </c>
      <c r="M18" s="231">
        <v>233069302.88971385</v>
      </c>
      <c r="N18" s="231">
        <v>254098187.08349001</v>
      </c>
      <c r="O18" s="231">
        <v>260578468.40768361</v>
      </c>
      <c r="P18" s="231">
        <v>284154344.51520026</v>
      </c>
      <c r="Q18" s="48">
        <f>SUM(E18:P18)</f>
        <v>3133118060.6809106</v>
      </c>
    </row>
    <row r="19" spans="1:17" x14ac:dyDescent="0.2">
      <c r="A19" s="13">
        <f t="shared" si="0"/>
        <v>11</v>
      </c>
      <c r="B19" s="13"/>
      <c r="C19" s="12" t="s">
        <v>36</v>
      </c>
      <c r="D19" s="49" t="s">
        <v>76</v>
      </c>
      <c r="E19" s="50">
        <f t="shared" ref="E19:P19" si="3">E18/$Q18</f>
        <v>9.0800993030989957E-2</v>
      </c>
      <c r="F19" s="50">
        <f t="shared" si="3"/>
        <v>8.3809319291274637E-2</v>
      </c>
      <c r="G19" s="50">
        <f t="shared" si="3"/>
        <v>8.8838932390950254E-2</v>
      </c>
      <c r="H19" s="50">
        <f t="shared" si="3"/>
        <v>8.0053858369298125E-2</v>
      </c>
      <c r="I19" s="50">
        <f t="shared" si="3"/>
        <v>8.2222212321669999E-2</v>
      </c>
      <c r="J19" s="50">
        <f t="shared" si="3"/>
        <v>7.6683342097416687E-2</v>
      </c>
      <c r="K19" s="50">
        <f t="shared" si="3"/>
        <v>8.6085732822892003E-2</v>
      </c>
      <c r="L19" s="50">
        <f t="shared" si="3"/>
        <v>8.215309792501671E-2</v>
      </c>
      <c r="M19" s="50">
        <f t="shared" si="3"/>
        <v>7.438893089112053E-2</v>
      </c>
      <c r="N19" s="50">
        <f t="shared" si="3"/>
        <v>8.1100738038664161E-2</v>
      </c>
      <c r="O19" s="50">
        <f t="shared" si="3"/>
        <v>8.3169055031093508E-2</v>
      </c>
      <c r="P19" s="50">
        <f t="shared" si="3"/>
        <v>9.0693787789613609E-2</v>
      </c>
      <c r="Q19" s="50">
        <f>SUM(E19:P19)</f>
        <v>1.0000000000000002</v>
      </c>
    </row>
    <row r="20" spans="1:17" x14ac:dyDescent="0.2">
      <c r="A20" s="13">
        <f t="shared" si="0"/>
        <v>12</v>
      </c>
      <c r="B20" s="13"/>
      <c r="C20" s="12"/>
      <c r="D20" s="51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</row>
    <row r="21" spans="1:17" x14ac:dyDescent="0.2">
      <c r="A21" s="13">
        <f t="shared" si="0"/>
        <v>13</v>
      </c>
      <c r="B21" s="47" t="s">
        <v>114</v>
      </c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</row>
    <row r="22" spans="1:17" x14ac:dyDescent="0.2">
      <c r="A22" s="13">
        <f t="shared" si="0"/>
        <v>14</v>
      </c>
      <c r="B22" s="13"/>
      <c r="C22" s="12" t="str">
        <f>C14</f>
        <v xml:space="preserve">Weather-Normalized kWh Sales </v>
      </c>
      <c r="D22" s="13" t="str">
        <f>D14</f>
        <v>Exhibit JAP-6</v>
      </c>
      <c r="E22" s="231">
        <v>30385805</v>
      </c>
      <c r="F22" s="231">
        <v>25565736</v>
      </c>
      <c r="G22" s="231">
        <v>29925945</v>
      </c>
      <c r="H22" s="231">
        <v>31229504</v>
      </c>
      <c r="I22" s="231">
        <v>28088112</v>
      </c>
      <c r="J22" s="231">
        <v>28519680</v>
      </c>
      <c r="K22" s="231">
        <v>28458020</v>
      </c>
      <c r="L22" s="231">
        <v>28000764</v>
      </c>
      <c r="M22" s="231">
        <v>28519947</v>
      </c>
      <c r="N22" s="231">
        <v>20447077</v>
      </c>
      <c r="O22" s="231">
        <v>28154601</v>
      </c>
      <c r="P22" s="231">
        <v>28925345</v>
      </c>
      <c r="Q22" s="48">
        <f>SUM(E22:P22)</f>
        <v>336220536</v>
      </c>
    </row>
    <row r="23" spans="1:17" x14ac:dyDescent="0.2">
      <c r="A23" s="13">
        <f t="shared" si="0"/>
        <v>15</v>
      </c>
      <c r="B23" s="13"/>
      <c r="C23" s="12" t="s">
        <v>36</v>
      </c>
      <c r="D23" s="22" t="s">
        <v>77</v>
      </c>
      <c r="E23" s="53">
        <f t="shared" ref="E23:P23" si="4">E22/$Q22</f>
        <v>9.037462542145254E-2</v>
      </c>
      <c r="F23" s="53">
        <f t="shared" si="4"/>
        <v>7.6038591527318247E-2</v>
      </c>
      <c r="G23" s="53">
        <f t="shared" si="4"/>
        <v>8.9006892190547221E-2</v>
      </c>
      <c r="H23" s="53">
        <f t="shared" si="4"/>
        <v>9.2883987312422825E-2</v>
      </c>
      <c r="I23" s="53">
        <f t="shared" si="4"/>
        <v>8.3540738867895925E-2</v>
      </c>
      <c r="J23" s="53">
        <f t="shared" si="4"/>
        <v>8.4824324948432062E-2</v>
      </c>
      <c r="K23" s="53">
        <f t="shared" si="4"/>
        <v>8.4640933414013714E-2</v>
      </c>
      <c r="L23" s="53">
        <f t="shared" si="4"/>
        <v>8.3280945099677081E-2</v>
      </c>
      <c r="M23" s="53">
        <f t="shared" si="4"/>
        <v>8.4825119070061794E-2</v>
      </c>
      <c r="N23" s="53">
        <f t="shared" si="4"/>
        <v>6.0814479815117541E-2</v>
      </c>
      <c r="O23" s="53">
        <f t="shared" si="4"/>
        <v>8.373849299913079E-2</v>
      </c>
      <c r="P23" s="53">
        <f t="shared" si="4"/>
        <v>8.6030869333930268E-2</v>
      </c>
      <c r="Q23" s="53">
        <f>SUM(E23:P23)</f>
        <v>1.0000000000000002</v>
      </c>
    </row>
    <row r="24" spans="1:17" x14ac:dyDescent="0.2">
      <c r="A24" s="13">
        <f t="shared" si="0"/>
        <v>16</v>
      </c>
      <c r="B24" s="13"/>
      <c r="C24" s="12"/>
      <c r="D24" s="22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</row>
    <row r="25" spans="1:17" x14ac:dyDescent="0.2">
      <c r="A25" s="13">
        <f t="shared" si="0"/>
        <v>17</v>
      </c>
      <c r="B25" s="47" t="s">
        <v>43</v>
      </c>
      <c r="C25" s="12"/>
      <c r="D25" s="13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26"/>
    </row>
    <row r="26" spans="1:17" x14ac:dyDescent="0.2">
      <c r="A26" s="13">
        <f t="shared" si="0"/>
        <v>18</v>
      </c>
      <c r="B26" s="13"/>
      <c r="C26" s="16" t="s">
        <v>92</v>
      </c>
      <c r="D26" s="13" t="str">
        <f>D10</f>
        <v>Exhibit JAP-6</v>
      </c>
      <c r="E26" s="231">
        <v>4464881</v>
      </c>
      <c r="F26" s="231">
        <v>4646175</v>
      </c>
      <c r="G26" s="231">
        <v>4343805</v>
      </c>
      <c r="H26" s="231">
        <v>3656094</v>
      </c>
      <c r="I26" s="231">
        <v>3142185</v>
      </c>
      <c r="J26" s="231">
        <v>3134597</v>
      </c>
      <c r="K26" s="231">
        <v>3262370</v>
      </c>
      <c r="L26" s="231">
        <v>3515569</v>
      </c>
      <c r="M26" s="231">
        <v>3236467</v>
      </c>
      <c r="N26" s="231">
        <v>3816116</v>
      </c>
      <c r="O26" s="231">
        <v>4362092</v>
      </c>
      <c r="P26" s="231">
        <v>4682306</v>
      </c>
      <c r="Q26" s="54">
        <f>SUM(E26:P26)</f>
        <v>46262657</v>
      </c>
    </row>
    <row r="27" spans="1:17" x14ac:dyDescent="0.2">
      <c r="A27" s="13">
        <f t="shared" si="0"/>
        <v>19</v>
      </c>
      <c r="B27" s="13"/>
      <c r="C27" s="12" t="s">
        <v>36</v>
      </c>
      <c r="D27" s="49" t="s">
        <v>78</v>
      </c>
      <c r="E27" s="50">
        <f t="shared" ref="E27:P27" si="5">E26/$Q26</f>
        <v>9.6511555745706523E-2</v>
      </c>
      <c r="F27" s="50">
        <f t="shared" si="5"/>
        <v>0.1004303535786974</v>
      </c>
      <c r="G27" s="50">
        <f t="shared" si="5"/>
        <v>9.3894412506397976E-2</v>
      </c>
      <c r="H27" s="50">
        <f t="shared" si="5"/>
        <v>7.9029053605805644E-2</v>
      </c>
      <c r="I27" s="50">
        <f t="shared" si="5"/>
        <v>6.7920547667636125E-2</v>
      </c>
      <c r="J27" s="50">
        <f t="shared" si="5"/>
        <v>6.7756527689276466E-2</v>
      </c>
      <c r="K27" s="50">
        <f t="shared" si="5"/>
        <v>7.0518431312754037E-2</v>
      </c>
      <c r="L27" s="50">
        <f t="shared" si="5"/>
        <v>7.5991506497346234E-2</v>
      </c>
      <c r="M27" s="50">
        <f t="shared" si="5"/>
        <v>6.9958519676031575E-2</v>
      </c>
      <c r="N27" s="50">
        <f t="shared" si="5"/>
        <v>8.2488042137311743E-2</v>
      </c>
      <c r="O27" s="50">
        <f t="shared" si="5"/>
        <v>9.4289698924988244E-2</v>
      </c>
      <c r="P27" s="50">
        <f t="shared" si="5"/>
        <v>0.10121135065804802</v>
      </c>
      <c r="Q27" s="50">
        <f>SUM(E27:P27)</f>
        <v>1</v>
      </c>
    </row>
    <row r="28" spans="1:17" x14ac:dyDescent="0.2">
      <c r="A28" s="13">
        <f t="shared" si="0"/>
        <v>20</v>
      </c>
      <c r="B28" s="13"/>
      <c r="C28" s="12"/>
      <c r="D28" s="51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</row>
    <row r="29" spans="1:17" x14ac:dyDescent="0.2">
      <c r="A29" s="13">
        <f t="shared" si="0"/>
        <v>21</v>
      </c>
      <c r="B29" s="47" t="s">
        <v>44</v>
      </c>
      <c r="C29" s="1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</row>
    <row r="30" spans="1:17" x14ac:dyDescent="0.2">
      <c r="A30" s="13">
        <f t="shared" si="0"/>
        <v>22</v>
      </c>
      <c r="B30" s="13"/>
      <c r="C30" s="16" t="str">
        <f>C26</f>
        <v xml:space="preserve">Demand Charge Revenue </v>
      </c>
      <c r="D30" s="13" t="str">
        <f>D10</f>
        <v>Exhibit JAP-6</v>
      </c>
      <c r="E30" s="231">
        <v>3166387</v>
      </c>
      <c r="F30" s="231">
        <v>3172185</v>
      </c>
      <c r="G30" s="231">
        <v>2884024</v>
      </c>
      <c r="H30" s="231">
        <v>2690713</v>
      </c>
      <c r="I30" s="231">
        <v>2154594</v>
      </c>
      <c r="J30" s="231">
        <v>1972205</v>
      </c>
      <c r="K30" s="231">
        <v>2115505</v>
      </c>
      <c r="L30" s="231">
        <v>2198196</v>
      </c>
      <c r="M30" s="231">
        <v>2114126</v>
      </c>
      <c r="N30" s="231">
        <v>2419863</v>
      </c>
      <c r="O30" s="231">
        <v>2886239</v>
      </c>
      <c r="P30" s="231">
        <v>3119737</v>
      </c>
      <c r="Q30" s="54">
        <f>SUM(E30:P30)</f>
        <v>30893774</v>
      </c>
    </row>
    <row r="31" spans="1:17" x14ac:dyDescent="0.2">
      <c r="A31" s="13">
        <f t="shared" si="0"/>
        <v>23</v>
      </c>
      <c r="B31" s="13"/>
      <c r="C31" s="12" t="s">
        <v>36</v>
      </c>
      <c r="D31" s="22" t="s">
        <v>79</v>
      </c>
      <c r="E31" s="53">
        <f t="shared" ref="E31:P31" si="6">E30/$Q30</f>
        <v>0.10249272232003769</v>
      </c>
      <c r="F31" s="53">
        <f t="shared" si="6"/>
        <v>0.10268039767494901</v>
      </c>
      <c r="G31" s="53">
        <f t="shared" si="6"/>
        <v>9.3352919588263972E-2</v>
      </c>
      <c r="H31" s="53">
        <f t="shared" si="6"/>
        <v>8.7095639399705591E-2</v>
      </c>
      <c r="I31" s="53">
        <f t="shared" si="6"/>
        <v>6.9742013390788712E-2</v>
      </c>
      <c r="J31" s="53">
        <f t="shared" si="6"/>
        <v>6.3838267218501693E-2</v>
      </c>
      <c r="K31" s="53">
        <f t="shared" si="6"/>
        <v>6.8476742271759997E-2</v>
      </c>
      <c r="L31" s="53">
        <f t="shared" si="6"/>
        <v>7.1153365723462592E-2</v>
      </c>
      <c r="M31" s="53">
        <f t="shared" si="6"/>
        <v>6.8432105446230046E-2</v>
      </c>
      <c r="N31" s="53">
        <f t="shared" si="6"/>
        <v>7.8328500752287505E-2</v>
      </c>
      <c r="O31" s="53">
        <f t="shared" si="6"/>
        <v>9.3424616882353054E-2</v>
      </c>
      <c r="P31" s="53">
        <f t="shared" si="6"/>
        <v>0.10098270933166016</v>
      </c>
      <c r="Q31" s="53">
        <f>SUM(E31:P31)</f>
        <v>1</v>
      </c>
    </row>
    <row r="32" spans="1:17" x14ac:dyDescent="0.2">
      <c r="A32" s="13">
        <f t="shared" si="0"/>
        <v>24</v>
      </c>
      <c r="B32" s="13"/>
      <c r="C32" s="12"/>
      <c r="D32" s="22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</row>
    <row r="33" spans="1:17" x14ac:dyDescent="0.2">
      <c r="A33" s="13">
        <f t="shared" si="0"/>
        <v>25</v>
      </c>
      <c r="B33" s="46" t="s">
        <v>72</v>
      </c>
      <c r="D33" s="13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</row>
    <row r="34" spans="1:17" x14ac:dyDescent="0.2">
      <c r="A34" s="13">
        <f t="shared" si="0"/>
        <v>26</v>
      </c>
      <c r="B34" s="47" t="str">
        <f>B9</f>
        <v>Schedule 7</v>
      </c>
      <c r="D34" s="13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</row>
    <row r="35" spans="1:17" x14ac:dyDescent="0.2">
      <c r="A35" s="13">
        <f t="shared" si="0"/>
        <v>27</v>
      </c>
      <c r="B35" s="13"/>
      <c r="C35" s="12" t="s">
        <v>71</v>
      </c>
      <c r="D35" s="13" t="s">
        <v>243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55">
        <f>'Exh. JAP-11 Page 2'!D16</f>
        <v>440.3</v>
      </c>
    </row>
    <row r="36" spans="1:17" x14ac:dyDescent="0.2">
      <c r="A36" s="13">
        <f t="shared" si="0"/>
        <v>28</v>
      </c>
      <c r="B36" s="13"/>
      <c r="C36" s="12" t="s">
        <v>72</v>
      </c>
      <c r="D36" s="13" t="str">
        <f>"("&amp;A$11&amp;") x ("&amp;A35&amp;")"</f>
        <v>(3) x (27)</v>
      </c>
      <c r="E36" s="56">
        <f>$Q35*E$11</f>
        <v>50.475378995065753</v>
      </c>
      <c r="F36" s="56">
        <f t="shared" ref="F36:P36" si="7">$Q35*F$11</f>
        <v>42.658828916237482</v>
      </c>
      <c r="G36" s="56">
        <f t="shared" si="7"/>
        <v>43.200324477580899</v>
      </c>
      <c r="H36" s="56">
        <f t="shared" si="7"/>
        <v>35.163503022381896</v>
      </c>
      <c r="I36" s="56">
        <f t="shared" si="7"/>
        <v>28.270937400579264</v>
      </c>
      <c r="J36" s="56">
        <f t="shared" si="7"/>
        <v>27.445908275382028</v>
      </c>
      <c r="K36" s="56">
        <f t="shared" si="7"/>
        <v>28.7916043045545</v>
      </c>
      <c r="L36" s="56">
        <f t="shared" si="7"/>
        <v>27.901518662132222</v>
      </c>
      <c r="M36" s="56">
        <f t="shared" si="7"/>
        <v>26.645920359876303</v>
      </c>
      <c r="N36" s="56">
        <f t="shared" si="7"/>
        <v>34.124991546719194</v>
      </c>
      <c r="O36" s="56">
        <f t="shared" si="7"/>
        <v>43.004747971236213</v>
      </c>
      <c r="P36" s="56">
        <f t="shared" si="7"/>
        <v>52.616336068254242</v>
      </c>
      <c r="Q36" s="57">
        <f>SUM(E36:P36)</f>
        <v>440.29999999999995</v>
      </c>
    </row>
    <row r="37" spans="1:17" x14ac:dyDescent="0.2">
      <c r="A37" s="13">
        <f t="shared" si="0"/>
        <v>29</v>
      </c>
      <c r="B37" s="13"/>
      <c r="C37" s="12"/>
      <c r="D37" s="58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57"/>
    </row>
    <row r="38" spans="1:17" x14ac:dyDescent="0.2">
      <c r="A38" s="13">
        <f t="shared" si="0"/>
        <v>30</v>
      </c>
      <c r="B38" s="47" t="str">
        <f>B13</f>
        <v>Schedules 8 &amp; 24</v>
      </c>
      <c r="D38" s="13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57"/>
    </row>
    <row r="39" spans="1:17" x14ac:dyDescent="0.2">
      <c r="A39" s="13">
        <f t="shared" si="0"/>
        <v>31</v>
      </c>
      <c r="B39" s="13"/>
      <c r="C39" s="12" t="s">
        <v>71</v>
      </c>
      <c r="D39" s="13" t="str">
        <f>$D$35</f>
        <v>JAP-11 Page 2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55">
        <f>'Exh. JAP-11 Page 2'!E16</f>
        <v>784.3</v>
      </c>
    </row>
    <row r="40" spans="1:17" x14ac:dyDescent="0.2">
      <c r="A40" s="13">
        <f t="shared" si="0"/>
        <v>32</v>
      </c>
      <c r="B40" s="13"/>
      <c r="C40" s="12" t="s">
        <v>72</v>
      </c>
      <c r="D40" s="13" t="str">
        <f>"("&amp;A$15&amp;") x ("&amp;A39&amp;")"</f>
        <v>(7) x (31)</v>
      </c>
      <c r="E40" s="56">
        <f>$Q39*E$15</f>
        <v>77.956848610463609</v>
      </c>
      <c r="F40" s="56">
        <f t="shared" ref="F40:P40" si="8">$Q39*F$15</f>
        <v>66.017243109121452</v>
      </c>
      <c r="G40" s="56">
        <f t="shared" si="8"/>
        <v>71.083308245568006</v>
      </c>
      <c r="H40" s="56">
        <f t="shared" si="8"/>
        <v>61.427015046604176</v>
      </c>
      <c r="I40" s="56">
        <f t="shared" si="8"/>
        <v>60.420844483307064</v>
      </c>
      <c r="J40" s="56">
        <f t="shared" si="8"/>
        <v>58.139311422327765</v>
      </c>
      <c r="K40" s="56">
        <f t="shared" si="8"/>
        <v>63.421721599497623</v>
      </c>
      <c r="L40" s="56">
        <f t="shared" si="8"/>
        <v>63.824132579820557</v>
      </c>
      <c r="M40" s="56">
        <f t="shared" si="8"/>
        <v>56.964545079438558</v>
      </c>
      <c r="N40" s="56">
        <f>$Q39*N$15</f>
        <v>62.643945020452904</v>
      </c>
      <c r="O40" s="56">
        <f t="shared" si="8"/>
        <v>68.569294055357304</v>
      </c>
      <c r="P40" s="56">
        <f t="shared" si="8"/>
        <v>73.831790748040945</v>
      </c>
      <c r="Q40" s="57">
        <f>SUM(E40:P40)</f>
        <v>784.3</v>
      </c>
    </row>
    <row r="41" spans="1:17" x14ac:dyDescent="0.2">
      <c r="A41" s="13">
        <f t="shared" si="0"/>
        <v>33</v>
      </c>
      <c r="B41" s="13"/>
      <c r="C41" s="12"/>
      <c r="D41" s="58"/>
      <c r="E41" s="13"/>
      <c r="F41" s="13"/>
      <c r="G41" s="13"/>
      <c r="H41" s="13"/>
      <c r="I41" s="12"/>
      <c r="J41" s="12"/>
      <c r="K41" s="12"/>
      <c r="L41" s="12"/>
      <c r="M41" s="12"/>
      <c r="N41" s="12"/>
      <c r="O41" s="12"/>
      <c r="P41" s="12"/>
      <c r="Q41" s="57"/>
    </row>
    <row r="42" spans="1:17" x14ac:dyDescent="0.2">
      <c r="A42" s="13">
        <f t="shared" si="0"/>
        <v>34</v>
      </c>
      <c r="B42" s="47" t="str">
        <f>B17</f>
        <v>Schedules 7A, 11, 25, 29, 35 &amp; 43</v>
      </c>
      <c r="D42" s="13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57"/>
    </row>
    <row r="43" spans="1:17" x14ac:dyDescent="0.2">
      <c r="A43" s="13">
        <f t="shared" si="0"/>
        <v>35</v>
      </c>
      <c r="B43" s="13"/>
      <c r="C43" s="12" t="s">
        <v>71</v>
      </c>
      <c r="D43" s="13" t="str">
        <f>$D$35</f>
        <v>JAP-11 Page 2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55">
        <f>'Exh. JAP-11 Page 2'!F16</f>
        <v>12487.14</v>
      </c>
    </row>
    <row r="44" spans="1:17" x14ac:dyDescent="0.2">
      <c r="A44" s="13">
        <f t="shared" si="0"/>
        <v>36</v>
      </c>
      <c r="B44" s="13"/>
      <c r="C44" s="12" t="s">
        <v>72</v>
      </c>
      <c r="D44" s="13" t="str">
        <f>"("&amp;A$19&amp;") x ("&amp;A43&amp;")"</f>
        <v>(11) x (35)</v>
      </c>
      <c r="E44" s="56">
        <f t="shared" ref="E44:P44" si="9">$Q43*E$19</f>
        <v>1133.8447121169959</v>
      </c>
      <c r="F44" s="56">
        <f t="shared" si="9"/>
        <v>1046.5387032948472</v>
      </c>
      <c r="G44" s="56">
        <f t="shared" si="9"/>
        <v>1109.3441862163304</v>
      </c>
      <c r="H44" s="56">
        <f t="shared" si="9"/>
        <v>999.64373699759733</v>
      </c>
      <c r="I44" s="56">
        <f t="shared" si="9"/>
        <v>1026.7202763704183</v>
      </c>
      <c r="J44" s="56">
        <f t="shared" si="9"/>
        <v>957.55562843833582</v>
      </c>
      <c r="K44" s="56">
        <f t="shared" si="9"/>
        <v>1074.9645977620476</v>
      </c>
      <c r="L44" s="56">
        <f t="shared" si="9"/>
        <v>1025.8572352233932</v>
      </c>
      <c r="M44" s="56">
        <f t="shared" si="9"/>
        <v>928.90499448774676</v>
      </c>
      <c r="N44" s="56">
        <f t="shared" si="9"/>
        <v>1012.7162699921247</v>
      </c>
      <c r="O44" s="56">
        <f t="shared" si="9"/>
        <v>1038.5436338409691</v>
      </c>
      <c r="P44" s="56">
        <f t="shared" si="9"/>
        <v>1132.5060252591957</v>
      </c>
      <c r="Q44" s="57">
        <f>SUM(E44:P44)</f>
        <v>12487.140000000001</v>
      </c>
    </row>
    <row r="45" spans="1:17" x14ac:dyDescent="0.2">
      <c r="A45" s="13">
        <f t="shared" si="0"/>
        <v>37</v>
      </c>
      <c r="D45" s="13"/>
    </row>
    <row r="46" spans="1:17" x14ac:dyDescent="0.2">
      <c r="A46" s="13">
        <f t="shared" si="0"/>
        <v>38</v>
      </c>
      <c r="B46" s="47" t="s">
        <v>114</v>
      </c>
      <c r="D46" s="13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57"/>
    </row>
    <row r="47" spans="1:17" x14ac:dyDescent="0.2">
      <c r="A47" s="13">
        <f t="shared" si="0"/>
        <v>39</v>
      </c>
      <c r="B47" s="13"/>
      <c r="C47" s="12" t="s">
        <v>71</v>
      </c>
      <c r="D47" s="13" t="str">
        <f>$D$35</f>
        <v>JAP-11 Page 2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55">
        <f>'Exh. JAP-11 Page 2'!G16</f>
        <v>43750.85</v>
      </c>
    </row>
    <row r="48" spans="1:17" x14ac:dyDescent="0.2">
      <c r="A48" s="13">
        <f t="shared" si="0"/>
        <v>40</v>
      </c>
      <c r="B48" s="13"/>
      <c r="C48" s="12" t="s">
        <v>72</v>
      </c>
      <c r="D48" s="13" t="str">
        <f>"("&amp;A$23&amp;") x ("&amp;A47&amp;")"</f>
        <v>(15) x (39)</v>
      </c>
      <c r="E48" s="56">
        <f>$Q47*E$23</f>
        <v>3953.9666806201567</v>
      </c>
      <c r="F48" s="56">
        <f t="shared" ref="F48:P48" si="10">$Q47*F$23</f>
        <v>3326.7530121229715</v>
      </c>
      <c r="G48" s="56">
        <f t="shared" si="10"/>
        <v>3894.1271891948027</v>
      </c>
      <c r="H48" s="56">
        <f t="shared" si="10"/>
        <v>4063.753396307714</v>
      </c>
      <c r="I48" s="56">
        <f t="shared" si="10"/>
        <v>3654.9783350984844</v>
      </c>
      <c r="J48" s="56">
        <f t="shared" si="10"/>
        <v>3711.1363171701087</v>
      </c>
      <c r="K48" s="56">
        <f t="shared" si="10"/>
        <v>3703.1127816565017</v>
      </c>
      <c r="L48" s="56">
        <f t="shared" si="10"/>
        <v>3643.612136914207</v>
      </c>
      <c r="M48" s="56">
        <f t="shared" si="10"/>
        <v>3711.1710606664128</v>
      </c>
      <c r="N48" s="56">
        <f t="shared" si="10"/>
        <v>2660.685184219235</v>
      </c>
      <c r="O48" s="56">
        <f t="shared" si="10"/>
        <v>3663.6302464310211</v>
      </c>
      <c r="P48" s="56">
        <f t="shared" si="10"/>
        <v>3763.923659598383</v>
      </c>
      <c r="Q48" s="57">
        <f>SUM(E48:P48)</f>
        <v>43750.849999999991</v>
      </c>
    </row>
    <row r="49" spans="1:17" x14ac:dyDescent="0.2">
      <c r="A49" s="13">
        <f t="shared" si="0"/>
        <v>41</v>
      </c>
      <c r="D49" s="13"/>
    </row>
    <row r="50" spans="1:17" x14ac:dyDescent="0.2">
      <c r="A50" s="13">
        <f t="shared" si="0"/>
        <v>42</v>
      </c>
      <c r="B50" s="47" t="str">
        <f>B25</f>
        <v>Schedules 12 &amp; 26</v>
      </c>
      <c r="D50" s="13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57"/>
    </row>
    <row r="51" spans="1:17" x14ac:dyDescent="0.2">
      <c r="A51" s="13">
        <f t="shared" si="0"/>
        <v>43</v>
      </c>
      <c r="B51" s="13"/>
      <c r="C51" s="12" t="s">
        <v>71</v>
      </c>
      <c r="D51" s="13" t="str">
        <f>$D$35</f>
        <v>JAP-11 Page 2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55">
        <f>'Exh. JAP-11 Page 2'!H16</f>
        <v>63459.7</v>
      </c>
    </row>
    <row r="52" spans="1:17" x14ac:dyDescent="0.2">
      <c r="A52" s="13">
        <f t="shared" si="0"/>
        <v>44</v>
      </c>
      <c r="B52" s="13"/>
      <c r="C52" s="12" t="s">
        <v>72</v>
      </c>
      <c r="D52" s="13" t="str">
        <f>"("&amp;A$27&amp;") x ("&amp;A51&amp;")"</f>
        <v>(19) x (43)</v>
      </c>
      <c r="E52" s="56">
        <f t="shared" ref="E52:P52" si="11">$Q51*E$27</f>
        <v>6124.5943741558121</v>
      </c>
      <c r="F52" s="56">
        <f t="shared" si="11"/>
        <v>6373.280108998063</v>
      </c>
      <c r="G52" s="56">
        <f t="shared" si="11"/>
        <v>5958.5112493322631</v>
      </c>
      <c r="H52" s="56">
        <f t="shared" si="11"/>
        <v>5015.1600331083446</v>
      </c>
      <c r="I52" s="56">
        <f t="shared" si="11"/>
        <v>4310.2175788238883</v>
      </c>
      <c r="J52" s="56">
        <f t="shared" si="11"/>
        <v>4299.8089202031779</v>
      </c>
      <c r="K52" s="56">
        <f t="shared" si="11"/>
        <v>4475.0784955779773</v>
      </c>
      <c r="L52" s="56">
        <f t="shared" si="11"/>
        <v>4822.3982048696425</v>
      </c>
      <c r="M52" s="56">
        <f t="shared" si="11"/>
        <v>4439.5466710850606</v>
      </c>
      <c r="N52" s="56">
        <f t="shared" si="11"/>
        <v>5234.6664076211619</v>
      </c>
      <c r="O52" s="56">
        <f t="shared" si="11"/>
        <v>5983.5960068700761</v>
      </c>
      <c r="P52" s="56">
        <f t="shared" si="11"/>
        <v>6422.8419493545298</v>
      </c>
      <c r="Q52" s="57">
        <f>SUM(E52:P52)</f>
        <v>63459.69999999999</v>
      </c>
    </row>
    <row r="53" spans="1:17" x14ac:dyDescent="0.2">
      <c r="A53" s="13">
        <f t="shared" si="0"/>
        <v>45</v>
      </c>
      <c r="D53" s="13"/>
    </row>
    <row r="54" spans="1:17" x14ac:dyDescent="0.2">
      <c r="A54" s="13">
        <f t="shared" si="0"/>
        <v>46</v>
      </c>
      <c r="B54" s="47" t="str">
        <f>B29</f>
        <v>Schedules 10 &amp; 31</v>
      </c>
      <c r="D54" s="13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57"/>
    </row>
    <row r="55" spans="1:17" x14ac:dyDescent="0.2">
      <c r="A55" s="13">
        <f t="shared" si="0"/>
        <v>47</v>
      </c>
      <c r="B55" s="13"/>
      <c r="C55" s="12" t="s">
        <v>71</v>
      </c>
      <c r="D55" s="13" t="str">
        <f>$D$35</f>
        <v>JAP-11 Page 2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55">
        <f>'Exh. JAP-11 Page 2'!I16</f>
        <v>81415.009999999995</v>
      </c>
    </row>
    <row r="56" spans="1:17" x14ac:dyDescent="0.2">
      <c r="A56" s="13">
        <f t="shared" si="0"/>
        <v>48</v>
      </c>
      <c r="B56" s="13"/>
      <c r="C56" s="12" t="s">
        <v>72</v>
      </c>
      <c r="D56" s="13" t="str">
        <f>"("&amp;A$31&amp;") x ("&amp;A55&amp;")"</f>
        <v>(23) x (47)</v>
      </c>
      <c r="E56" s="56">
        <f t="shared" ref="E56:P56" si="12">$Q55*E$31</f>
        <v>8344.4460126130907</v>
      </c>
      <c r="F56" s="56">
        <f t="shared" si="12"/>
        <v>8359.725603509949</v>
      </c>
      <c r="G56" s="56">
        <f t="shared" si="12"/>
        <v>7600.3288818077062</v>
      </c>
      <c r="H56" s="56">
        <f t="shared" si="12"/>
        <v>7090.8923526834242</v>
      </c>
      <c r="I56" s="56">
        <f t="shared" si="12"/>
        <v>5678.0467176311968</v>
      </c>
      <c r="J56" s="56">
        <f t="shared" si="12"/>
        <v>5197.3931639769871</v>
      </c>
      <c r="K56" s="56">
        <f t="shared" si="12"/>
        <v>5575.0346568227624</v>
      </c>
      <c r="L56" s="56">
        <f t="shared" si="12"/>
        <v>5792.9519819093639</v>
      </c>
      <c r="M56" s="56">
        <f t="shared" si="12"/>
        <v>5571.400549225873</v>
      </c>
      <c r="N56" s="56">
        <f t="shared" si="12"/>
        <v>6377.1156720324943</v>
      </c>
      <c r="O56" s="56">
        <f t="shared" si="12"/>
        <v>7606.1661177229425</v>
      </c>
      <c r="P56" s="56">
        <f t="shared" si="12"/>
        <v>8221.5082900642046</v>
      </c>
      <c r="Q56" s="57">
        <f>SUM(E56:P56)</f>
        <v>81415.00999999998</v>
      </c>
    </row>
    <row r="59" spans="1:17" x14ac:dyDescent="0.2">
      <c r="B59" s="12" t="s">
        <v>118</v>
      </c>
    </row>
  </sheetData>
  <mergeCells count="4">
    <mergeCell ref="A1:Q1"/>
    <mergeCell ref="A3:Q3"/>
    <mergeCell ref="A4:Q4"/>
    <mergeCell ref="A2:Q2"/>
  </mergeCells>
  <printOptions horizontalCentered="1"/>
  <pageMargins left="0.45" right="0.45" top="0.75" bottom="0.75" header="0.3" footer="0.3"/>
  <pageSetup scale="54" orientation="landscape" blackAndWhite="1" horizontalDpi="1200" verticalDpi="1200" r:id="rId1"/>
  <headerFooter>
    <oddFooter>&amp;R&amp;A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N34" sqref="N34"/>
    </sheetView>
  </sheetViews>
  <sheetFormatPr defaultRowHeight="15" x14ac:dyDescent="0.25"/>
  <sheetData/>
  <pageMargins left="0.7" right="0.7" top="0.75" bottom="0.75" header="0.3" footer="0.3"/>
  <pageSetup orientation="portrait" horizontalDpi="300" verticalDpi="300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4"/>
  <sheetViews>
    <sheetView zoomScaleNormal="100" workbookViewId="0">
      <selection activeCell="F11" sqref="F11"/>
    </sheetView>
  </sheetViews>
  <sheetFormatPr defaultColWidth="13.7109375" defaultRowHeight="11.25" x14ac:dyDescent="0.2"/>
  <cols>
    <col min="1" max="1" width="3" style="60" customWidth="1"/>
    <col min="2" max="2" width="17" style="60" bestFit="1" customWidth="1"/>
    <col min="3" max="11" width="9.85546875" style="60" bestFit="1" customWidth="1"/>
    <col min="12" max="14" width="9.140625" style="60" customWidth="1"/>
    <col min="15" max="15" width="7.85546875" style="60" bestFit="1" customWidth="1"/>
    <col min="16" max="16" width="7.140625" style="60" bestFit="1" customWidth="1"/>
    <col min="17" max="16384" width="13.7109375" style="60"/>
  </cols>
  <sheetData>
    <row r="1" spans="2:16" x14ac:dyDescent="0.2">
      <c r="B1" s="245" t="s">
        <v>16</v>
      </c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</row>
    <row r="2" spans="2:16" x14ac:dyDescent="0.2">
      <c r="B2" s="245" t="s">
        <v>83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</row>
    <row r="3" spans="2:16" x14ac:dyDescent="0.2">
      <c r="B3" s="245" t="s">
        <v>108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</row>
    <row r="5" spans="2:16" s="63" customFormat="1" x14ac:dyDescent="0.2">
      <c r="B5" s="61" t="s">
        <v>84</v>
      </c>
      <c r="C5" s="62">
        <v>43131</v>
      </c>
      <c r="D5" s="62">
        <f t="shared" ref="D5:K5" si="0">EDATE(C5,1)</f>
        <v>43159</v>
      </c>
      <c r="E5" s="62">
        <f t="shared" si="0"/>
        <v>43187</v>
      </c>
      <c r="F5" s="62">
        <f t="shared" si="0"/>
        <v>43218</v>
      </c>
      <c r="G5" s="62">
        <f t="shared" si="0"/>
        <v>43248</v>
      </c>
      <c r="H5" s="62">
        <f t="shared" si="0"/>
        <v>43279</v>
      </c>
      <c r="I5" s="62">
        <f t="shared" si="0"/>
        <v>43309</v>
      </c>
      <c r="J5" s="62">
        <f t="shared" si="0"/>
        <v>43340</v>
      </c>
      <c r="K5" s="62">
        <f t="shared" si="0"/>
        <v>43371</v>
      </c>
      <c r="L5" s="62">
        <f t="shared" ref="L5" si="1">EDATE(K5,1)</f>
        <v>43401</v>
      </c>
      <c r="M5" s="62">
        <f t="shared" ref="M5" si="2">EDATE(L5,1)</f>
        <v>43432</v>
      </c>
      <c r="N5" s="62">
        <f t="shared" ref="N5" si="3">EDATE(M5,1)</f>
        <v>43462</v>
      </c>
      <c r="O5" s="61" t="s">
        <v>18</v>
      </c>
      <c r="P5" s="61" t="s">
        <v>34</v>
      </c>
    </row>
    <row r="6" spans="2:16" x14ac:dyDescent="0.2">
      <c r="B6" s="64">
        <v>3</v>
      </c>
      <c r="C6" s="232">
        <v>1</v>
      </c>
      <c r="D6" s="232">
        <v>1</v>
      </c>
      <c r="E6" s="232">
        <v>1</v>
      </c>
      <c r="F6" s="232">
        <v>1</v>
      </c>
      <c r="G6" s="232">
        <v>1</v>
      </c>
      <c r="H6" s="232">
        <v>1</v>
      </c>
      <c r="I6" s="232">
        <v>1</v>
      </c>
      <c r="J6" s="232">
        <v>1</v>
      </c>
      <c r="K6" s="232">
        <v>1</v>
      </c>
      <c r="L6" s="232">
        <v>1</v>
      </c>
      <c r="M6" s="232">
        <v>1</v>
      </c>
      <c r="N6" s="232">
        <v>1</v>
      </c>
      <c r="O6" s="65">
        <f t="shared" ref="O6:O23" si="4">SUM(C6:N6)</f>
        <v>12</v>
      </c>
      <c r="P6" s="65">
        <f>ROUND(O6/12,0)</f>
        <v>1</v>
      </c>
    </row>
    <row r="7" spans="2:16" x14ac:dyDescent="0.2">
      <c r="B7" s="64">
        <v>5</v>
      </c>
      <c r="C7" s="233">
        <v>8</v>
      </c>
      <c r="D7" s="233">
        <v>8</v>
      </c>
      <c r="E7" s="233">
        <v>8</v>
      </c>
      <c r="F7" s="233">
        <v>8</v>
      </c>
      <c r="G7" s="233">
        <v>8</v>
      </c>
      <c r="H7" s="233">
        <v>8</v>
      </c>
      <c r="I7" s="233">
        <v>8</v>
      </c>
      <c r="J7" s="233">
        <v>8</v>
      </c>
      <c r="K7" s="233">
        <v>8</v>
      </c>
      <c r="L7" s="233">
        <v>8</v>
      </c>
      <c r="M7" s="233">
        <v>8</v>
      </c>
      <c r="N7" s="233">
        <v>8</v>
      </c>
      <c r="O7" s="65">
        <f t="shared" si="4"/>
        <v>96</v>
      </c>
      <c r="P7" s="65">
        <f t="shared" ref="P7:P23" si="5">ROUND(O7/12,0)</f>
        <v>8</v>
      </c>
    </row>
    <row r="8" spans="2:16" x14ac:dyDescent="0.2">
      <c r="B8" s="64">
        <v>7</v>
      </c>
      <c r="C8" s="233">
        <v>1005060</v>
      </c>
      <c r="D8" s="233">
        <v>1006215</v>
      </c>
      <c r="E8" s="233">
        <v>1006855</v>
      </c>
      <c r="F8" s="233">
        <v>1007514</v>
      </c>
      <c r="G8" s="233">
        <v>1008561</v>
      </c>
      <c r="H8" s="233">
        <v>1009696</v>
      </c>
      <c r="I8" s="233">
        <v>1010120</v>
      </c>
      <c r="J8" s="233">
        <v>1011178</v>
      </c>
      <c r="K8" s="233">
        <v>1012929</v>
      </c>
      <c r="L8" s="233">
        <v>1014406</v>
      </c>
      <c r="M8" s="233">
        <v>1016565</v>
      </c>
      <c r="N8" s="233">
        <v>1017763</v>
      </c>
      <c r="O8" s="65">
        <f t="shared" si="4"/>
        <v>12126862</v>
      </c>
      <c r="P8" s="65">
        <f t="shared" si="5"/>
        <v>1010572</v>
      </c>
    </row>
    <row r="9" spans="2:16" x14ac:dyDescent="0.2">
      <c r="B9" s="66" t="s">
        <v>41</v>
      </c>
      <c r="C9" s="233">
        <v>2</v>
      </c>
      <c r="D9" s="233">
        <v>2</v>
      </c>
      <c r="E9" s="233">
        <v>2</v>
      </c>
      <c r="F9" s="233">
        <v>2</v>
      </c>
      <c r="G9" s="233">
        <v>2</v>
      </c>
      <c r="H9" s="233">
        <v>2</v>
      </c>
      <c r="I9" s="233">
        <v>2</v>
      </c>
      <c r="J9" s="233">
        <v>2</v>
      </c>
      <c r="K9" s="233">
        <v>2</v>
      </c>
      <c r="L9" s="233">
        <v>2</v>
      </c>
      <c r="M9" s="233">
        <v>2</v>
      </c>
      <c r="N9" s="233">
        <v>2</v>
      </c>
      <c r="O9" s="65">
        <f t="shared" si="4"/>
        <v>24</v>
      </c>
      <c r="P9" s="65">
        <f t="shared" si="5"/>
        <v>2</v>
      </c>
    </row>
    <row r="10" spans="2:16" x14ac:dyDescent="0.2">
      <c r="B10" s="64" t="s">
        <v>45</v>
      </c>
      <c r="C10" s="233">
        <v>120955</v>
      </c>
      <c r="D10" s="233">
        <v>121123</v>
      </c>
      <c r="E10" s="233">
        <v>121264</v>
      </c>
      <c r="F10" s="233">
        <v>121274</v>
      </c>
      <c r="G10" s="233">
        <v>121372</v>
      </c>
      <c r="H10" s="233">
        <v>121592</v>
      </c>
      <c r="I10" s="233">
        <v>121703</v>
      </c>
      <c r="J10" s="233">
        <v>121847</v>
      </c>
      <c r="K10" s="233">
        <v>121977</v>
      </c>
      <c r="L10" s="233">
        <v>122030</v>
      </c>
      <c r="M10" s="233">
        <v>121995</v>
      </c>
      <c r="N10" s="233">
        <v>121946</v>
      </c>
      <c r="O10" s="65">
        <f t="shared" si="4"/>
        <v>1459078</v>
      </c>
      <c r="P10" s="65">
        <f t="shared" si="5"/>
        <v>121590</v>
      </c>
    </row>
    <row r="11" spans="2:16" x14ac:dyDescent="0.2">
      <c r="B11" s="64" t="s">
        <v>90</v>
      </c>
      <c r="C11" s="233">
        <v>7282</v>
      </c>
      <c r="D11" s="233">
        <v>7383</v>
      </c>
      <c r="E11" s="233">
        <v>7504</v>
      </c>
      <c r="F11" s="233">
        <v>7620</v>
      </c>
      <c r="G11" s="233">
        <v>7675</v>
      </c>
      <c r="H11" s="233">
        <v>7576</v>
      </c>
      <c r="I11" s="233">
        <v>7546</v>
      </c>
      <c r="J11" s="233">
        <v>7547</v>
      </c>
      <c r="K11" s="233">
        <v>7550</v>
      </c>
      <c r="L11" s="233">
        <v>7591</v>
      </c>
      <c r="M11" s="233">
        <v>7641</v>
      </c>
      <c r="N11" s="233">
        <v>7649</v>
      </c>
      <c r="O11" s="65">
        <f t="shared" si="4"/>
        <v>90564</v>
      </c>
      <c r="P11" s="65">
        <f t="shared" si="5"/>
        <v>7547</v>
      </c>
    </row>
    <row r="12" spans="2:16" x14ac:dyDescent="0.2">
      <c r="B12" s="64" t="s">
        <v>46</v>
      </c>
      <c r="C12" s="233">
        <v>803</v>
      </c>
      <c r="D12" s="233">
        <v>798</v>
      </c>
      <c r="E12" s="233">
        <v>799</v>
      </c>
      <c r="F12" s="233">
        <v>803</v>
      </c>
      <c r="G12" s="233">
        <v>832</v>
      </c>
      <c r="H12" s="233">
        <v>861</v>
      </c>
      <c r="I12" s="233">
        <v>859</v>
      </c>
      <c r="J12" s="233">
        <v>863</v>
      </c>
      <c r="K12" s="233">
        <v>863</v>
      </c>
      <c r="L12" s="233">
        <v>850</v>
      </c>
      <c r="M12" s="233">
        <v>820</v>
      </c>
      <c r="N12" s="233">
        <v>822</v>
      </c>
      <c r="O12" s="65">
        <f t="shared" si="4"/>
        <v>9973</v>
      </c>
      <c r="P12" s="65">
        <f t="shared" si="5"/>
        <v>831</v>
      </c>
    </row>
    <row r="13" spans="2:16" x14ac:dyDescent="0.2">
      <c r="B13" s="64">
        <v>29</v>
      </c>
      <c r="C13" s="233">
        <v>533</v>
      </c>
      <c r="D13" s="233">
        <v>521</v>
      </c>
      <c r="E13" s="233">
        <v>529</v>
      </c>
      <c r="F13" s="233">
        <v>564</v>
      </c>
      <c r="G13" s="233">
        <v>629</v>
      </c>
      <c r="H13" s="233">
        <v>665</v>
      </c>
      <c r="I13" s="233">
        <v>687</v>
      </c>
      <c r="J13" s="233">
        <v>695</v>
      </c>
      <c r="K13" s="233">
        <v>683</v>
      </c>
      <c r="L13" s="233">
        <v>633</v>
      </c>
      <c r="M13" s="233">
        <v>554</v>
      </c>
      <c r="N13" s="233">
        <v>539</v>
      </c>
      <c r="O13" s="65">
        <f t="shared" si="4"/>
        <v>7232</v>
      </c>
      <c r="P13" s="65">
        <f t="shared" si="5"/>
        <v>603</v>
      </c>
    </row>
    <row r="14" spans="2:16" x14ac:dyDescent="0.2">
      <c r="B14" s="64" t="s">
        <v>47</v>
      </c>
      <c r="C14" s="233">
        <v>482</v>
      </c>
      <c r="D14" s="233">
        <v>480</v>
      </c>
      <c r="E14" s="233">
        <v>481</v>
      </c>
      <c r="F14" s="233">
        <v>483</v>
      </c>
      <c r="G14" s="233">
        <v>482</v>
      </c>
      <c r="H14" s="233">
        <v>483</v>
      </c>
      <c r="I14" s="233">
        <v>483</v>
      </c>
      <c r="J14" s="233">
        <v>482</v>
      </c>
      <c r="K14" s="233">
        <v>481</v>
      </c>
      <c r="L14" s="233">
        <v>482</v>
      </c>
      <c r="M14" s="233">
        <v>482</v>
      </c>
      <c r="N14" s="233">
        <v>481</v>
      </c>
      <c r="O14" s="65">
        <f t="shared" si="4"/>
        <v>5782</v>
      </c>
      <c r="P14" s="65">
        <f t="shared" si="5"/>
        <v>482</v>
      </c>
    </row>
    <row r="15" spans="2:16" x14ac:dyDescent="0.2">
      <c r="B15" s="64">
        <v>35</v>
      </c>
      <c r="C15" s="233">
        <v>1</v>
      </c>
      <c r="D15" s="233">
        <v>1</v>
      </c>
      <c r="E15" s="233">
        <v>1</v>
      </c>
      <c r="F15" s="233">
        <v>1</v>
      </c>
      <c r="G15" s="233">
        <v>2</v>
      </c>
      <c r="H15" s="233">
        <v>2</v>
      </c>
      <c r="I15" s="233">
        <v>2</v>
      </c>
      <c r="J15" s="233">
        <v>2</v>
      </c>
      <c r="K15" s="233">
        <v>2</v>
      </c>
      <c r="L15" s="233">
        <v>2</v>
      </c>
      <c r="M15" s="233">
        <v>2</v>
      </c>
      <c r="N15" s="233">
        <v>2</v>
      </c>
      <c r="O15" s="65">
        <f t="shared" si="4"/>
        <v>20</v>
      </c>
      <c r="P15" s="65">
        <f t="shared" si="5"/>
        <v>2</v>
      </c>
    </row>
    <row r="16" spans="2:16" x14ac:dyDescent="0.2">
      <c r="B16" s="66" t="s">
        <v>115</v>
      </c>
      <c r="C16" s="233">
        <v>130</v>
      </c>
      <c r="D16" s="233">
        <v>128</v>
      </c>
      <c r="E16" s="233">
        <v>128</v>
      </c>
      <c r="F16" s="233">
        <v>128</v>
      </c>
      <c r="G16" s="233">
        <v>128</v>
      </c>
      <c r="H16" s="233">
        <v>128</v>
      </c>
      <c r="I16" s="233">
        <v>129</v>
      </c>
      <c r="J16" s="233">
        <v>129</v>
      </c>
      <c r="K16" s="233">
        <v>129</v>
      </c>
      <c r="L16" s="233">
        <v>129</v>
      </c>
      <c r="M16" s="233">
        <v>129</v>
      </c>
      <c r="N16" s="233">
        <v>127</v>
      </c>
      <c r="O16" s="65">
        <f t="shared" si="4"/>
        <v>1542</v>
      </c>
      <c r="P16" s="65">
        <f t="shared" si="5"/>
        <v>129</v>
      </c>
    </row>
    <row r="17" spans="2:16" x14ac:dyDescent="0.2">
      <c r="B17" s="64">
        <v>43</v>
      </c>
      <c r="C17" s="233">
        <v>157</v>
      </c>
      <c r="D17" s="233">
        <v>156</v>
      </c>
      <c r="E17" s="233">
        <v>156</v>
      </c>
      <c r="F17" s="233">
        <v>155</v>
      </c>
      <c r="G17" s="233">
        <v>155</v>
      </c>
      <c r="H17" s="233">
        <v>155</v>
      </c>
      <c r="I17" s="233">
        <v>155</v>
      </c>
      <c r="J17" s="233">
        <v>154</v>
      </c>
      <c r="K17" s="233">
        <v>154</v>
      </c>
      <c r="L17" s="233">
        <v>153</v>
      </c>
      <c r="M17" s="233">
        <v>153</v>
      </c>
      <c r="N17" s="233">
        <v>153</v>
      </c>
      <c r="O17" s="65">
        <f t="shared" si="4"/>
        <v>1856</v>
      </c>
      <c r="P17" s="65">
        <f t="shared" si="5"/>
        <v>155</v>
      </c>
    </row>
    <row r="18" spans="2:16" x14ac:dyDescent="0.2">
      <c r="B18" s="64">
        <v>46</v>
      </c>
      <c r="C18" s="233">
        <v>6</v>
      </c>
      <c r="D18" s="233">
        <v>6</v>
      </c>
      <c r="E18" s="233">
        <v>6</v>
      </c>
      <c r="F18" s="233">
        <v>6</v>
      </c>
      <c r="G18" s="233">
        <v>6</v>
      </c>
      <c r="H18" s="233">
        <v>6</v>
      </c>
      <c r="I18" s="233">
        <v>6</v>
      </c>
      <c r="J18" s="233">
        <v>6</v>
      </c>
      <c r="K18" s="233">
        <v>6</v>
      </c>
      <c r="L18" s="233">
        <v>6</v>
      </c>
      <c r="M18" s="233">
        <v>6</v>
      </c>
      <c r="N18" s="233">
        <v>6</v>
      </c>
      <c r="O18" s="65">
        <f t="shared" si="4"/>
        <v>72</v>
      </c>
      <c r="P18" s="65">
        <f t="shared" si="5"/>
        <v>6</v>
      </c>
    </row>
    <row r="19" spans="2:16" x14ac:dyDescent="0.2">
      <c r="B19" s="64">
        <v>49</v>
      </c>
      <c r="C19" s="233">
        <v>19</v>
      </c>
      <c r="D19" s="233">
        <v>19</v>
      </c>
      <c r="E19" s="233">
        <v>19</v>
      </c>
      <c r="F19" s="233">
        <v>19</v>
      </c>
      <c r="G19" s="233">
        <v>19</v>
      </c>
      <c r="H19" s="233">
        <v>19</v>
      </c>
      <c r="I19" s="233">
        <v>19</v>
      </c>
      <c r="J19" s="233">
        <v>19</v>
      </c>
      <c r="K19" s="233">
        <v>19</v>
      </c>
      <c r="L19" s="233">
        <v>19</v>
      </c>
      <c r="M19" s="233">
        <v>19</v>
      </c>
      <c r="N19" s="233">
        <v>19</v>
      </c>
      <c r="O19" s="65">
        <f t="shared" si="4"/>
        <v>228</v>
      </c>
      <c r="P19" s="65">
        <f t="shared" si="5"/>
        <v>19</v>
      </c>
    </row>
    <row r="20" spans="2:16" x14ac:dyDescent="0.2">
      <c r="B20" s="64">
        <v>449</v>
      </c>
      <c r="C20" s="233">
        <v>13</v>
      </c>
      <c r="D20" s="233">
        <v>13</v>
      </c>
      <c r="E20" s="233">
        <v>13</v>
      </c>
      <c r="F20" s="233">
        <v>13</v>
      </c>
      <c r="G20" s="233">
        <v>13</v>
      </c>
      <c r="H20" s="233">
        <v>13</v>
      </c>
      <c r="I20" s="233">
        <v>13</v>
      </c>
      <c r="J20" s="233">
        <v>13</v>
      </c>
      <c r="K20" s="233">
        <v>13</v>
      </c>
      <c r="L20" s="233">
        <v>13</v>
      </c>
      <c r="M20" s="233">
        <v>13</v>
      </c>
      <c r="N20" s="233">
        <v>13</v>
      </c>
      <c r="O20" s="65">
        <f t="shared" si="4"/>
        <v>156</v>
      </c>
      <c r="P20" s="65">
        <f t="shared" si="5"/>
        <v>13</v>
      </c>
    </row>
    <row r="21" spans="2:16" x14ac:dyDescent="0.2">
      <c r="B21" s="67">
        <v>459</v>
      </c>
      <c r="C21" s="233">
        <v>3</v>
      </c>
      <c r="D21" s="233">
        <v>3</v>
      </c>
      <c r="E21" s="233">
        <v>3</v>
      </c>
      <c r="F21" s="233">
        <v>3</v>
      </c>
      <c r="G21" s="233">
        <v>3</v>
      </c>
      <c r="H21" s="233">
        <v>3</v>
      </c>
      <c r="I21" s="233">
        <v>3</v>
      </c>
      <c r="J21" s="233">
        <v>3</v>
      </c>
      <c r="K21" s="233">
        <v>3</v>
      </c>
      <c r="L21" s="233">
        <v>3</v>
      </c>
      <c r="M21" s="233">
        <v>3</v>
      </c>
      <c r="N21" s="233">
        <v>3</v>
      </c>
      <c r="O21" s="65">
        <f t="shared" si="4"/>
        <v>36</v>
      </c>
      <c r="P21" s="65">
        <f t="shared" si="5"/>
        <v>3</v>
      </c>
    </row>
    <row r="22" spans="2:16" x14ac:dyDescent="0.2">
      <c r="B22" s="60" t="s">
        <v>39</v>
      </c>
      <c r="C22" s="233">
        <v>7687</v>
      </c>
      <c r="D22" s="233">
        <v>7710</v>
      </c>
      <c r="E22" s="233">
        <v>7731</v>
      </c>
      <c r="F22" s="233">
        <v>7766</v>
      </c>
      <c r="G22" s="233">
        <v>7803</v>
      </c>
      <c r="H22" s="233">
        <v>7849</v>
      </c>
      <c r="I22" s="233">
        <v>7853</v>
      </c>
      <c r="J22" s="233">
        <v>7868</v>
      </c>
      <c r="K22" s="233">
        <v>7882</v>
      </c>
      <c r="L22" s="233">
        <v>7904</v>
      </c>
      <c r="M22" s="233">
        <v>7923</v>
      </c>
      <c r="N22" s="233">
        <v>7962</v>
      </c>
      <c r="O22" s="65">
        <f t="shared" si="4"/>
        <v>93938</v>
      </c>
      <c r="P22" s="65">
        <f t="shared" si="5"/>
        <v>7828</v>
      </c>
    </row>
    <row r="23" spans="2:16" x14ac:dyDescent="0.2">
      <c r="B23" s="60" t="s">
        <v>40</v>
      </c>
      <c r="C23" s="234">
        <v>0</v>
      </c>
      <c r="D23" s="234">
        <v>0</v>
      </c>
      <c r="E23" s="234">
        <v>0</v>
      </c>
      <c r="F23" s="234">
        <v>0</v>
      </c>
      <c r="G23" s="234">
        <v>0</v>
      </c>
      <c r="H23" s="234">
        <v>0</v>
      </c>
      <c r="I23" s="234">
        <v>0</v>
      </c>
      <c r="J23" s="234">
        <v>0</v>
      </c>
      <c r="K23" s="234">
        <v>0</v>
      </c>
      <c r="L23" s="234">
        <v>0</v>
      </c>
      <c r="M23" s="234">
        <v>0</v>
      </c>
      <c r="N23" s="234">
        <v>0</v>
      </c>
      <c r="O23" s="68">
        <f t="shared" si="4"/>
        <v>0</v>
      </c>
      <c r="P23" s="68">
        <f t="shared" si="5"/>
        <v>0</v>
      </c>
    </row>
    <row r="24" spans="2:16" x14ac:dyDescent="0.2">
      <c r="B24" s="43" t="s">
        <v>18</v>
      </c>
      <c r="C24" s="69">
        <f t="shared" ref="C24:P24" si="6">SUM(C6:C23)</f>
        <v>1143142</v>
      </c>
      <c r="D24" s="69">
        <f t="shared" si="6"/>
        <v>1144567</v>
      </c>
      <c r="E24" s="69">
        <f t="shared" si="6"/>
        <v>1145500</v>
      </c>
      <c r="F24" s="69">
        <f t="shared" si="6"/>
        <v>1146360</v>
      </c>
      <c r="G24" s="69">
        <f t="shared" si="6"/>
        <v>1147691</v>
      </c>
      <c r="H24" s="69">
        <f t="shared" si="6"/>
        <v>1149059</v>
      </c>
      <c r="I24" s="69">
        <f t="shared" si="6"/>
        <v>1149589</v>
      </c>
      <c r="J24" s="69">
        <f t="shared" si="6"/>
        <v>1150817</v>
      </c>
      <c r="K24" s="69">
        <f t="shared" si="6"/>
        <v>1152702</v>
      </c>
      <c r="L24" s="69">
        <f t="shared" si="6"/>
        <v>1154232</v>
      </c>
      <c r="M24" s="69">
        <f t="shared" si="6"/>
        <v>1156316</v>
      </c>
      <c r="N24" s="69">
        <f t="shared" si="6"/>
        <v>1157496</v>
      </c>
      <c r="O24" s="69">
        <f t="shared" si="6"/>
        <v>13797471</v>
      </c>
      <c r="P24" s="69">
        <f t="shared" si="6"/>
        <v>1149791</v>
      </c>
    </row>
    <row r="25" spans="2:16" x14ac:dyDescent="0.2">
      <c r="P25" s="69"/>
    </row>
    <row r="26" spans="2:16" x14ac:dyDescent="0.2">
      <c r="B26" s="114" t="s">
        <v>116</v>
      </c>
      <c r="O26" s="65"/>
      <c r="P26" s="65"/>
    </row>
    <row r="27" spans="2:16" x14ac:dyDescent="0.2">
      <c r="B27" s="236" t="s">
        <v>245</v>
      </c>
      <c r="C27" s="118">
        <v>8</v>
      </c>
      <c r="D27" s="118">
        <v>8</v>
      </c>
      <c r="E27" s="118">
        <v>8</v>
      </c>
      <c r="F27" s="118">
        <v>8</v>
      </c>
      <c r="G27" s="118">
        <v>8</v>
      </c>
      <c r="H27" s="118">
        <v>8</v>
      </c>
      <c r="I27" s="118">
        <v>8</v>
      </c>
      <c r="J27" s="118">
        <v>8</v>
      </c>
      <c r="K27" s="118">
        <v>8</v>
      </c>
      <c r="L27" s="118">
        <v>8</v>
      </c>
      <c r="M27" s="118">
        <v>8</v>
      </c>
      <c r="N27" s="118">
        <v>8</v>
      </c>
      <c r="O27" s="65">
        <f t="shared" ref="O27:O31" si="7">SUM(C27:N27)</f>
        <v>96</v>
      </c>
      <c r="P27" s="65">
        <f t="shared" ref="P27:P32" si="8">ROUND(O27/12,0)</f>
        <v>8</v>
      </c>
    </row>
    <row r="28" spans="2:16" x14ac:dyDescent="0.2">
      <c r="B28" s="236" t="s">
        <v>246</v>
      </c>
      <c r="C28" s="118">
        <v>12</v>
      </c>
      <c r="D28" s="118">
        <v>12</v>
      </c>
      <c r="E28" s="118">
        <v>12</v>
      </c>
      <c r="F28" s="118">
        <v>12</v>
      </c>
      <c r="G28" s="118">
        <v>12</v>
      </c>
      <c r="H28" s="118">
        <v>12</v>
      </c>
      <c r="I28" s="118">
        <v>12</v>
      </c>
      <c r="J28" s="118">
        <v>12</v>
      </c>
      <c r="K28" s="118">
        <v>12</v>
      </c>
      <c r="L28" s="118">
        <v>12</v>
      </c>
      <c r="M28" s="118">
        <v>12</v>
      </c>
      <c r="N28" s="118">
        <v>12</v>
      </c>
      <c r="O28" s="65">
        <f t="shared" si="7"/>
        <v>144</v>
      </c>
      <c r="P28" s="65">
        <f t="shared" si="8"/>
        <v>12</v>
      </c>
    </row>
    <row r="29" spans="2:16" x14ac:dyDescent="0.2">
      <c r="B29" s="236" t="s">
        <v>247</v>
      </c>
      <c r="C29" s="118">
        <v>10</v>
      </c>
      <c r="D29" s="118">
        <v>10</v>
      </c>
      <c r="E29" s="118">
        <v>10</v>
      </c>
      <c r="F29" s="118">
        <v>10</v>
      </c>
      <c r="G29" s="118">
        <v>10</v>
      </c>
      <c r="H29" s="118">
        <v>10</v>
      </c>
      <c r="I29" s="118">
        <v>10</v>
      </c>
      <c r="J29" s="118">
        <v>10</v>
      </c>
      <c r="K29" s="118">
        <v>10</v>
      </c>
      <c r="L29" s="118">
        <v>10</v>
      </c>
      <c r="M29" s="118">
        <v>10</v>
      </c>
      <c r="N29" s="118">
        <v>10</v>
      </c>
      <c r="O29" s="65">
        <f t="shared" si="7"/>
        <v>120</v>
      </c>
      <c r="P29" s="65">
        <f t="shared" si="8"/>
        <v>10</v>
      </c>
    </row>
    <row r="30" spans="2:16" x14ac:dyDescent="0.2">
      <c r="B30" s="236" t="s">
        <v>248</v>
      </c>
      <c r="C30" s="118">
        <v>3</v>
      </c>
      <c r="D30" s="118">
        <v>3</v>
      </c>
      <c r="E30" s="118">
        <v>3</v>
      </c>
      <c r="F30" s="118">
        <v>3</v>
      </c>
      <c r="G30" s="118">
        <v>3</v>
      </c>
      <c r="H30" s="118">
        <v>3</v>
      </c>
      <c r="I30" s="118">
        <v>3</v>
      </c>
      <c r="J30" s="118">
        <v>3</v>
      </c>
      <c r="K30" s="118">
        <v>3</v>
      </c>
      <c r="L30" s="118">
        <v>3</v>
      </c>
      <c r="M30" s="118">
        <v>3</v>
      </c>
      <c r="N30" s="118">
        <v>3</v>
      </c>
      <c r="O30" s="65">
        <f t="shared" si="7"/>
        <v>36</v>
      </c>
      <c r="P30" s="65">
        <f t="shared" si="8"/>
        <v>3</v>
      </c>
    </row>
    <row r="31" spans="2:16" x14ac:dyDescent="0.2">
      <c r="B31" s="236" t="s">
        <v>249</v>
      </c>
      <c r="C31" s="118">
        <v>2</v>
      </c>
      <c r="D31" s="118">
        <v>2</v>
      </c>
      <c r="E31" s="118">
        <v>2</v>
      </c>
      <c r="F31" s="118">
        <v>2</v>
      </c>
      <c r="G31" s="118">
        <v>2</v>
      </c>
      <c r="H31" s="118">
        <v>2</v>
      </c>
      <c r="I31" s="118">
        <v>2</v>
      </c>
      <c r="J31" s="118">
        <v>2</v>
      </c>
      <c r="K31" s="118">
        <v>2</v>
      </c>
      <c r="L31" s="118">
        <v>2</v>
      </c>
      <c r="M31" s="118">
        <v>2</v>
      </c>
      <c r="N31" s="118">
        <v>2</v>
      </c>
      <c r="O31" s="65">
        <f t="shared" si="7"/>
        <v>24</v>
      </c>
      <c r="P31" s="65">
        <f t="shared" si="8"/>
        <v>2</v>
      </c>
    </row>
    <row r="32" spans="2:16" x14ac:dyDescent="0.2">
      <c r="B32" s="236" t="s">
        <v>114</v>
      </c>
      <c r="C32" s="235">
        <v>95</v>
      </c>
      <c r="D32" s="235">
        <v>93</v>
      </c>
      <c r="E32" s="235">
        <v>93</v>
      </c>
      <c r="F32" s="235">
        <v>93</v>
      </c>
      <c r="G32" s="235">
        <v>93</v>
      </c>
      <c r="H32" s="235">
        <v>93</v>
      </c>
      <c r="I32" s="235">
        <v>94</v>
      </c>
      <c r="J32" s="235">
        <v>94</v>
      </c>
      <c r="K32" s="235">
        <v>94</v>
      </c>
      <c r="L32" s="235">
        <v>94</v>
      </c>
      <c r="M32" s="235">
        <v>94</v>
      </c>
      <c r="N32" s="235">
        <v>92</v>
      </c>
      <c r="O32" s="65">
        <f t="shared" ref="O32" si="9">SUM(C32:N32)</f>
        <v>1122</v>
      </c>
      <c r="P32" s="65">
        <f t="shared" si="8"/>
        <v>94</v>
      </c>
    </row>
    <row r="33" spans="2:16" x14ac:dyDescent="0.2">
      <c r="B33" s="115" t="s">
        <v>117</v>
      </c>
      <c r="C33" s="116">
        <f t="shared" ref="C33:N33" si="10">SUM(C27:C32)</f>
        <v>130</v>
      </c>
      <c r="D33" s="116">
        <f t="shared" si="10"/>
        <v>128</v>
      </c>
      <c r="E33" s="116">
        <f t="shared" si="10"/>
        <v>128</v>
      </c>
      <c r="F33" s="116">
        <f t="shared" si="10"/>
        <v>128</v>
      </c>
      <c r="G33" s="116">
        <f t="shared" si="10"/>
        <v>128</v>
      </c>
      <c r="H33" s="116">
        <f t="shared" si="10"/>
        <v>128</v>
      </c>
      <c r="I33" s="116">
        <f t="shared" si="10"/>
        <v>129</v>
      </c>
      <c r="J33" s="116">
        <f t="shared" si="10"/>
        <v>129</v>
      </c>
      <c r="K33" s="116">
        <f t="shared" si="10"/>
        <v>129</v>
      </c>
      <c r="L33" s="116">
        <f t="shared" si="10"/>
        <v>129</v>
      </c>
      <c r="M33" s="116">
        <f t="shared" si="10"/>
        <v>129</v>
      </c>
      <c r="N33" s="116">
        <f t="shared" si="10"/>
        <v>127</v>
      </c>
      <c r="O33" s="116">
        <f>SUM(O27:O32)</f>
        <v>1542</v>
      </c>
      <c r="P33" s="116">
        <f>SUM(P27:P32)</f>
        <v>129</v>
      </c>
    </row>
    <row r="34" spans="2:16" x14ac:dyDescent="0.2">
      <c r="B34" s="70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</row>
  </sheetData>
  <mergeCells count="3">
    <mergeCell ref="B1:P1"/>
    <mergeCell ref="B2:P2"/>
    <mergeCell ref="B3:P3"/>
  </mergeCells>
  <pageMargins left="0.7" right="0.7" top="0.75" bottom="0.75" header="0.3" footer="0.3"/>
  <pageSetup scale="80" orientation="landscape" r:id="rId1"/>
  <headerFooter>
    <oddFooter>&amp;L&amp;F
&amp;A&amp;C&amp;P&amp;R&amp;D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showGridLines="0" zoomScaleNormal="100" workbookViewId="0">
      <selection activeCell="H24" sqref="H24"/>
    </sheetView>
  </sheetViews>
  <sheetFormatPr defaultRowHeight="11.25" x14ac:dyDescent="0.2"/>
  <cols>
    <col min="1" max="1" width="3.85546875" style="71" bestFit="1" customWidth="1"/>
    <col min="2" max="2" width="29.28515625" style="71" bestFit="1" customWidth="1"/>
    <col min="3" max="3" width="11.5703125" style="71" bestFit="1" customWidth="1"/>
    <col min="4" max="4" width="1" style="71" customWidth="1"/>
    <col min="5" max="5" width="13.140625" style="71" bestFit="1" customWidth="1"/>
    <col min="6" max="6" width="11.7109375" style="71" bestFit="1" customWidth="1"/>
    <col min="7" max="8" width="15" style="71" bestFit="1" customWidth="1"/>
    <col min="9" max="9" width="13.28515625" style="71" bestFit="1" customWidth="1"/>
    <col min="10" max="10" width="11.140625" style="71" bestFit="1" customWidth="1"/>
    <col min="11" max="12" width="9.5703125" style="71" bestFit="1" customWidth="1"/>
    <col min="13" max="13" width="11.28515625" style="71" bestFit="1" customWidth="1"/>
    <col min="14" max="15" width="10.28515625" style="71" bestFit="1" customWidth="1"/>
    <col min="16" max="16" width="10.5703125" style="71" bestFit="1" customWidth="1"/>
    <col min="17" max="255" width="8.85546875" style="71"/>
    <col min="256" max="256" width="5.28515625" style="71" customWidth="1"/>
    <col min="257" max="257" width="37.28515625" style="71" bestFit="1" customWidth="1"/>
    <col min="258" max="258" width="15.28515625" style="71" customWidth="1"/>
    <col min="259" max="259" width="3.28515625" style="71" customWidth="1"/>
    <col min="260" max="262" width="15.28515625" style="71" customWidth="1"/>
    <col min="263" max="263" width="14" style="71" customWidth="1"/>
    <col min="264" max="264" width="14.28515625" style="71" customWidth="1"/>
    <col min="265" max="265" width="11.85546875" style="71" customWidth="1"/>
    <col min="266" max="266" width="14.42578125" style="71" customWidth="1"/>
    <col min="267" max="267" width="12.5703125" style="71" customWidth="1"/>
    <col min="268" max="270" width="15.28515625" style="71" customWidth="1"/>
    <col min="271" max="271" width="12.42578125" style="71" customWidth="1"/>
    <col min="272" max="272" width="15.28515625" style="71" customWidth="1"/>
    <col min="273" max="511" width="8.85546875" style="71"/>
    <col min="512" max="512" width="5.28515625" style="71" customWidth="1"/>
    <col min="513" max="513" width="37.28515625" style="71" bestFit="1" customWidth="1"/>
    <col min="514" max="514" width="15.28515625" style="71" customWidth="1"/>
    <col min="515" max="515" width="3.28515625" style="71" customWidth="1"/>
    <col min="516" max="518" width="15.28515625" style="71" customWidth="1"/>
    <col min="519" max="519" width="14" style="71" customWidth="1"/>
    <col min="520" max="520" width="14.28515625" style="71" customWidth="1"/>
    <col min="521" max="521" width="11.85546875" style="71" customWidth="1"/>
    <col min="522" max="522" width="14.42578125" style="71" customWidth="1"/>
    <col min="523" max="523" width="12.5703125" style="71" customWidth="1"/>
    <col min="524" max="526" width="15.28515625" style="71" customWidth="1"/>
    <col min="527" max="527" width="12.42578125" style="71" customWidth="1"/>
    <col min="528" max="528" width="15.28515625" style="71" customWidth="1"/>
    <col min="529" max="767" width="8.85546875" style="71"/>
    <col min="768" max="768" width="5.28515625" style="71" customWidth="1"/>
    <col min="769" max="769" width="37.28515625" style="71" bestFit="1" customWidth="1"/>
    <col min="770" max="770" width="15.28515625" style="71" customWidth="1"/>
    <col min="771" max="771" width="3.28515625" style="71" customWidth="1"/>
    <col min="772" max="774" width="15.28515625" style="71" customWidth="1"/>
    <col min="775" max="775" width="14" style="71" customWidth="1"/>
    <col min="776" max="776" width="14.28515625" style="71" customWidth="1"/>
    <col min="777" max="777" width="11.85546875" style="71" customWidth="1"/>
    <col min="778" max="778" width="14.42578125" style="71" customWidth="1"/>
    <col min="779" max="779" width="12.5703125" style="71" customWidth="1"/>
    <col min="780" max="782" width="15.28515625" style="71" customWidth="1"/>
    <col min="783" max="783" width="12.42578125" style="71" customWidth="1"/>
    <col min="784" max="784" width="15.28515625" style="71" customWidth="1"/>
    <col min="785" max="1023" width="8.85546875" style="71"/>
    <col min="1024" max="1024" width="5.28515625" style="71" customWidth="1"/>
    <col min="1025" max="1025" width="37.28515625" style="71" bestFit="1" customWidth="1"/>
    <col min="1026" max="1026" width="15.28515625" style="71" customWidth="1"/>
    <col min="1027" max="1027" width="3.28515625" style="71" customWidth="1"/>
    <col min="1028" max="1030" width="15.28515625" style="71" customWidth="1"/>
    <col min="1031" max="1031" width="14" style="71" customWidth="1"/>
    <col min="1032" max="1032" width="14.28515625" style="71" customWidth="1"/>
    <col min="1033" max="1033" width="11.85546875" style="71" customWidth="1"/>
    <col min="1034" max="1034" width="14.42578125" style="71" customWidth="1"/>
    <col min="1035" max="1035" width="12.5703125" style="71" customWidth="1"/>
    <col min="1036" max="1038" width="15.28515625" style="71" customWidth="1"/>
    <col min="1039" max="1039" width="12.42578125" style="71" customWidth="1"/>
    <col min="1040" max="1040" width="15.28515625" style="71" customWidth="1"/>
    <col min="1041" max="1279" width="8.85546875" style="71"/>
    <col min="1280" max="1280" width="5.28515625" style="71" customWidth="1"/>
    <col min="1281" max="1281" width="37.28515625" style="71" bestFit="1" customWidth="1"/>
    <col min="1282" max="1282" width="15.28515625" style="71" customWidth="1"/>
    <col min="1283" max="1283" width="3.28515625" style="71" customWidth="1"/>
    <col min="1284" max="1286" width="15.28515625" style="71" customWidth="1"/>
    <col min="1287" max="1287" width="14" style="71" customWidth="1"/>
    <col min="1288" max="1288" width="14.28515625" style="71" customWidth="1"/>
    <col min="1289" max="1289" width="11.85546875" style="71" customWidth="1"/>
    <col min="1290" max="1290" width="14.42578125" style="71" customWidth="1"/>
    <col min="1291" max="1291" width="12.5703125" style="71" customWidth="1"/>
    <col min="1292" max="1294" width="15.28515625" style="71" customWidth="1"/>
    <col min="1295" max="1295" width="12.42578125" style="71" customWidth="1"/>
    <col min="1296" max="1296" width="15.28515625" style="71" customWidth="1"/>
    <col min="1297" max="1535" width="8.85546875" style="71"/>
    <col min="1536" max="1536" width="5.28515625" style="71" customWidth="1"/>
    <col min="1537" max="1537" width="37.28515625" style="71" bestFit="1" customWidth="1"/>
    <col min="1538" max="1538" width="15.28515625" style="71" customWidth="1"/>
    <col min="1539" max="1539" width="3.28515625" style="71" customWidth="1"/>
    <col min="1540" max="1542" width="15.28515625" style="71" customWidth="1"/>
    <col min="1543" max="1543" width="14" style="71" customWidth="1"/>
    <col min="1544" max="1544" width="14.28515625" style="71" customWidth="1"/>
    <col min="1545" max="1545" width="11.85546875" style="71" customWidth="1"/>
    <col min="1546" max="1546" width="14.42578125" style="71" customWidth="1"/>
    <col min="1547" max="1547" width="12.5703125" style="71" customWidth="1"/>
    <col min="1548" max="1550" width="15.28515625" style="71" customWidth="1"/>
    <col min="1551" max="1551" width="12.42578125" style="71" customWidth="1"/>
    <col min="1552" max="1552" width="15.28515625" style="71" customWidth="1"/>
    <col min="1553" max="1791" width="8.85546875" style="71"/>
    <col min="1792" max="1792" width="5.28515625" style="71" customWidth="1"/>
    <col min="1793" max="1793" width="37.28515625" style="71" bestFit="1" customWidth="1"/>
    <col min="1794" max="1794" width="15.28515625" style="71" customWidth="1"/>
    <col min="1795" max="1795" width="3.28515625" style="71" customWidth="1"/>
    <col min="1796" max="1798" width="15.28515625" style="71" customWidth="1"/>
    <col min="1799" max="1799" width="14" style="71" customWidth="1"/>
    <col min="1800" max="1800" width="14.28515625" style="71" customWidth="1"/>
    <col min="1801" max="1801" width="11.85546875" style="71" customWidth="1"/>
    <col min="1802" max="1802" width="14.42578125" style="71" customWidth="1"/>
    <col min="1803" max="1803" width="12.5703125" style="71" customWidth="1"/>
    <col min="1804" max="1806" width="15.28515625" style="71" customWidth="1"/>
    <col min="1807" max="1807" width="12.42578125" style="71" customWidth="1"/>
    <col min="1808" max="1808" width="15.28515625" style="71" customWidth="1"/>
    <col min="1809" max="2047" width="8.85546875" style="71"/>
    <col min="2048" max="2048" width="5.28515625" style="71" customWidth="1"/>
    <col min="2049" max="2049" width="37.28515625" style="71" bestFit="1" customWidth="1"/>
    <col min="2050" max="2050" width="15.28515625" style="71" customWidth="1"/>
    <col min="2051" max="2051" width="3.28515625" style="71" customWidth="1"/>
    <col min="2052" max="2054" width="15.28515625" style="71" customWidth="1"/>
    <col min="2055" max="2055" width="14" style="71" customWidth="1"/>
    <col min="2056" max="2056" width="14.28515625" style="71" customWidth="1"/>
    <col min="2057" max="2057" width="11.85546875" style="71" customWidth="1"/>
    <col min="2058" max="2058" width="14.42578125" style="71" customWidth="1"/>
    <col min="2059" max="2059" width="12.5703125" style="71" customWidth="1"/>
    <col min="2060" max="2062" width="15.28515625" style="71" customWidth="1"/>
    <col min="2063" max="2063" width="12.42578125" style="71" customWidth="1"/>
    <col min="2064" max="2064" width="15.28515625" style="71" customWidth="1"/>
    <col min="2065" max="2303" width="8.85546875" style="71"/>
    <col min="2304" max="2304" width="5.28515625" style="71" customWidth="1"/>
    <col min="2305" max="2305" width="37.28515625" style="71" bestFit="1" customWidth="1"/>
    <col min="2306" max="2306" width="15.28515625" style="71" customWidth="1"/>
    <col min="2307" max="2307" width="3.28515625" style="71" customWidth="1"/>
    <col min="2308" max="2310" width="15.28515625" style="71" customWidth="1"/>
    <col min="2311" max="2311" width="14" style="71" customWidth="1"/>
    <col min="2312" max="2312" width="14.28515625" style="71" customWidth="1"/>
    <col min="2313" max="2313" width="11.85546875" style="71" customWidth="1"/>
    <col min="2314" max="2314" width="14.42578125" style="71" customWidth="1"/>
    <col min="2315" max="2315" width="12.5703125" style="71" customWidth="1"/>
    <col min="2316" max="2318" width="15.28515625" style="71" customWidth="1"/>
    <col min="2319" max="2319" width="12.42578125" style="71" customWidth="1"/>
    <col min="2320" max="2320" width="15.28515625" style="71" customWidth="1"/>
    <col min="2321" max="2559" width="8.85546875" style="71"/>
    <col min="2560" max="2560" width="5.28515625" style="71" customWidth="1"/>
    <col min="2561" max="2561" width="37.28515625" style="71" bestFit="1" customWidth="1"/>
    <col min="2562" max="2562" width="15.28515625" style="71" customWidth="1"/>
    <col min="2563" max="2563" width="3.28515625" style="71" customWidth="1"/>
    <col min="2564" max="2566" width="15.28515625" style="71" customWidth="1"/>
    <col min="2567" max="2567" width="14" style="71" customWidth="1"/>
    <col min="2568" max="2568" width="14.28515625" style="71" customWidth="1"/>
    <col min="2569" max="2569" width="11.85546875" style="71" customWidth="1"/>
    <col min="2570" max="2570" width="14.42578125" style="71" customWidth="1"/>
    <col min="2571" max="2571" width="12.5703125" style="71" customWidth="1"/>
    <col min="2572" max="2574" width="15.28515625" style="71" customWidth="1"/>
    <col min="2575" max="2575" width="12.42578125" style="71" customWidth="1"/>
    <col min="2576" max="2576" width="15.28515625" style="71" customWidth="1"/>
    <col min="2577" max="2815" width="8.85546875" style="71"/>
    <col min="2816" max="2816" width="5.28515625" style="71" customWidth="1"/>
    <col min="2817" max="2817" width="37.28515625" style="71" bestFit="1" customWidth="1"/>
    <col min="2818" max="2818" width="15.28515625" style="71" customWidth="1"/>
    <col min="2819" max="2819" width="3.28515625" style="71" customWidth="1"/>
    <col min="2820" max="2822" width="15.28515625" style="71" customWidth="1"/>
    <col min="2823" max="2823" width="14" style="71" customWidth="1"/>
    <col min="2824" max="2824" width="14.28515625" style="71" customWidth="1"/>
    <col min="2825" max="2825" width="11.85546875" style="71" customWidth="1"/>
    <col min="2826" max="2826" width="14.42578125" style="71" customWidth="1"/>
    <col min="2827" max="2827" width="12.5703125" style="71" customWidth="1"/>
    <col min="2828" max="2830" width="15.28515625" style="71" customWidth="1"/>
    <col min="2831" max="2831" width="12.42578125" style="71" customWidth="1"/>
    <col min="2832" max="2832" width="15.28515625" style="71" customWidth="1"/>
    <col min="2833" max="3071" width="8.85546875" style="71"/>
    <col min="3072" max="3072" width="5.28515625" style="71" customWidth="1"/>
    <col min="3073" max="3073" width="37.28515625" style="71" bestFit="1" customWidth="1"/>
    <col min="3074" max="3074" width="15.28515625" style="71" customWidth="1"/>
    <col min="3075" max="3075" width="3.28515625" style="71" customWidth="1"/>
    <col min="3076" max="3078" width="15.28515625" style="71" customWidth="1"/>
    <col min="3079" max="3079" width="14" style="71" customWidth="1"/>
    <col min="3080" max="3080" width="14.28515625" style="71" customWidth="1"/>
    <col min="3081" max="3081" width="11.85546875" style="71" customWidth="1"/>
    <col min="3082" max="3082" width="14.42578125" style="71" customWidth="1"/>
    <col min="3083" max="3083" width="12.5703125" style="71" customWidth="1"/>
    <col min="3084" max="3086" width="15.28515625" style="71" customWidth="1"/>
    <col min="3087" max="3087" width="12.42578125" style="71" customWidth="1"/>
    <col min="3088" max="3088" width="15.28515625" style="71" customWidth="1"/>
    <col min="3089" max="3327" width="8.85546875" style="71"/>
    <col min="3328" max="3328" width="5.28515625" style="71" customWidth="1"/>
    <col min="3329" max="3329" width="37.28515625" style="71" bestFit="1" customWidth="1"/>
    <col min="3330" max="3330" width="15.28515625" style="71" customWidth="1"/>
    <col min="3331" max="3331" width="3.28515625" style="71" customWidth="1"/>
    <col min="3332" max="3334" width="15.28515625" style="71" customWidth="1"/>
    <col min="3335" max="3335" width="14" style="71" customWidth="1"/>
    <col min="3336" max="3336" width="14.28515625" style="71" customWidth="1"/>
    <col min="3337" max="3337" width="11.85546875" style="71" customWidth="1"/>
    <col min="3338" max="3338" width="14.42578125" style="71" customWidth="1"/>
    <col min="3339" max="3339" width="12.5703125" style="71" customWidth="1"/>
    <col min="3340" max="3342" width="15.28515625" style="71" customWidth="1"/>
    <col min="3343" max="3343" width="12.42578125" style="71" customWidth="1"/>
    <col min="3344" max="3344" width="15.28515625" style="71" customWidth="1"/>
    <col min="3345" max="3583" width="8.85546875" style="71"/>
    <col min="3584" max="3584" width="5.28515625" style="71" customWidth="1"/>
    <col min="3585" max="3585" width="37.28515625" style="71" bestFit="1" customWidth="1"/>
    <col min="3586" max="3586" width="15.28515625" style="71" customWidth="1"/>
    <col min="3587" max="3587" width="3.28515625" style="71" customWidth="1"/>
    <col min="3588" max="3590" width="15.28515625" style="71" customWidth="1"/>
    <col min="3591" max="3591" width="14" style="71" customWidth="1"/>
    <col min="3592" max="3592" width="14.28515625" style="71" customWidth="1"/>
    <col min="3593" max="3593" width="11.85546875" style="71" customWidth="1"/>
    <col min="3594" max="3594" width="14.42578125" style="71" customWidth="1"/>
    <col min="3595" max="3595" width="12.5703125" style="71" customWidth="1"/>
    <col min="3596" max="3598" width="15.28515625" style="71" customWidth="1"/>
    <col min="3599" max="3599" width="12.42578125" style="71" customWidth="1"/>
    <col min="3600" max="3600" width="15.28515625" style="71" customWidth="1"/>
    <col min="3601" max="3839" width="8.85546875" style="71"/>
    <col min="3840" max="3840" width="5.28515625" style="71" customWidth="1"/>
    <col min="3841" max="3841" width="37.28515625" style="71" bestFit="1" customWidth="1"/>
    <col min="3842" max="3842" width="15.28515625" style="71" customWidth="1"/>
    <col min="3843" max="3843" width="3.28515625" style="71" customWidth="1"/>
    <col min="3844" max="3846" width="15.28515625" style="71" customWidth="1"/>
    <col min="3847" max="3847" width="14" style="71" customWidth="1"/>
    <col min="3848" max="3848" width="14.28515625" style="71" customWidth="1"/>
    <col min="3849" max="3849" width="11.85546875" style="71" customWidth="1"/>
    <col min="3850" max="3850" width="14.42578125" style="71" customWidth="1"/>
    <col min="3851" max="3851" width="12.5703125" style="71" customWidth="1"/>
    <col min="3852" max="3854" width="15.28515625" style="71" customWidth="1"/>
    <col min="3855" max="3855" width="12.42578125" style="71" customWidth="1"/>
    <col min="3856" max="3856" width="15.28515625" style="71" customWidth="1"/>
    <col min="3857" max="4095" width="8.85546875" style="71"/>
    <col min="4096" max="4096" width="5.28515625" style="71" customWidth="1"/>
    <col min="4097" max="4097" width="37.28515625" style="71" bestFit="1" customWidth="1"/>
    <col min="4098" max="4098" width="15.28515625" style="71" customWidth="1"/>
    <col min="4099" max="4099" width="3.28515625" style="71" customWidth="1"/>
    <col min="4100" max="4102" width="15.28515625" style="71" customWidth="1"/>
    <col min="4103" max="4103" width="14" style="71" customWidth="1"/>
    <col min="4104" max="4104" width="14.28515625" style="71" customWidth="1"/>
    <col min="4105" max="4105" width="11.85546875" style="71" customWidth="1"/>
    <col min="4106" max="4106" width="14.42578125" style="71" customWidth="1"/>
    <col min="4107" max="4107" width="12.5703125" style="71" customWidth="1"/>
    <col min="4108" max="4110" width="15.28515625" style="71" customWidth="1"/>
    <col min="4111" max="4111" width="12.42578125" style="71" customWidth="1"/>
    <col min="4112" max="4112" width="15.28515625" style="71" customWidth="1"/>
    <col min="4113" max="4351" width="8.85546875" style="71"/>
    <col min="4352" max="4352" width="5.28515625" style="71" customWidth="1"/>
    <col min="4353" max="4353" width="37.28515625" style="71" bestFit="1" customWidth="1"/>
    <col min="4354" max="4354" width="15.28515625" style="71" customWidth="1"/>
    <col min="4355" max="4355" width="3.28515625" style="71" customWidth="1"/>
    <col min="4356" max="4358" width="15.28515625" style="71" customWidth="1"/>
    <col min="4359" max="4359" width="14" style="71" customWidth="1"/>
    <col min="4360" max="4360" width="14.28515625" style="71" customWidth="1"/>
    <col min="4361" max="4361" width="11.85546875" style="71" customWidth="1"/>
    <col min="4362" max="4362" width="14.42578125" style="71" customWidth="1"/>
    <col min="4363" max="4363" width="12.5703125" style="71" customWidth="1"/>
    <col min="4364" max="4366" width="15.28515625" style="71" customWidth="1"/>
    <col min="4367" max="4367" width="12.42578125" style="71" customWidth="1"/>
    <col min="4368" max="4368" width="15.28515625" style="71" customWidth="1"/>
    <col min="4369" max="4607" width="8.85546875" style="71"/>
    <col min="4608" max="4608" width="5.28515625" style="71" customWidth="1"/>
    <col min="4609" max="4609" width="37.28515625" style="71" bestFit="1" customWidth="1"/>
    <col min="4610" max="4610" width="15.28515625" style="71" customWidth="1"/>
    <col min="4611" max="4611" width="3.28515625" style="71" customWidth="1"/>
    <col min="4612" max="4614" width="15.28515625" style="71" customWidth="1"/>
    <col min="4615" max="4615" width="14" style="71" customWidth="1"/>
    <col min="4616" max="4616" width="14.28515625" style="71" customWidth="1"/>
    <col min="4617" max="4617" width="11.85546875" style="71" customWidth="1"/>
    <col min="4618" max="4618" width="14.42578125" style="71" customWidth="1"/>
    <col min="4619" max="4619" width="12.5703125" style="71" customWidth="1"/>
    <col min="4620" max="4622" width="15.28515625" style="71" customWidth="1"/>
    <col min="4623" max="4623" width="12.42578125" style="71" customWidth="1"/>
    <col min="4624" max="4624" width="15.28515625" style="71" customWidth="1"/>
    <col min="4625" max="4863" width="8.85546875" style="71"/>
    <col min="4864" max="4864" width="5.28515625" style="71" customWidth="1"/>
    <col min="4865" max="4865" width="37.28515625" style="71" bestFit="1" customWidth="1"/>
    <col min="4866" max="4866" width="15.28515625" style="71" customWidth="1"/>
    <col min="4867" max="4867" width="3.28515625" style="71" customWidth="1"/>
    <col min="4868" max="4870" width="15.28515625" style="71" customWidth="1"/>
    <col min="4871" max="4871" width="14" style="71" customWidth="1"/>
    <col min="4872" max="4872" width="14.28515625" style="71" customWidth="1"/>
    <col min="4873" max="4873" width="11.85546875" style="71" customWidth="1"/>
    <col min="4874" max="4874" width="14.42578125" style="71" customWidth="1"/>
    <col min="4875" max="4875" width="12.5703125" style="71" customWidth="1"/>
    <col min="4876" max="4878" width="15.28515625" style="71" customWidth="1"/>
    <col min="4879" max="4879" width="12.42578125" style="71" customWidth="1"/>
    <col min="4880" max="4880" width="15.28515625" style="71" customWidth="1"/>
    <col min="4881" max="5119" width="8.85546875" style="71"/>
    <col min="5120" max="5120" width="5.28515625" style="71" customWidth="1"/>
    <col min="5121" max="5121" width="37.28515625" style="71" bestFit="1" customWidth="1"/>
    <col min="5122" max="5122" width="15.28515625" style="71" customWidth="1"/>
    <col min="5123" max="5123" width="3.28515625" style="71" customWidth="1"/>
    <col min="5124" max="5126" width="15.28515625" style="71" customWidth="1"/>
    <col min="5127" max="5127" width="14" style="71" customWidth="1"/>
    <col min="5128" max="5128" width="14.28515625" style="71" customWidth="1"/>
    <col min="5129" max="5129" width="11.85546875" style="71" customWidth="1"/>
    <col min="5130" max="5130" width="14.42578125" style="71" customWidth="1"/>
    <col min="5131" max="5131" width="12.5703125" style="71" customWidth="1"/>
    <col min="5132" max="5134" width="15.28515625" style="71" customWidth="1"/>
    <col min="5135" max="5135" width="12.42578125" style="71" customWidth="1"/>
    <col min="5136" max="5136" width="15.28515625" style="71" customWidth="1"/>
    <col min="5137" max="5375" width="8.85546875" style="71"/>
    <col min="5376" max="5376" width="5.28515625" style="71" customWidth="1"/>
    <col min="5377" max="5377" width="37.28515625" style="71" bestFit="1" customWidth="1"/>
    <col min="5378" max="5378" width="15.28515625" style="71" customWidth="1"/>
    <col min="5379" max="5379" width="3.28515625" style="71" customWidth="1"/>
    <col min="5380" max="5382" width="15.28515625" style="71" customWidth="1"/>
    <col min="5383" max="5383" width="14" style="71" customWidth="1"/>
    <col min="5384" max="5384" width="14.28515625" style="71" customWidth="1"/>
    <col min="5385" max="5385" width="11.85546875" style="71" customWidth="1"/>
    <col min="5386" max="5386" width="14.42578125" style="71" customWidth="1"/>
    <col min="5387" max="5387" width="12.5703125" style="71" customWidth="1"/>
    <col min="5388" max="5390" width="15.28515625" style="71" customWidth="1"/>
    <col min="5391" max="5391" width="12.42578125" style="71" customWidth="1"/>
    <col min="5392" max="5392" width="15.28515625" style="71" customWidth="1"/>
    <col min="5393" max="5631" width="8.85546875" style="71"/>
    <col min="5632" max="5632" width="5.28515625" style="71" customWidth="1"/>
    <col min="5633" max="5633" width="37.28515625" style="71" bestFit="1" customWidth="1"/>
    <col min="5634" max="5634" width="15.28515625" style="71" customWidth="1"/>
    <col min="5635" max="5635" width="3.28515625" style="71" customWidth="1"/>
    <col min="5636" max="5638" width="15.28515625" style="71" customWidth="1"/>
    <col min="5639" max="5639" width="14" style="71" customWidth="1"/>
    <col min="5640" max="5640" width="14.28515625" style="71" customWidth="1"/>
    <col min="5641" max="5641" width="11.85546875" style="71" customWidth="1"/>
    <col min="5642" max="5642" width="14.42578125" style="71" customWidth="1"/>
    <col min="5643" max="5643" width="12.5703125" style="71" customWidth="1"/>
    <col min="5644" max="5646" width="15.28515625" style="71" customWidth="1"/>
    <col min="5647" max="5647" width="12.42578125" style="71" customWidth="1"/>
    <col min="5648" max="5648" width="15.28515625" style="71" customWidth="1"/>
    <col min="5649" max="5887" width="8.85546875" style="71"/>
    <col min="5888" max="5888" width="5.28515625" style="71" customWidth="1"/>
    <col min="5889" max="5889" width="37.28515625" style="71" bestFit="1" customWidth="1"/>
    <col min="5890" max="5890" width="15.28515625" style="71" customWidth="1"/>
    <col min="5891" max="5891" width="3.28515625" style="71" customWidth="1"/>
    <col min="5892" max="5894" width="15.28515625" style="71" customWidth="1"/>
    <col min="5895" max="5895" width="14" style="71" customWidth="1"/>
    <col min="5896" max="5896" width="14.28515625" style="71" customWidth="1"/>
    <col min="5897" max="5897" width="11.85546875" style="71" customWidth="1"/>
    <col min="5898" max="5898" width="14.42578125" style="71" customWidth="1"/>
    <col min="5899" max="5899" width="12.5703125" style="71" customWidth="1"/>
    <col min="5900" max="5902" width="15.28515625" style="71" customWidth="1"/>
    <col min="5903" max="5903" width="12.42578125" style="71" customWidth="1"/>
    <col min="5904" max="5904" width="15.28515625" style="71" customWidth="1"/>
    <col min="5905" max="6143" width="8.85546875" style="71"/>
    <col min="6144" max="6144" width="5.28515625" style="71" customWidth="1"/>
    <col min="6145" max="6145" width="37.28515625" style="71" bestFit="1" customWidth="1"/>
    <col min="6146" max="6146" width="15.28515625" style="71" customWidth="1"/>
    <col min="6147" max="6147" width="3.28515625" style="71" customWidth="1"/>
    <col min="6148" max="6150" width="15.28515625" style="71" customWidth="1"/>
    <col min="6151" max="6151" width="14" style="71" customWidth="1"/>
    <col min="6152" max="6152" width="14.28515625" style="71" customWidth="1"/>
    <col min="6153" max="6153" width="11.85546875" style="71" customWidth="1"/>
    <col min="6154" max="6154" width="14.42578125" style="71" customWidth="1"/>
    <col min="6155" max="6155" width="12.5703125" style="71" customWidth="1"/>
    <col min="6156" max="6158" width="15.28515625" style="71" customWidth="1"/>
    <col min="6159" max="6159" width="12.42578125" style="71" customWidth="1"/>
    <col min="6160" max="6160" width="15.28515625" style="71" customWidth="1"/>
    <col min="6161" max="6399" width="8.85546875" style="71"/>
    <col min="6400" max="6400" width="5.28515625" style="71" customWidth="1"/>
    <col min="6401" max="6401" width="37.28515625" style="71" bestFit="1" customWidth="1"/>
    <col min="6402" max="6402" width="15.28515625" style="71" customWidth="1"/>
    <col min="6403" max="6403" width="3.28515625" style="71" customWidth="1"/>
    <col min="6404" max="6406" width="15.28515625" style="71" customWidth="1"/>
    <col min="6407" max="6407" width="14" style="71" customWidth="1"/>
    <col min="6408" max="6408" width="14.28515625" style="71" customWidth="1"/>
    <col min="6409" max="6409" width="11.85546875" style="71" customWidth="1"/>
    <col min="6410" max="6410" width="14.42578125" style="71" customWidth="1"/>
    <col min="6411" max="6411" width="12.5703125" style="71" customWidth="1"/>
    <col min="6412" max="6414" width="15.28515625" style="71" customWidth="1"/>
    <col min="6415" max="6415" width="12.42578125" style="71" customWidth="1"/>
    <col min="6416" max="6416" width="15.28515625" style="71" customWidth="1"/>
    <col min="6417" max="6655" width="8.85546875" style="71"/>
    <col min="6656" max="6656" width="5.28515625" style="71" customWidth="1"/>
    <col min="6657" max="6657" width="37.28515625" style="71" bestFit="1" customWidth="1"/>
    <col min="6658" max="6658" width="15.28515625" style="71" customWidth="1"/>
    <col min="6659" max="6659" width="3.28515625" style="71" customWidth="1"/>
    <col min="6660" max="6662" width="15.28515625" style="71" customWidth="1"/>
    <col min="6663" max="6663" width="14" style="71" customWidth="1"/>
    <col min="6664" max="6664" width="14.28515625" style="71" customWidth="1"/>
    <col min="6665" max="6665" width="11.85546875" style="71" customWidth="1"/>
    <col min="6666" max="6666" width="14.42578125" style="71" customWidth="1"/>
    <col min="6667" max="6667" width="12.5703125" style="71" customWidth="1"/>
    <col min="6668" max="6670" width="15.28515625" style="71" customWidth="1"/>
    <col min="6671" max="6671" width="12.42578125" style="71" customWidth="1"/>
    <col min="6672" max="6672" width="15.28515625" style="71" customWidth="1"/>
    <col min="6673" max="6911" width="8.85546875" style="71"/>
    <col min="6912" max="6912" width="5.28515625" style="71" customWidth="1"/>
    <col min="6913" max="6913" width="37.28515625" style="71" bestFit="1" customWidth="1"/>
    <col min="6914" max="6914" width="15.28515625" style="71" customWidth="1"/>
    <col min="6915" max="6915" width="3.28515625" style="71" customWidth="1"/>
    <col min="6916" max="6918" width="15.28515625" style="71" customWidth="1"/>
    <col min="6919" max="6919" width="14" style="71" customWidth="1"/>
    <col min="6920" max="6920" width="14.28515625" style="71" customWidth="1"/>
    <col min="6921" max="6921" width="11.85546875" style="71" customWidth="1"/>
    <col min="6922" max="6922" width="14.42578125" style="71" customWidth="1"/>
    <col min="6923" max="6923" width="12.5703125" style="71" customWidth="1"/>
    <col min="6924" max="6926" width="15.28515625" style="71" customWidth="1"/>
    <col min="6927" max="6927" width="12.42578125" style="71" customWidth="1"/>
    <col min="6928" max="6928" width="15.28515625" style="71" customWidth="1"/>
    <col min="6929" max="7167" width="8.85546875" style="71"/>
    <col min="7168" max="7168" width="5.28515625" style="71" customWidth="1"/>
    <col min="7169" max="7169" width="37.28515625" style="71" bestFit="1" customWidth="1"/>
    <col min="7170" max="7170" width="15.28515625" style="71" customWidth="1"/>
    <col min="7171" max="7171" width="3.28515625" style="71" customWidth="1"/>
    <col min="7172" max="7174" width="15.28515625" style="71" customWidth="1"/>
    <col min="7175" max="7175" width="14" style="71" customWidth="1"/>
    <col min="7176" max="7176" width="14.28515625" style="71" customWidth="1"/>
    <col min="7177" max="7177" width="11.85546875" style="71" customWidth="1"/>
    <col min="7178" max="7178" width="14.42578125" style="71" customWidth="1"/>
    <col min="7179" max="7179" width="12.5703125" style="71" customWidth="1"/>
    <col min="7180" max="7182" width="15.28515625" style="71" customWidth="1"/>
    <col min="7183" max="7183" width="12.42578125" style="71" customWidth="1"/>
    <col min="7184" max="7184" width="15.28515625" style="71" customWidth="1"/>
    <col min="7185" max="7423" width="8.85546875" style="71"/>
    <col min="7424" max="7424" width="5.28515625" style="71" customWidth="1"/>
    <col min="7425" max="7425" width="37.28515625" style="71" bestFit="1" customWidth="1"/>
    <col min="7426" max="7426" width="15.28515625" style="71" customWidth="1"/>
    <col min="7427" max="7427" width="3.28515625" style="71" customWidth="1"/>
    <col min="7428" max="7430" width="15.28515625" style="71" customWidth="1"/>
    <col min="7431" max="7431" width="14" style="71" customWidth="1"/>
    <col min="7432" max="7432" width="14.28515625" style="71" customWidth="1"/>
    <col min="7433" max="7433" width="11.85546875" style="71" customWidth="1"/>
    <col min="7434" max="7434" width="14.42578125" style="71" customWidth="1"/>
    <col min="7435" max="7435" width="12.5703125" style="71" customWidth="1"/>
    <col min="7436" max="7438" width="15.28515625" style="71" customWidth="1"/>
    <col min="7439" max="7439" width="12.42578125" style="71" customWidth="1"/>
    <col min="7440" max="7440" width="15.28515625" style="71" customWidth="1"/>
    <col min="7441" max="7679" width="8.85546875" style="71"/>
    <col min="7680" max="7680" width="5.28515625" style="71" customWidth="1"/>
    <col min="7681" max="7681" width="37.28515625" style="71" bestFit="1" customWidth="1"/>
    <col min="7682" max="7682" width="15.28515625" style="71" customWidth="1"/>
    <col min="7683" max="7683" width="3.28515625" style="71" customWidth="1"/>
    <col min="7684" max="7686" width="15.28515625" style="71" customWidth="1"/>
    <col min="7687" max="7687" width="14" style="71" customWidth="1"/>
    <col min="7688" max="7688" width="14.28515625" style="71" customWidth="1"/>
    <col min="7689" max="7689" width="11.85546875" style="71" customWidth="1"/>
    <col min="7690" max="7690" width="14.42578125" style="71" customWidth="1"/>
    <col min="7691" max="7691" width="12.5703125" style="71" customWidth="1"/>
    <col min="7692" max="7694" width="15.28515625" style="71" customWidth="1"/>
    <col min="7695" max="7695" width="12.42578125" style="71" customWidth="1"/>
    <col min="7696" max="7696" width="15.28515625" style="71" customWidth="1"/>
    <col min="7697" max="7935" width="8.85546875" style="71"/>
    <col min="7936" max="7936" width="5.28515625" style="71" customWidth="1"/>
    <col min="7937" max="7937" width="37.28515625" style="71" bestFit="1" customWidth="1"/>
    <col min="7938" max="7938" width="15.28515625" style="71" customWidth="1"/>
    <col min="7939" max="7939" width="3.28515625" style="71" customWidth="1"/>
    <col min="7940" max="7942" width="15.28515625" style="71" customWidth="1"/>
    <col min="7943" max="7943" width="14" style="71" customWidth="1"/>
    <col min="7944" max="7944" width="14.28515625" style="71" customWidth="1"/>
    <col min="7945" max="7945" width="11.85546875" style="71" customWidth="1"/>
    <col min="7946" max="7946" width="14.42578125" style="71" customWidth="1"/>
    <col min="7947" max="7947" width="12.5703125" style="71" customWidth="1"/>
    <col min="7948" max="7950" width="15.28515625" style="71" customWidth="1"/>
    <col min="7951" max="7951" width="12.42578125" style="71" customWidth="1"/>
    <col min="7952" max="7952" width="15.28515625" style="71" customWidth="1"/>
    <col min="7953" max="8191" width="8.85546875" style="71"/>
    <col min="8192" max="8192" width="5.28515625" style="71" customWidth="1"/>
    <col min="8193" max="8193" width="37.28515625" style="71" bestFit="1" customWidth="1"/>
    <col min="8194" max="8194" width="15.28515625" style="71" customWidth="1"/>
    <col min="8195" max="8195" width="3.28515625" style="71" customWidth="1"/>
    <col min="8196" max="8198" width="15.28515625" style="71" customWidth="1"/>
    <col min="8199" max="8199" width="14" style="71" customWidth="1"/>
    <col min="8200" max="8200" width="14.28515625" style="71" customWidth="1"/>
    <col min="8201" max="8201" width="11.85546875" style="71" customWidth="1"/>
    <col min="8202" max="8202" width="14.42578125" style="71" customWidth="1"/>
    <col min="8203" max="8203" width="12.5703125" style="71" customWidth="1"/>
    <col min="8204" max="8206" width="15.28515625" style="71" customWidth="1"/>
    <col min="8207" max="8207" width="12.42578125" style="71" customWidth="1"/>
    <col min="8208" max="8208" width="15.28515625" style="71" customWidth="1"/>
    <col min="8209" max="8447" width="8.85546875" style="71"/>
    <col min="8448" max="8448" width="5.28515625" style="71" customWidth="1"/>
    <col min="8449" max="8449" width="37.28515625" style="71" bestFit="1" customWidth="1"/>
    <col min="8450" max="8450" width="15.28515625" style="71" customWidth="1"/>
    <col min="8451" max="8451" width="3.28515625" style="71" customWidth="1"/>
    <col min="8452" max="8454" width="15.28515625" style="71" customWidth="1"/>
    <col min="8455" max="8455" width="14" style="71" customWidth="1"/>
    <col min="8456" max="8456" width="14.28515625" style="71" customWidth="1"/>
    <col min="8457" max="8457" width="11.85546875" style="71" customWidth="1"/>
    <col min="8458" max="8458" width="14.42578125" style="71" customWidth="1"/>
    <col min="8459" max="8459" width="12.5703125" style="71" customWidth="1"/>
    <col min="8460" max="8462" width="15.28515625" style="71" customWidth="1"/>
    <col min="8463" max="8463" width="12.42578125" style="71" customWidth="1"/>
    <col min="8464" max="8464" width="15.28515625" style="71" customWidth="1"/>
    <col min="8465" max="8703" width="8.85546875" style="71"/>
    <col min="8704" max="8704" width="5.28515625" style="71" customWidth="1"/>
    <col min="8705" max="8705" width="37.28515625" style="71" bestFit="1" customWidth="1"/>
    <col min="8706" max="8706" width="15.28515625" style="71" customWidth="1"/>
    <col min="8707" max="8707" width="3.28515625" style="71" customWidth="1"/>
    <col min="8708" max="8710" width="15.28515625" style="71" customWidth="1"/>
    <col min="8711" max="8711" width="14" style="71" customWidth="1"/>
    <col min="8712" max="8712" width="14.28515625" style="71" customWidth="1"/>
    <col min="8713" max="8713" width="11.85546875" style="71" customWidth="1"/>
    <col min="8714" max="8714" width="14.42578125" style="71" customWidth="1"/>
    <col min="8715" max="8715" width="12.5703125" style="71" customWidth="1"/>
    <col min="8716" max="8718" width="15.28515625" style="71" customWidth="1"/>
    <col min="8719" max="8719" width="12.42578125" style="71" customWidth="1"/>
    <col min="8720" max="8720" width="15.28515625" style="71" customWidth="1"/>
    <col min="8721" max="8959" width="8.85546875" style="71"/>
    <col min="8960" max="8960" width="5.28515625" style="71" customWidth="1"/>
    <col min="8961" max="8961" width="37.28515625" style="71" bestFit="1" customWidth="1"/>
    <col min="8962" max="8962" width="15.28515625" style="71" customWidth="1"/>
    <col min="8963" max="8963" width="3.28515625" style="71" customWidth="1"/>
    <col min="8964" max="8966" width="15.28515625" style="71" customWidth="1"/>
    <col min="8967" max="8967" width="14" style="71" customWidth="1"/>
    <col min="8968" max="8968" width="14.28515625" style="71" customWidth="1"/>
    <col min="8969" max="8969" width="11.85546875" style="71" customWidth="1"/>
    <col min="8970" max="8970" width="14.42578125" style="71" customWidth="1"/>
    <col min="8971" max="8971" width="12.5703125" style="71" customWidth="1"/>
    <col min="8972" max="8974" width="15.28515625" style="71" customWidth="1"/>
    <col min="8975" max="8975" width="12.42578125" style="71" customWidth="1"/>
    <col min="8976" max="8976" width="15.28515625" style="71" customWidth="1"/>
    <col min="8977" max="9215" width="8.85546875" style="71"/>
    <col min="9216" max="9216" width="5.28515625" style="71" customWidth="1"/>
    <col min="9217" max="9217" width="37.28515625" style="71" bestFit="1" customWidth="1"/>
    <col min="9218" max="9218" width="15.28515625" style="71" customWidth="1"/>
    <col min="9219" max="9219" width="3.28515625" style="71" customWidth="1"/>
    <col min="9220" max="9222" width="15.28515625" style="71" customWidth="1"/>
    <col min="9223" max="9223" width="14" style="71" customWidth="1"/>
    <col min="9224" max="9224" width="14.28515625" style="71" customWidth="1"/>
    <col min="9225" max="9225" width="11.85546875" style="71" customWidth="1"/>
    <col min="9226" max="9226" width="14.42578125" style="71" customWidth="1"/>
    <col min="9227" max="9227" width="12.5703125" style="71" customWidth="1"/>
    <col min="9228" max="9230" width="15.28515625" style="71" customWidth="1"/>
    <col min="9231" max="9231" width="12.42578125" style="71" customWidth="1"/>
    <col min="9232" max="9232" width="15.28515625" style="71" customWidth="1"/>
    <col min="9233" max="9471" width="8.85546875" style="71"/>
    <col min="9472" max="9472" width="5.28515625" style="71" customWidth="1"/>
    <col min="9473" max="9473" width="37.28515625" style="71" bestFit="1" customWidth="1"/>
    <col min="9474" max="9474" width="15.28515625" style="71" customWidth="1"/>
    <col min="9475" max="9475" width="3.28515625" style="71" customWidth="1"/>
    <col min="9476" max="9478" width="15.28515625" style="71" customWidth="1"/>
    <col min="9479" max="9479" width="14" style="71" customWidth="1"/>
    <col min="9480" max="9480" width="14.28515625" style="71" customWidth="1"/>
    <col min="9481" max="9481" width="11.85546875" style="71" customWidth="1"/>
    <col min="9482" max="9482" width="14.42578125" style="71" customWidth="1"/>
    <col min="9483" max="9483" width="12.5703125" style="71" customWidth="1"/>
    <col min="9484" max="9486" width="15.28515625" style="71" customWidth="1"/>
    <col min="9487" max="9487" width="12.42578125" style="71" customWidth="1"/>
    <col min="9488" max="9488" width="15.28515625" style="71" customWidth="1"/>
    <col min="9489" max="9727" width="8.85546875" style="71"/>
    <col min="9728" max="9728" width="5.28515625" style="71" customWidth="1"/>
    <col min="9729" max="9729" width="37.28515625" style="71" bestFit="1" customWidth="1"/>
    <col min="9730" max="9730" width="15.28515625" style="71" customWidth="1"/>
    <col min="9731" max="9731" width="3.28515625" style="71" customWidth="1"/>
    <col min="9732" max="9734" width="15.28515625" style="71" customWidth="1"/>
    <col min="9735" max="9735" width="14" style="71" customWidth="1"/>
    <col min="9736" max="9736" width="14.28515625" style="71" customWidth="1"/>
    <col min="9737" max="9737" width="11.85546875" style="71" customWidth="1"/>
    <col min="9738" max="9738" width="14.42578125" style="71" customWidth="1"/>
    <col min="9739" max="9739" width="12.5703125" style="71" customWidth="1"/>
    <col min="9740" max="9742" width="15.28515625" style="71" customWidth="1"/>
    <col min="9743" max="9743" width="12.42578125" style="71" customWidth="1"/>
    <col min="9744" max="9744" width="15.28515625" style="71" customWidth="1"/>
    <col min="9745" max="9983" width="8.85546875" style="71"/>
    <col min="9984" max="9984" width="5.28515625" style="71" customWidth="1"/>
    <col min="9985" max="9985" width="37.28515625" style="71" bestFit="1" customWidth="1"/>
    <col min="9986" max="9986" width="15.28515625" style="71" customWidth="1"/>
    <col min="9987" max="9987" width="3.28515625" style="71" customWidth="1"/>
    <col min="9988" max="9990" width="15.28515625" style="71" customWidth="1"/>
    <col min="9991" max="9991" width="14" style="71" customWidth="1"/>
    <col min="9992" max="9992" width="14.28515625" style="71" customWidth="1"/>
    <col min="9993" max="9993" width="11.85546875" style="71" customWidth="1"/>
    <col min="9994" max="9994" width="14.42578125" style="71" customWidth="1"/>
    <col min="9995" max="9995" width="12.5703125" style="71" customWidth="1"/>
    <col min="9996" max="9998" width="15.28515625" style="71" customWidth="1"/>
    <col min="9999" max="9999" width="12.42578125" style="71" customWidth="1"/>
    <col min="10000" max="10000" width="15.28515625" style="71" customWidth="1"/>
    <col min="10001" max="10239" width="8.85546875" style="71"/>
    <col min="10240" max="10240" width="5.28515625" style="71" customWidth="1"/>
    <col min="10241" max="10241" width="37.28515625" style="71" bestFit="1" customWidth="1"/>
    <col min="10242" max="10242" width="15.28515625" style="71" customWidth="1"/>
    <col min="10243" max="10243" width="3.28515625" style="71" customWidth="1"/>
    <col min="10244" max="10246" width="15.28515625" style="71" customWidth="1"/>
    <col min="10247" max="10247" width="14" style="71" customWidth="1"/>
    <col min="10248" max="10248" width="14.28515625" style="71" customWidth="1"/>
    <col min="10249" max="10249" width="11.85546875" style="71" customWidth="1"/>
    <col min="10250" max="10250" width="14.42578125" style="71" customWidth="1"/>
    <col min="10251" max="10251" width="12.5703125" style="71" customWidth="1"/>
    <col min="10252" max="10254" width="15.28515625" style="71" customWidth="1"/>
    <col min="10255" max="10255" width="12.42578125" style="71" customWidth="1"/>
    <col min="10256" max="10256" width="15.28515625" style="71" customWidth="1"/>
    <col min="10257" max="10495" width="8.85546875" style="71"/>
    <col min="10496" max="10496" width="5.28515625" style="71" customWidth="1"/>
    <col min="10497" max="10497" width="37.28515625" style="71" bestFit="1" customWidth="1"/>
    <col min="10498" max="10498" width="15.28515625" style="71" customWidth="1"/>
    <col min="10499" max="10499" width="3.28515625" style="71" customWidth="1"/>
    <col min="10500" max="10502" width="15.28515625" style="71" customWidth="1"/>
    <col min="10503" max="10503" width="14" style="71" customWidth="1"/>
    <col min="10504" max="10504" width="14.28515625" style="71" customWidth="1"/>
    <col min="10505" max="10505" width="11.85546875" style="71" customWidth="1"/>
    <col min="10506" max="10506" width="14.42578125" style="71" customWidth="1"/>
    <col min="10507" max="10507" width="12.5703125" style="71" customWidth="1"/>
    <col min="10508" max="10510" width="15.28515625" style="71" customWidth="1"/>
    <col min="10511" max="10511" width="12.42578125" style="71" customWidth="1"/>
    <col min="10512" max="10512" width="15.28515625" style="71" customWidth="1"/>
    <col min="10513" max="10751" width="8.85546875" style="71"/>
    <col min="10752" max="10752" width="5.28515625" style="71" customWidth="1"/>
    <col min="10753" max="10753" width="37.28515625" style="71" bestFit="1" customWidth="1"/>
    <col min="10754" max="10754" width="15.28515625" style="71" customWidth="1"/>
    <col min="10755" max="10755" width="3.28515625" style="71" customWidth="1"/>
    <col min="10756" max="10758" width="15.28515625" style="71" customWidth="1"/>
    <col min="10759" max="10759" width="14" style="71" customWidth="1"/>
    <col min="10760" max="10760" width="14.28515625" style="71" customWidth="1"/>
    <col min="10761" max="10761" width="11.85546875" style="71" customWidth="1"/>
    <col min="10762" max="10762" width="14.42578125" style="71" customWidth="1"/>
    <col min="10763" max="10763" width="12.5703125" style="71" customWidth="1"/>
    <col min="10764" max="10766" width="15.28515625" style="71" customWidth="1"/>
    <col min="10767" max="10767" width="12.42578125" style="71" customWidth="1"/>
    <col min="10768" max="10768" width="15.28515625" style="71" customWidth="1"/>
    <col min="10769" max="11007" width="8.85546875" style="71"/>
    <col min="11008" max="11008" width="5.28515625" style="71" customWidth="1"/>
    <col min="11009" max="11009" width="37.28515625" style="71" bestFit="1" customWidth="1"/>
    <col min="11010" max="11010" width="15.28515625" style="71" customWidth="1"/>
    <col min="11011" max="11011" width="3.28515625" style="71" customWidth="1"/>
    <col min="11012" max="11014" width="15.28515625" style="71" customWidth="1"/>
    <col min="11015" max="11015" width="14" style="71" customWidth="1"/>
    <col min="11016" max="11016" width="14.28515625" style="71" customWidth="1"/>
    <col min="11017" max="11017" width="11.85546875" style="71" customWidth="1"/>
    <col min="11018" max="11018" width="14.42578125" style="71" customWidth="1"/>
    <col min="11019" max="11019" width="12.5703125" style="71" customWidth="1"/>
    <col min="11020" max="11022" width="15.28515625" style="71" customWidth="1"/>
    <col min="11023" max="11023" width="12.42578125" style="71" customWidth="1"/>
    <col min="11024" max="11024" width="15.28515625" style="71" customWidth="1"/>
    <col min="11025" max="11263" width="8.85546875" style="71"/>
    <col min="11264" max="11264" width="5.28515625" style="71" customWidth="1"/>
    <col min="11265" max="11265" width="37.28515625" style="71" bestFit="1" customWidth="1"/>
    <col min="11266" max="11266" width="15.28515625" style="71" customWidth="1"/>
    <col min="11267" max="11267" width="3.28515625" style="71" customWidth="1"/>
    <col min="11268" max="11270" width="15.28515625" style="71" customWidth="1"/>
    <col min="11271" max="11271" width="14" style="71" customWidth="1"/>
    <col min="11272" max="11272" width="14.28515625" style="71" customWidth="1"/>
    <col min="11273" max="11273" width="11.85546875" style="71" customWidth="1"/>
    <col min="11274" max="11274" width="14.42578125" style="71" customWidth="1"/>
    <col min="11275" max="11275" width="12.5703125" style="71" customWidth="1"/>
    <col min="11276" max="11278" width="15.28515625" style="71" customWidth="1"/>
    <col min="11279" max="11279" width="12.42578125" style="71" customWidth="1"/>
    <col min="11280" max="11280" width="15.28515625" style="71" customWidth="1"/>
    <col min="11281" max="11519" width="8.85546875" style="71"/>
    <col min="11520" max="11520" width="5.28515625" style="71" customWidth="1"/>
    <col min="11521" max="11521" width="37.28515625" style="71" bestFit="1" customWidth="1"/>
    <col min="11522" max="11522" width="15.28515625" style="71" customWidth="1"/>
    <col min="11523" max="11523" width="3.28515625" style="71" customWidth="1"/>
    <col min="11524" max="11526" width="15.28515625" style="71" customWidth="1"/>
    <col min="11527" max="11527" width="14" style="71" customWidth="1"/>
    <col min="11528" max="11528" width="14.28515625" style="71" customWidth="1"/>
    <col min="11529" max="11529" width="11.85546875" style="71" customWidth="1"/>
    <col min="11530" max="11530" width="14.42578125" style="71" customWidth="1"/>
    <col min="11531" max="11531" width="12.5703125" style="71" customWidth="1"/>
    <col min="11532" max="11534" width="15.28515625" style="71" customWidth="1"/>
    <col min="11535" max="11535" width="12.42578125" style="71" customWidth="1"/>
    <col min="11536" max="11536" width="15.28515625" style="71" customWidth="1"/>
    <col min="11537" max="11775" width="8.85546875" style="71"/>
    <col min="11776" max="11776" width="5.28515625" style="71" customWidth="1"/>
    <col min="11777" max="11777" width="37.28515625" style="71" bestFit="1" customWidth="1"/>
    <col min="11778" max="11778" width="15.28515625" style="71" customWidth="1"/>
    <col min="11779" max="11779" width="3.28515625" style="71" customWidth="1"/>
    <col min="11780" max="11782" width="15.28515625" style="71" customWidth="1"/>
    <col min="11783" max="11783" width="14" style="71" customWidth="1"/>
    <col min="11784" max="11784" width="14.28515625" style="71" customWidth="1"/>
    <col min="11785" max="11785" width="11.85546875" style="71" customWidth="1"/>
    <col min="11786" max="11786" width="14.42578125" style="71" customWidth="1"/>
    <col min="11787" max="11787" width="12.5703125" style="71" customWidth="1"/>
    <col min="11788" max="11790" width="15.28515625" style="71" customWidth="1"/>
    <col min="11791" max="11791" width="12.42578125" style="71" customWidth="1"/>
    <col min="11792" max="11792" width="15.28515625" style="71" customWidth="1"/>
    <col min="11793" max="12031" width="8.85546875" style="71"/>
    <col min="12032" max="12032" width="5.28515625" style="71" customWidth="1"/>
    <col min="12033" max="12033" width="37.28515625" style="71" bestFit="1" customWidth="1"/>
    <col min="12034" max="12034" width="15.28515625" style="71" customWidth="1"/>
    <col min="12035" max="12035" width="3.28515625" style="71" customWidth="1"/>
    <col min="12036" max="12038" width="15.28515625" style="71" customWidth="1"/>
    <col min="12039" max="12039" width="14" style="71" customWidth="1"/>
    <col min="12040" max="12040" width="14.28515625" style="71" customWidth="1"/>
    <col min="12041" max="12041" width="11.85546875" style="71" customWidth="1"/>
    <col min="12042" max="12042" width="14.42578125" style="71" customWidth="1"/>
    <col min="12043" max="12043" width="12.5703125" style="71" customWidth="1"/>
    <col min="12044" max="12046" width="15.28515625" style="71" customWidth="1"/>
    <col min="12047" max="12047" width="12.42578125" style="71" customWidth="1"/>
    <col min="12048" max="12048" width="15.28515625" style="71" customWidth="1"/>
    <col min="12049" max="12287" width="8.85546875" style="71"/>
    <col min="12288" max="12288" width="5.28515625" style="71" customWidth="1"/>
    <col min="12289" max="12289" width="37.28515625" style="71" bestFit="1" customWidth="1"/>
    <col min="12290" max="12290" width="15.28515625" style="71" customWidth="1"/>
    <col min="12291" max="12291" width="3.28515625" style="71" customWidth="1"/>
    <col min="12292" max="12294" width="15.28515625" style="71" customWidth="1"/>
    <col min="12295" max="12295" width="14" style="71" customWidth="1"/>
    <col min="12296" max="12296" width="14.28515625" style="71" customWidth="1"/>
    <col min="12297" max="12297" width="11.85546875" style="71" customWidth="1"/>
    <col min="12298" max="12298" width="14.42578125" style="71" customWidth="1"/>
    <col min="12299" max="12299" width="12.5703125" style="71" customWidth="1"/>
    <col min="12300" max="12302" width="15.28515625" style="71" customWidth="1"/>
    <col min="12303" max="12303" width="12.42578125" style="71" customWidth="1"/>
    <col min="12304" max="12304" width="15.28515625" style="71" customWidth="1"/>
    <col min="12305" max="12543" width="8.85546875" style="71"/>
    <col min="12544" max="12544" width="5.28515625" style="71" customWidth="1"/>
    <col min="12545" max="12545" width="37.28515625" style="71" bestFit="1" customWidth="1"/>
    <col min="12546" max="12546" width="15.28515625" style="71" customWidth="1"/>
    <col min="12547" max="12547" width="3.28515625" style="71" customWidth="1"/>
    <col min="12548" max="12550" width="15.28515625" style="71" customWidth="1"/>
    <col min="12551" max="12551" width="14" style="71" customWidth="1"/>
    <col min="12552" max="12552" width="14.28515625" style="71" customWidth="1"/>
    <col min="12553" max="12553" width="11.85546875" style="71" customWidth="1"/>
    <col min="12554" max="12554" width="14.42578125" style="71" customWidth="1"/>
    <col min="12555" max="12555" width="12.5703125" style="71" customWidth="1"/>
    <col min="12556" max="12558" width="15.28515625" style="71" customWidth="1"/>
    <col min="12559" max="12559" width="12.42578125" style="71" customWidth="1"/>
    <col min="12560" max="12560" width="15.28515625" style="71" customWidth="1"/>
    <col min="12561" max="12799" width="8.85546875" style="71"/>
    <col min="12800" max="12800" width="5.28515625" style="71" customWidth="1"/>
    <col min="12801" max="12801" width="37.28515625" style="71" bestFit="1" customWidth="1"/>
    <col min="12802" max="12802" width="15.28515625" style="71" customWidth="1"/>
    <col min="12803" max="12803" width="3.28515625" style="71" customWidth="1"/>
    <col min="12804" max="12806" width="15.28515625" style="71" customWidth="1"/>
    <col min="12807" max="12807" width="14" style="71" customWidth="1"/>
    <col min="12808" max="12808" width="14.28515625" style="71" customWidth="1"/>
    <col min="12809" max="12809" width="11.85546875" style="71" customWidth="1"/>
    <col min="12810" max="12810" width="14.42578125" style="71" customWidth="1"/>
    <col min="12811" max="12811" width="12.5703125" style="71" customWidth="1"/>
    <col min="12812" max="12814" width="15.28515625" style="71" customWidth="1"/>
    <col min="12815" max="12815" width="12.42578125" style="71" customWidth="1"/>
    <col min="12816" max="12816" width="15.28515625" style="71" customWidth="1"/>
    <col min="12817" max="13055" width="8.85546875" style="71"/>
    <col min="13056" max="13056" width="5.28515625" style="71" customWidth="1"/>
    <col min="13057" max="13057" width="37.28515625" style="71" bestFit="1" customWidth="1"/>
    <col min="13058" max="13058" width="15.28515625" style="71" customWidth="1"/>
    <col min="13059" max="13059" width="3.28515625" style="71" customWidth="1"/>
    <col min="13060" max="13062" width="15.28515625" style="71" customWidth="1"/>
    <col min="13063" max="13063" width="14" style="71" customWidth="1"/>
    <col min="13064" max="13064" width="14.28515625" style="71" customWidth="1"/>
    <col min="13065" max="13065" width="11.85546875" style="71" customWidth="1"/>
    <col min="13066" max="13066" width="14.42578125" style="71" customWidth="1"/>
    <col min="13067" max="13067" width="12.5703125" style="71" customWidth="1"/>
    <col min="13068" max="13070" width="15.28515625" style="71" customWidth="1"/>
    <col min="13071" max="13071" width="12.42578125" style="71" customWidth="1"/>
    <col min="13072" max="13072" width="15.28515625" style="71" customWidth="1"/>
    <col min="13073" max="13311" width="8.85546875" style="71"/>
    <col min="13312" max="13312" width="5.28515625" style="71" customWidth="1"/>
    <col min="13313" max="13313" width="37.28515625" style="71" bestFit="1" customWidth="1"/>
    <col min="13314" max="13314" width="15.28515625" style="71" customWidth="1"/>
    <col min="13315" max="13315" width="3.28515625" style="71" customWidth="1"/>
    <col min="13316" max="13318" width="15.28515625" style="71" customWidth="1"/>
    <col min="13319" max="13319" width="14" style="71" customWidth="1"/>
    <col min="13320" max="13320" width="14.28515625" style="71" customWidth="1"/>
    <col min="13321" max="13321" width="11.85546875" style="71" customWidth="1"/>
    <col min="13322" max="13322" width="14.42578125" style="71" customWidth="1"/>
    <col min="13323" max="13323" width="12.5703125" style="71" customWidth="1"/>
    <col min="13324" max="13326" width="15.28515625" style="71" customWidth="1"/>
    <col min="13327" max="13327" width="12.42578125" style="71" customWidth="1"/>
    <col min="13328" max="13328" width="15.28515625" style="71" customWidth="1"/>
    <col min="13329" max="13567" width="8.85546875" style="71"/>
    <col min="13568" max="13568" width="5.28515625" style="71" customWidth="1"/>
    <col min="13569" max="13569" width="37.28515625" style="71" bestFit="1" customWidth="1"/>
    <col min="13570" max="13570" width="15.28515625" style="71" customWidth="1"/>
    <col min="13571" max="13571" width="3.28515625" style="71" customWidth="1"/>
    <col min="13572" max="13574" width="15.28515625" style="71" customWidth="1"/>
    <col min="13575" max="13575" width="14" style="71" customWidth="1"/>
    <col min="13576" max="13576" width="14.28515625" style="71" customWidth="1"/>
    <col min="13577" max="13577" width="11.85546875" style="71" customWidth="1"/>
    <col min="13578" max="13578" width="14.42578125" style="71" customWidth="1"/>
    <col min="13579" max="13579" width="12.5703125" style="71" customWidth="1"/>
    <col min="13580" max="13582" width="15.28515625" style="71" customWidth="1"/>
    <col min="13583" max="13583" width="12.42578125" style="71" customWidth="1"/>
    <col min="13584" max="13584" width="15.28515625" style="71" customWidth="1"/>
    <col min="13585" max="13823" width="8.85546875" style="71"/>
    <col min="13824" max="13824" width="5.28515625" style="71" customWidth="1"/>
    <col min="13825" max="13825" width="37.28515625" style="71" bestFit="1" customWidth="1"/>
    <col min="13826" max="13826" width="15.28515625" style="71" customWidth="1"/>
    <col min="13827" max="13827" width="3.28515625" style="71" customWidth="1"/>
    <col min="13828" max="13830" width="15.28515625" style="71" customWidth="1"/>
    <col min="13831" max="13831" width="14" style="71" customWidth="1"/>
    <col min="13832" max="13832" width="14.28515625" style="71" customWidth="1"/>
    <col min="13833" max="13833" width="11.85546875" style="71" customWidth="1"/>
    <col min="13834" max="13834" width="14.42578125" style="71" customWidth="1"/>
    <col min="13835" max="13835" width="12.5703125" style="71" customWidth="1"/>
    <col min="13836" max="13838" width="15.28515625" style="71" customWidth="1"/>
    <col min="13839" max="13839" width="12.42578125" style="71" customWidth="1"/>
    <col min="13840" max="13840" width="15.28515625" style="71" customWidth="1"/>
    <col min="13841" max="14079" width="8.85546875" style="71"/>
    <col min="14080" max="14080" width="5.28515625" style="71" customWidth="1"/>
    <col min="14081" max="14081" width="37.28515625" style="71" bestFit="1" customWidth="1"/>
    <col min="14082" max="14082" width="15.28515625" style="71" customWidth="1"/>
    <col min="14083" max="14083" width="3.28515625" style="71" customWidth="1"/>
    <col min="14084" max="14086" width="15.28515625" style="71" customWidth="1"/>
    <col min="14087" max="14087" width="14" style="71" customWidth="1"/>
    <col min="14088" max="14088" width="14.28515625" style="71" customWidth="1"/>
    <col min="14089" max="14089" width="11.85546875" style="71" customWidth="1"/>
    <col min="14090" max="14090" width="14.42578125" style="71" customWidth="1"/>
    <col min="14091" max="14091" width="12.5703125" style="71" customWidth="1"/>
    <col min="14092" max="14094" width="15.28515625" style="71" customWidth="1"/>
    <col min="14095" max="14095" width="12.42578125" style="71" customWidth="1"/>
    <col min="14096" max="14096" width="15.28515625" style="71" customWidth="1"/>
    <col min="14097" max="14335" width="8.85546875" style="71"/>
    <col min="14336" max="14336" width="5.28515625" style="71" customWidth="1"/>
    <col min="14337" max="14337" width="37.28515625" style="71" bestFit="1" customWidth="1"/>
    <col min="14338" max="14338" width="15.28515625" style="71" customWidth="1"/>
    <col min="14339" max="14339" width="3.28515625" style="71" customWidth="1"/>
    <col min="14340" max="14342" width="15.28515625" style="71" customWidth="1"/>
    <col min="14343" max="14343" width="14" style="71" customWidth="1"/>
    <col min="14344" max="14344" width="14.28515625" style="71" customWidth="1"/>
    <col min="14345" max="14345" width="11.85546875" style="71" customWidth="1"/>
    <col min="14346" max="14346" width="14.42578125" style="71" customWidth="1"/>
    <col min="14347" max="14347" width="12.5703125" style="71" customWidth="1"/>
    <col min="14348" max="14350" width="15.28515625" style="71" customWidth="1"/>
    <col min="14351" max="14351" width="12.42578125" style="71" customWidth="1"/>
    <col min="14352" max="14352" width="15.28515625" style="71" customWidth="1"/>
    <col min="14353" max="14591" width="8.85546875" style="71"/>
    <col min="14592" max="14592" width="5.28515625" style="71" customWidth="1"/>
    <col min="14593" max="14593" width="37.28515625" style="71" bestFit="1" customWidth="1"/>
    <col min="14594" max="14594" width="15.28515625" style="71" customWidth="1"/>
    <col min="14595" max="14595" width="3.28515625" style="71" customWidth="1"/>
    <col min="14596" max="14598" width="15.28515625" style="71" customWidth="1"/>
    <col min="14599" max="14599" width="14" style="71" customWidth="1"/>
    <col min="14600" max="14600" width="14.28515625" style="71" customWidth="1"/>
    <col min="14601" max="14601" width="11.85546875" style="71" customWidth="1"/>
    <col min="14602" max="14602" width="14.42578125" style="71" customWidth="1"/>
    <col min="14603" max="14603" width="12.5703125" style="71" customWidth="1"/>
    <col min="14604" max="14606" width="15.28515625" style="71" customWidth="1"/>
    <col min="14607" max="14607" width="12.42578125" style="71" customWidth="1"/>
    <col min="14608" max="14608" width="15.28515625" style="71" customWidth="1"/>
    <col min="14609" max="14847" width="8.85546875" style="71"/>
    <col min="14848" max="14848" width="5.28515625" style="71" customWidth="1"/>
    <col min="14849" max="14849" width="37.28515625" style="71" bestFit="1" customWidth="1"/>
    <col min="14850" max="14850" width="15.28515625" style="71" customWidth="1"/>
    <col min="14851" max="14851" width="3.28515625" style="71" customWidth="1"/>
    <col min="14852" max="14854" width="15.28515625" style="71" customWidth="1"/>
    <col min="14855" max="14855" width="14" style="71" customWidth="1"/>
    <col min="14856" max="14856" width="14.28515625" style="71" customWidth="1"/>
    <col min="14857" max="14857" width="11.85546875" style="71" customWidth="1"/>
    <col min="14858" max="14858" width="14.42578125" style="71" customWidth="1"/>
    <col min="14859" max="14859" width="12.5703125" style="71" customWidth="1"/>
    <col min="14860" max="14862" width="15.28515625" style="71" customWidth="1"/>
    <col min="14863" max="14863" width="12.42578125" style="71" customWidth="1"/>
    <col min="14864" max="14864" width="15.28515625" style="71" customWidth="1"/>
    <col min="14865" max="15103" width="8.85546875" style="71"/>
    <col min="15104" max="15104" width="5.28515625" style="71" customWidth="1"/>
    <col min="15105" max="15105" width="37.28515625" style="71" bestFit="1" customWidth="1"/>
    <col min="15106" max="15106" width="15.28515625" style="71" customWidth="1"/>
    <col min="15107" max="15107" width="3.28515625" style="71" customWidth="1"/>
    <col min="15108" max="15110" width="15.28515625" style="71" customWidth="1"/>
    <col min="15111" max="15111" width="14" style="71" customWidth="1"/>
    <col min="15112" max="15112" width="14.28515625" style="71" customWidth="1"/>
    <col min="15113" max="15113" width="11.85546875" style="71" customWidth="1"/>
    <col min="15114" max="15114" width="14.42578125" style="71" customWidth="1"/>
    <col min="15115" max="15115" width="12.5703125" style="71" customWidth="1"/>
    <col min="15116" max="15118" width="15.28515625" style="71" customWidth="1"/>
    <col min="15119" max="15119" width="12.42578125" style="71" customWidth="1"/>
    <col min="15120" max="15120" width="15.28515625" style="71" customWidth="1"/>
    <col min="15121" max="15359" width="8.85546875" style="71"/>
    <col min="15360" max="15360" width="5.28515625" style="71" customWidth="1"/>
    <col min="15361" max="15361" width="37.28515625" style="71" bestFit="1" customWidth="1"/>
    <col min="15362" max="15362" width="15.28515625" style="71" customWidth="1"/>
    <col min="15363" max="15363" width="3.28515625" style="71" customWidth="1"/>
    <col min="15364" max="15366" width="15.28515625" style="71" customWidth="1"/>
    <col min="15367" max="15367" width="14" style="71" customWidth="1"/>
    <col min="15368" max="15368" width="14.28515625" style="71" customWidth="1"/>
    <col min="15369" max="15369" width="11.85546875" style="71" customWidth="1"/>
    <col min="15370" max="15370" width="14.42578125" style="71" customWidth="1"/>
    <col min="15371" max="15371" width="12.5703125" style="71" customWidth="1"/>
    <col min="15372" max="15374" width="15.28515625" style="71" customWidth="1"/>
    <col min="15375" max="15375" width="12.42578125" style="71" customWidth="1"/>
    <col min="15376" max="15376" width="15.28515625" style="71" customWidth="1"/>
    <col min="15377" max="15615" width="8.85546875" style="71"/>
    <col min="15616" max="15616" width="5.28515625" style="71" customWidth="1"/>
    <col min="15617" max="15617" width="37.28515625" style="71" bestFit="1" customWidth="1"/>
    <col min="15618" max="15618" width="15.28515625" style="71" customWidth="1"/>
    <col min="15619" max="15619" width="3.28515625" style="71" customWidth="1"/>
    <col min="15620" max="15622" width="15.28515625" style="71" customWidth="1"/>
    <col min="15623" max="15623" width="14" style="71" customWidth="1"/>
    <col min="15624" max="15624" width="14.28515625" style="71" customWidth="1"/>
    <col min="15625" max="15625" width="11.85546875" style="71" customWidth="1"/>
    <col min="15626" max="15626" width="14.42578125" style="71" customWidth="1"/>
    <col min="15627" max="15627" width="12.5703125" style="71" customWidth="1"/>
    <col min="15628" max="15630" width="15.28515625" style="71" customWidth="1"/>
    <col min="15631" max="15631" width="12.42578125" style="71" customWidth="1"/>
    <col min="15632" max="15632" width="15.28515625" style="71" customWidth="1"/>
    <col min="15633" max="15871" width="8.85546875" style="71"/>
    <col min="15872" max="15872" width="5.28515625" style="71" customWidth="1"/>
    <col min="15873" max="15873" width="37.28515625" style="71" bestFit="1" customWidth="1"/>
    <col min="15874" max="15874" width="15.28515625" style="71" customWidth="1"/>
    <col min="15875" max="15875" width="3.28515625" style="71" customWidth="1"/>
    <col min="15876" max="15878" width="15.28515625" style="71" customWidth="1"/>
    <col min="15879" max="15879" width="14" style="71" customWidth="1"/>
    <col min="15880" max="15880" width="14.28515625" style="71" customWidth="1"/>
    <col min="15881" max="15881" width="11.85546875" style="71" customWidth="1"/>
    <col min="15882" max="15882" width="14.42578125" style="71" customWidth="1"/>
    <col min="15883" max="15883" width="12.5703125" style="71" customWidth="1"/>
    <col min="15884" max="15886" width="15.28515625" style="71" customWidth="1"/>
    <col min="15887" max="15887" width="12.42578125" style="71" customWidth="1"/>
    <col min="15888" max="15888" width="15.28515625" style="71" customWidth="1"/>
    <col min="15889" max="16127" width="8.85546875" style="71"/>
    <col min="16128" max="16128" width="5.28515625" style="71" customWidth="1"/>
    <col min="16129" max="16129" width="37.28515625" style="71" bestFit="1" customWidth="1"/>
    <col min="16130" max="16130" width="15.28515625" style="71" customWidth="1"/>
    <col min="16131" max="16131" width="3.28515625" style="71" customWidth="1"/>
    <col min="16132" max="16134" width="15.28515625" style="71" customWidth="1"/>
    <col min="16135" max="16135" width="14" style="71" customWidth="1"/>
    <col min="16136" max="16136" width="14.28515625" style="71" customWidth="1"/>
    <col min="16137" max="16137" width="11.85546875" style="71" customWidth="1"/>
    <col min="16138" max="16138" width="14.42578125" style="71" customWidth="1"/>
    <col min="16139" max="16139" width="12.5703125" style="71" customWidth="1"/>
    <col min="16140" max="16142" width="15.28515625" style="71" customWidth="1"/>
    <col min="16143" max="16143" width="12.42578125" style="71" customWidth="1"/>
    <col min="16144" max="16144" width="15.28515625" style="71" customWidth="1"/>
    <col min="16145" max="16384" width="8.85546875" style="71"/>
  </cols>
  <sheetData>
    <row r="1" spans="1:17" x14ac:dyDescent="0.2">
      <c r="A1" s="246" t="str">
        <f>'[54]PCA Costs'!$A$1:$P$1</f>
        <v>Puget Sound Energy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</row>
    <row r="2" spans="1:17" x14ac:dyDescent="0.2">
      <c r="A2" s="246" t="str">
        <f>'[54]PCA Costs'!$A$2:$P$2</f>
        <v>ELECTRIC COST OF SERVICE SUMMARY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</row>
    <row r="3" spans="1:17" x14ac:dyDescent="0.2">
      <c r="A3" s="246" t="str">
        <f>'[54]PCA Costs'!$A$3:$P$3</f>
        <v>Adjusted Test Year Twelve Months ended December 2018 @ Proforma Rev Requirement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</row>
    <row r="4" spans="1:17" ht="13.15" customHeight="1" x14ac:dyDescent="0.2">
      <c r="A4" s="246" t="str">
        <f>'[54]PCA Costs'!$A$4:$P$4</f>
        <v>Delivery Costs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</row>
    <row r="5" spans="1:17" x14ac:dyDescent="0.2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</row>
    <row r="6" spans="1:17" ht="33.75" x14ac:dyDescent="0.2">
      <c r="A6" s="112" t="str">
        <f>'[54]PCA Costs'!A6</f>
        <v>Line No.</v>
      </c>
      <c r="B6" s="112" t="str">
        <f>'[54]PCA Costs'!B6</f>
        <v>Description</v>
      </c>
      <c r="C6" s="112" t="str">
        <f>'[54]PCA Costs'!C6</f>
        <v>Total Company</v>
      </c>
      <c r="D6" s="112"/>
      <c r="E6" s="112" t="str">
        <f>'[54]PCA Costs'!E6</f>
        <v>Residential Sch 7</v>
      </c>
      <c r="F6" s="112" t="str">
        <f>'[54]PCA Costs'!F6</f>
        <v>Sec Volt Sch 24 (kW&lt; 50)</v>
      </c>
      <c r="G6" s="112" t="str">
        <f>'[54]PCA Costs'!G6</f>
        <v>Sec Volt Sch 25 (kW &gt; 50 &amp; &lt; 350)</v>
      </c>
      <c r="H6" s="112" t="str">
        <f>'[54]PCA Costs'!H6</f>
        <v>Sec Volt Sch 26 (kW &gt; 350)</v>
      </c>
      <c r="I6" s="112" t="str">
        <f>'[54]PCA Costs'!I6</f>
        <v>Pri Volt Sch 31 (General Service)</v>
      </c>
      <c r="J6" s="112" t="str">
        <f>'[54]PCA Costs'!J6</f>
        <v>Pri Volt Sch 35 (Irrigation)</v>
      </c>
      <c r="K6" s="112" t="str">
        <f>'[54]PCA Costs'!K6</f>
        <v>Pri Svc 43</v>
      </c>
      <c r="L6" s="112" t="str">
        <f>'[54]PCA Costs'!L6</f>
        <v>Special Contract</v>
      </c>
      <c r="M6" s="112" t="str">
        <f>'[54]PCA Costs'!M6</f>
        <v>High Volt 46/49</v>
      </c>
      <c r="N6" s="112" t="str">
        <f>'[54]PCA Costs'!N6</f>
        <v>Choice/Retail Wheeling</v>
      </c>
      <c r="O6" s="112" t="str">
        <f>'[54]PCA Costs'!O6</f>
        <v>Lighting 50-59</v>
      </c>
      <c r="P6" s="112" t="str">
        <f>'[54]PCA Costs'!P6</f>
        <v>Firm Resale</v>
      </c>
    </row>
    <row r="7" spans="1:17" ht="12.75" customHeight="1" x14ac:dyDescent="0.2">
      <c r="A7" s="72"/>
      <c r="B7" s="73" t="s">
        <v>13</v>
      </c>
      <c r="C7" s="73" t="s">
        <v>12</v>
      </c>
      <c r="D7" s="73"/>
      <c r="E7" s="73" t="s">
        <v>11</v>
      </c>
      <c r="F7" s="73" t="s">
        <v>10</v>
      </c>
      <c r="G7" s="73" t="s">
        <v>9</v>
      </c>
      <c r="H7" s="73" t="s">
        <v>7</v>
      </c>
      <c r="I7" s="73" t="s">
        <v>6</v>
      </c>
      <c r="J7" s="73" t="s">
        <v>5</v>
      </c>
      <c r="K7" s="73" t="s">
        <v>4</v>
      </c>
      <c r="L7" s="73" t="s">
        <v>3</v>
      </c>
      <c r="M7" s="73" t="s">
        <v>2</v>
      </c>
      <c r="N7" s="73" t="s">
        <v>1</v>
      </c>
      <c r="O7" s="73" t="s">
        <v>0</v>
      </c>
      <c r="P7" s="73" t="s">
        <v>19</v>
      </c>
    </row>
    <row r="8" spans="1:17" ht="12.75" customHeight="1" x14ac:dyDescent="0.2">
      <c r="C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</row>
    <row r="9" spans="1:17" ht="12.75" customHeight="1" x14ac:dyDescent="0.2">
      <c r="A9" s="75">
        <v>1</v>
      </c>
      <c r="B9" s="76" t="s">
        <v>103</v>
      </c>
      <c r="C9" s="77">
        <f>SUM(E9:P9)</f>
        <v>22028705616.757526</v>
      </c>
      <c r="D9" s="77"/>
      <c r="E9" s="93">
        <f>'[54]PCA Costs'!E9</f>
        <v>11476152247.161776</v>
      </c>
      <c r="F9" s="93">
        <f>'[54]PCA Costs'!F9</f>
        <v>2915955626.4103169</v>
      </c>
      <c r="G9" s="93">
        <f>'[54]PCA Costs'!G9</f>
        <v>3242765959.9604325</v>
      </c>
      <c r="H9" s="93">
        <f>'[54]PCA Costs'!H9</f>
        <v>2092770306.5275679</v>
      </c>
      <c r="I9" s="93">
        <f>'[54]PCA Costs'!I9</f>
        <v>1456029850.0547175</v>
      </c>
      <c r="J9" s="93">
        <f>'[54]PCA Costs'!J9</f>
        <v>4597572.0317007378</v>
      </c>
      <c r="K9" s="93">
        <f>'[54]PCA Costs'!K9</f>
        <v>126890757.18193617</v>
      </c>
      <c r="L9" s="93">
        <f>'[54]PCA Costs'!L9</f>
        <v>0</v>
      </c>
      <c r="M9" s="93">
        <f>'[54]PCA Costs'!M9</f>
        <v>630228919.26662493</v>
      </c>
      <c r="N9" s="93">
        <f>'[54]PCA Costs'!N9</f>
        <v>0</v>
      </c>
      <c r="O9" s="93">
        <f>'[54]PCA Costs'!O9</f>
        <v>75887375.026475519</v>
      </c>
      <c r="P9" s="93">
        <f>'[54]PCA Costs'!P9</f>
        <v>7427003.1359829875</v>
      </c>
      <c r="Q9" s="78"/>
    </row>
    <row r="10" spans="1:17" ht="12.75" customHeight="1" x14ac:dyDescent="0.2">
      <c r="A10" s="75">
        <f t="shared" ref="A10:A30" si="0">+A9+1</f>
        <v>2</v>
      </c>
      <c r="B10" s="76" t="s">
        <v>104</v>
      </c>
      <c r="C10" s="77">
        <f>SUM(E10:P10)</f>
        <v>3877885.5466519948</v>
      </c>
      <c r="D10" s="77"/>
      <c r="E10" s="93">
        <f>'[54]PCA Costs'!E10</f>
        <v>2236474.2253660602</v>
      </c>
      <c r="F10" s="93">
        <f>'[54]PCA Costs'!F10</f>
        <v>515625.82524854271</v>
      </c>
      <c r="G10" s="93">
        <f>'[54]PCA Costs'!G10</f>
        <v>551893.91878041346</v>
      </c>
      <c r="H10" s="93">
        <f>'[54]PCA Costs'!H10</f>
        <v>289974.91765494185</v>
      </c>
      <c r="I10" s="93">
        <f>'[54]PCA Costs'!I10</f>
        <v>204844.84270926949</v>
      </c>
      <c r="J10" s="93">
        <f>'[54]PCA Costs'!J10</f>
        <v>7.0004300675974864</v>
      </c>
      <c r="K10" s="93">
        <f>'[54]PCA Costs'!K10</f>
        <v>0</v>
      </c>
      <c r="L10" s="93">
        <f>'[54]PCA Costs'!L10</f>
        <v>0</v>
      </c>
      <c r="M10" s="93">
        <f>'[54]PCA Costs'!M10</f>
        <v>69577.130407689765</v>
      </c>
      <c r="N10" s="93">
        <f>'[54]PCA Costs'!N10</f>
        <v>0</v>
      </c>
      <c r="O10" s="93">
        <f>'[54]PCA Costs'!O10</f>
        <v>8059.2720272472116</v>
      </c>
      <c r="P10" s="93">
        <f>'[54]PCA Costs'!P10</f>
        <v>1428.4140277629981</v>
      </c>
    </row>
    <row r="11" spans="1:17" ht="12.75" customHeight="1" x14ac:dyDescent="0.2">
      <c r="A11" s="75">
        <f t="shared" si="0"/>
        <v>3</v>
      </c>
      <c r="B11" s="79" t="s">
        <v>93</v>
      </c>
      <c r="C11" s="80">
        <f>SUM(E11:P11)</f>
        <v>1</v>
      </c>
      <c r="D11" s="81"/>
      <c r="E11" s="94">
        <f>'[54]PCA Costs'!E11</f>
        <v>0.52709731139948457</v>
      </c>
      <c r="F11" s="94">
        <f>'[54]PCA Costs'!F11</f>
        <v>0.1324361696054952</v>
      </c>
      <c r="G11" s="94">
        <f>'[54]PCA Costs'!G11</f>
        <v>0.14666868464792659</v>
      </c>
      <c r="H11" s="94">
        <f>'[54]PCA Costs'!H11</f>
        <v>9.2777169236386001E-2</v>
      </c>
      <c r="I11" s="94">
        <f>'[54]PCA Costs'!I11</f>
        <v>6.4636892642454535E-2</v>
      </c>
      <c r="J11" s="94">
        <f>'[54]PCA Costs'!J11</f>
        <v>1.8594889359473013E-4</v>
      </c>
      <c r="K11" s="94">
        <f>'[54]PCA Costs'!K11</f>
        <v>5.1266186882089771E-3</v>
      </c>
      <c r="L11" s="94">
        <f>'[54]PCA Costs'!L11</f>
        <v>0</v>
      </c>
      <c r="M11" s="94">
        <f>'[54]PCA Costs'!M11</f>
        <v>2.7436024162419342E-2</v>
      </c>
      <c r="N11" s="94">
        <f>'[54]PCA Costs'!N11</f>
        <v>0</v>
      </c>
      <c r="O11" s="94">
        <f>'[54]PCA Costs'!O11</f>
        <v>3.2945978575228446E-3</v>
      </c>
      <c r="P11" s="94">
        <f>'[54]PCA Costs'!P11</f>
        <v>3.4058286650739451E-4</v>
      </c>
    </row>
    <row r="12" spans="1:17" ht="12.75" customHeight="1" x14ac:dyDescent="0.2">
      <c r="A12" s="75">
        <f t="shared" si="0"/>
        <v>4</v>
      </c>
      <c r="B12" s="82" t="s">
        <v>94</v>
      </c>
      <c r="C12" s="92">
        <f>'[54]PCA Costs'!$C$12</f>
        <v>0.89</v>
      </c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</row>
    <row r="13" spans="1:17" ht="12.75" customHeight="1" x14ac:dyDescent="0.2">
      <c r="A13" s="75">
        <f t="shared" si="0"/>
        <v>5</v>
      </c>
      <c r="B13" s="82" t="s">
        <v>95</v>
      </c>
      <c r="C13" s="92">
        <f>'[54]PCA Costs'!$C$13</f>
        <v>0.11</v>
      </c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</row>
    <row r="14" spans="1:17" ht="12.75" customHeight="1" x14ac:dyDescent="0.2">
      <c r="A14" s="75">
        <f t="shared" si="0"/>
        <v>6</v>
      </c>
      <c r="C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</row>
    <row r="15" spans="1:17" ht="12.75" customHeight="1" x14ac:dyDescent="0.2">
      <c r="A15" s="75">
        <f t="shared" si="0"/>
        <v>7</v>
      </c>
      <c r="B15" s="79" t="s">
        <v>105</v>
      </c>
      <c r="C15" s="83">
        <f>SUM(E15:P15)</f>
        <v>2183805682.7408457</v>
      </c>
      <c r="E15" s="86">
        <f>'[54]PCA Costs'!E15</f>
        <v>1248408581.5438199</v>
      </c>
      <c r="F15" s="86">
        <f>'[54]PCA Costs'!F15</f>
        <v>275434197.15899944</v>
      </c>
      <c r="G15" s="86">
        <f>'[54]PCA Costs'!G15</f>
        <v>276965967.35293627</v>
      </c>
      <c r="H15" s="86">
        <f>'[54]PCA Costs'!H15</f>
        <v>164582928.85837889</v>
      </c>
      <c r="I15" s="86">
        <f>'[54]PCA Costs'!I15</f>
        <v>120723938.71455948</v>
      </c>
      <c r="J15" s="86">
        <f>'[54]PCA Costs'!J15</f>
        <v>528913.06313382031</v>
      </c>
      <c r="K15" s="86">
        <f>'[54]PCA Costs'!K15</f>
        <v>13162686.087205939</v>
      </c>
      <c r="L15" s="86">
        <f>'[54]PCA Costs'!L15</f>
        <v>6970878.964125284</v>
      </c>
      <c r="M15" s="86">
        <f>'[54]PCA Costs'!M15</f>
        <v>44366783.363342077</v>
      </c>
      <c r="N15" s="86">
        <f>'[54]PCA Costs'!N15</f>
        <v>13144874.817254214</v>
      </c>
      <c r="O15" s="86">
        <f>'[54]PCA Costs'!O15</f>
        <v>18809449.242601223</v>
      </c>
      <c r="P15" s="86">
        <f>'[54]PCA Costs'!P15</f>
        <v>706483.57448899955</v>
      </c>
    </row>
    <row r="16" spans="1:17" ht="12.75" customHeight="1" x14ac:dyDescent="0.2">
      <c r="A16" s="75">
        <f t="shared" si="0"/>
        <v>8</v>
      </c>
      <c r="B16" s="76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</row>
    <row r="17" spans="1:16" ht="12.75" customHeight="1" x14ac:dyDescent="0.2">
      <c r="A17" s="75">
        <f t="shared" si="0"/>
        <v>9</v>
      </c>
      <c r="B17" s="76" t="s">
        <v>106</v>
      </c>
      <c r="C17" s="83">
        <f>SUM(E17:P17)</f>
        <v>82300667.00581263</v>
      </c>
      <c r="E17" s="86">
        <f>'[54]PCA Costs'!E17</f>
        <v>44774403.145353243</v>
      </c>
      <c r="F17" s="86">
        <f>'[54]PCA Costs'!F17</f>
        <v>11637354.159992099</v>
      </c>
      <c r="G17" s="86">
        <f>'[54]PCA Costs'!G17</f>
        <v>8972754.1885492373</v>
      </c>
      <c r="H17" s="86">
        <f>'[54]PCA Costs'!H17</f>
        <v>5323116.7144631036</v>
      </c>
      <c r="I17" s="86">
        <f>'[54]PCA Costs'!I17</f>
        <v>4242331.592676946</v>
      </c>
      <c r="J17" s="86">
        <f>'[54]PCA Costs'!J17</f>
        <v>17150.614727296965</v>
      </c>
      <c r="K17" s="86">
        <f>'[54]PCA Costs'!K17</f>
        <v>370120.97276047437</v>
      </c>
      <c r="L17" s="86">
        <f>'[54]PCA Costs'!L17</f>
        <v>1110812.9075238416</v>
      </c>
      <c r="M17" s="86">
        <f>'[54]PCA Costs'!M17</f>
        <v>4461904.9807481915</v>
      </c>
      <c r="N17" s="86">
        <f>'[54]PCA Costs'!N17</f>
        <v>1077072.9172933849</v>
      </c>
      <c r="O17" s="86">
        <f>'[54]PCA Costs'!O17</f>
        <v>286414.50666749151</v>
      </c>
      <c r="P17" s="86">
        <f>'[54]PCA Costs'!P17</f>
        <v>27230.30505731501</v>
      </c>
    </row>
    <row r="18" spans="1:16" ht="12.75" customHeight="1" x14ac:dyDescent="0.2">
      <c r="A18" s="75">
        <f t="shared" si="0"/>
        <v>10</v>
      </c>
      <c r="C18" s="83"/>
      <c r="E18" s="237"/>
    </row>
    <row r="19" spans="1:16" ht="12.75" customHeight="1" x14ac:dyDescent="0.2">
      <c r="A19" s="75">
        <f t="shared" si="0"/>
        <v>11</v>
      </c>
      <c r="B19" s="76" t="s">
        <v>109</v>
      </c>
      <c r="C19" s="86">
        <f>'Exhibit A-1'!F38</f>
        <v>497557351.32673275</v>
      </c>
      <c r="E19" s="238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</row>
    <row r="20" spans="1:16" ht="12.75" customHeight="1" x14ac:dyDescent="0.2">
      <c r="A20" s="75">
        <f t="shared" si="0"/>
        <v>12</v>
      </c>
      <c r="B20" s="76" t="s">
        <v>110</v>
      </c>
      <c r="C20" s="96">
        <f>'Exhibit A-1'!G38</f>
        <v>741768714.85178101</v>
      </c>
      <c r="E20" s="239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</row>
    <row r="21" spans="1:16" ht="12.75" customHeight="1" x14ac:dyDescent="0.2">
      <c r="A21" s="75">
        <f t="shared" si="0"/>
        <v>13</v>
      </c>
      <c r="B21" s="76" t="s">
        <v>111</v>
      </c>
      <c r="C21" s="84">
        <f>SUM(C19:C20)</f>
        <v>1239326066.1785138</v>
      </c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</row>
    <row r="22" spans="1:16" ht="12.75" customHeight="1" x14ac:dyDescent="0.2">
      <c r="A22" s="75">
        <f t="shared" si="0"/>
        <v>14</v>
      </c>
      <c r="B22" s="76"/>
      <c r="C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</row>
    <row r="23" spans="1:16" ht="12.75" customHeight="1" x14ac:dyDescent="0.2">
      <c r="A23" s="75">
        <f t="shared" si="0"/>
        <v>15</v>
      </c>
      <c r="B23" s="87" t="s">
        <v>96</v>
      </c>
      <c r="C23" s="83">
        <f>SUM(E23:P23)</f>
        <v>497557351.32673287</v>
      </c>
      <c r="D23" s="85"/>
      <c r="E23" s="83">
        <f t="shared" ref="E23:P23" si="1">+$C$19*E$11</f>
        <v>262261142.1513696</v>
      </c>
      <c r="F23" s="83">
        <f t="shared" si="1"/>
        <v>65894589.768768139</v>
      </c>
      <c r="G23" s="83">
        <f t="shared" si="1"/>
        <v>72976082.255998194</v>
      </c>
      <c r="H23" s="83">
        <f t="shared" si="1"/>
        <v>46161962.588848248</v>
      </c>
      <c r="I23" s="83">
        <f t="shared" si="1"/>
        <v>32160561.101170059</v>
      </c>
      <c r="J23" s="83">
        <f t="shared" si="1"/>
        <v>92520.238979130387</v>
      </c>
      <c r="K23" s="83">
        <f t="shared" si="1"/>
        <v>2550786.8157673879</v>
      </c>
      <c r="L23" s="83">
        <f t="shared" si="1"/>
        <v>0</v>
      </c>
      <c r="M23" s="83">
        <f t="shared" si="1"/>
        <v>13650995.513189608</v>
      </c>
      <c r="N23" s="83">
        <f t="shared" si="1"/>
        <v>0</v>
      </c>
      <c r="O23" s="83">
        <f t="shared" si="1"/>
        <v>1639251.383675795</v>
      </c>
      <c r="P23" s="83">
        <f t="shared" si="1"/>
        <v>169459.50896668542</v>
      </c>
    </row>
    <row r="24" spans="1:16" ht="12.75" customHeight="1" x14ac:dyDescent="0.2">
      <c r="A24" s="75">
        <f t="shared" si="0"/>
        <v>16</v>
      </c>
      <c r="B24" s="87" t="s">
        <v>97</v>
      </c>
      <c r="C24" s="95">
        <f>SUM(E24:P24)</f>
        <v>741768714.85178125</v>
      </c>
      <c r="D24" s="97"/>
      <c r="E24" s="95">
        <f t="shared" ref="E24:P24" si="2">+$C$20*E$11</f>
        <v>390984295.27862471</v>
      </c>
      <c r="F24" s="95">
        <f t="shared" si="2"/>
        <v>98237007.328160673</v>
      </c>
      <c r="G24" s="95">
        <f t="shared" si="2"/>
        <v>108794241.72029366</v>
      </c>
      <c r="H24" s="95">
        <f t="shared" si="2"/>
        <v>68819201.592060238</v>
      </c>
      <c r="I24" s="95">
        <f t="shared" si="2"/>
        <v>47945624.787406042</v>
      </c>
      <c r="J24" s="95">
        <f t="shared" si="2"/>
        <v>137931.07182987354</v>
      </c>
      <c r="K24" s="95">
        <f t="shared" si="2"/>
        <v>3802765.3558878964</v>
      </c>
      <c r="L24" s="95">
        <f t="shared" si="2"/>
        <v>0</v>
      </c>
      <c r="M24" s="95">
        <f t="shared" si="2"/>
        <v>20351184.383600205</v>
      </c>
      <c r="N24" s="95">
        <f t="shared" si="2"/>
        <v>0</v>
      </c>
      <c r="O24" s="95">
        <f t="shared" si="2"/>
        <v>2443829.6187281515</v>
      </c>
      <c r="P24" s="95">
        <f t="shared" si="2"/>
        <v>252633.71518972571</v>
      </c>
    </row>
    <row r="25" spans="1:16" ht="12.75" customHeight="1" x14ac:dyDescent="0.2">
      <c r="A25" s="75">
        <f t="shared" si="0"/>
        <v>17</v>
      </c>
      <c r="B25" s="88" t="s">
        <v>98</v>
      </c>
      <c r="C25" s="83">
        <f>SUM(E25:P25)</f>
        <v>1239326066.1785138</v>
      </c>
      <c r="D25" s="85"/>
      <c r="E25" s="83">
        <f t="shared" ref="E25:P25" si="3">SUM(E23:E24)</f>
        <v>653245437.42999434</v>
      </c>
      <c r="F25" s="83">
        <f t="shared" si="3"/>
        <v>164131597.09692881</v>
      </c>
      <c r="G25" s="83">
        <f t="shared" si="3"/>
        <v>181770323.97629184</v>
      </c>
      <c r="H25" s="83">
        <f t="shared" si="3"/>
        <v>114981164.18090849</v>
      </c>
      <c r="I25" s="83">
        <f t="shared" si="3"/>
        <v>80106185.888576105</v>
      </c>
      <c r="J25" s="83">
        <f t="shared" si="3"/>
        <v>230451.31080900395</v>
      </c>
      <c r="K25" s="83">
        <f t="shared" si="3"/>
        <v>6353552.1716552842</v>
      </c>
      <c r="L25" s="83">
        <f t="shared" si="3"/>
        <v>0</v>
      </c>
      <c r="M25" s="83">
        <f t="shared" si="3"/>
        <v>34002179.896789812</v>
      </c>
      <c r="N25" s="83">
        <f t="shared" si="3"/>
        <v>0</v>
      </c>
      <c r="O25" s="83">
        <f t="shared" si="3"/>
        <v>4083081.0024039466</v>
      </c>
      <c r="P25" s="83">
        <f t="shared" si="3"/>
        <v>422093.22415641113</v>
      </c>
    </row>
    <row r="26" spans="1:16" ht="12.75" customHeight="1" x14ac:dyDescent="0.2">
      <c r="A26" s="75">
        <f t="shared" si="0"/>
        <v>18</v>
      </c>
      <c r="B26" s="76"/>
      <c r="C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</row>
    <row r="27" spans="1:16" s="85" customFormat="1" ht="12.75" customHeight="1" x14ac:dyDescent="0.2">
      <c r="A27" s="75">
        <f t="shared" si="0"/>
        <v>19</v>
      </c>
      <c r="B27" s="89" t="s">
        <v>99</v>
      </c>
    </row>
    <row r="28" spans="1:16" s="85" customFormat="1" ht="12.75" customHeight="1" x14ac:dyDescent="0.2">
      <c r="A28" s="75">
        <f t="shared" si="0"/>
        <v>20</v>
      </c>
      <c r="B28" s="89" t="s">
        <v>100</v>
      </c>
      <c r="C28" s="90">
        <f>SUM(E28:P28)</f>
        <v>0.89000099999999993</v>
      </c>
      <c r="D28" s="90"/>
      <c r="E28" s="90">
        <f t="shared" ref="E28:P28" si="4">ROUND(+$C$12*E9/$C$9,6)</f>
        <v>0.46365800000000001</v>
      </c>
      <c r="F28" s="90">
        <f t="shared" si="4"/>
        <v>0.11781</v>
      </c>
      <c r="G28" s="90">
        <f t="shared" si="4"/>
        <v>0.13101399999999999</v>
      </c>
      <c r="H28" s="90">
        <f t="shared" si="4"/>
        <v>8.4552000000000002E-2</v>
      </c>
      <c r="I28" s="90">
        <f t="shared" si="4"/>
        <v>5.8826000000000003E-2</v>
      </c>
      <c r="J28" s="90">
        <f t="shared" si="4"/>
        <v>1.8599999999999999E-4</v>
      </c>
      <c r="K28" s="90">
        <f t="shared" si="4"/>
        <v>5.1269999999999996E-3</v>
      </c>
      <c r="L28" s="90">
        <f t="shared" si="4"/>
        <v>0</v>
      </c>
      <c r="M28" s="90">
        <f t="shared" si="4"/>
        <v>2.5461999999999999E-2</v>
      </c>
      <c r="N28" s="90">
        <f t="shared" si="4"/>
        <v>0</v>
      </c>
      <c r="O28" s="90">
        <f t="shared" si="4"/>
        <v>3.0660000000000001E-3</v>
      </c>
      <c r="P28" s="90">
        <f t="shared" si="4"/>
        <v>2.9999999999999997E-4</v>
      </c>
    </row>
    <row r="29" spans="1:16" s="85" customFormat="1" ht="12.75" customHeight="1" x14ac:dyDescent="0.2">
      <c r="A29" s="75">
        <f t="shared" si="0"/>
        <v>21</v>
      </c>
      <c r="B29" s="89" t="s">
        <v>101</v>
      </c>
      <c r="C29" s="98">
        <f>SUM(E29:P29)</f>
        <v>0.10999999999999999</v>
      </c>
      <c r="D29" s="98"/>
      <c r="E29" s="98">
        <f>ROUND(+$C$13*E10/$C$10,6)-0.000001</f>
        <v>6.3438999999999995E-2</v>
      </c>
      <c r="F29" s="98">
        <f t="shared" ref="F29:P29" si="5">ROUND(+$C$13*F10/$C$10,6)</f>
        <v>1.4626E-2</v>
      </c>
      <c r="G29" s="98">
        <f t="shared" si="5"/>
        <v>1.5654999999999999E-2</v>
      </c>
      <c r="H29" s="98">
        <f t="shared" si="5"/>
        <v>8.2249999999999997E-3</v>
      </c>
      <c r="I29" s="98">
        <f t="shared" si="5"/>
        <v>5.8110000000000002E-3</v>
      </c>
      <c r="J29" s="98">
        <f t="shared" si="5"/>
        <v>0</v>
      </c>
      <c r="K29" s="98">
        <f t="shared" si="5"/>
        <v>0</v>
      </c>
      <c r="L29" s="98">
        <f t="shared" si="5"/>
        <v>0</v>
      </c>
      <c r="M29" s="98">
        <f t="shared" si="5"/>
        <v>1.9740000000000001E-3</v>
      </c>
      <c r="N29" s="98">
        <f t="shared" si="5"/>
        <v>0</v>
      </c>
      <c r="O29" s="98">
        <f t="shared" si="5"/>
        <v>2.2900000000000001E-4</v>
      </c>
      <c r="P29" s="98">
        <f t="shared" si="5"/>
        <v>4.1E-5</v>
      </c>
    </row>
    <row r="30" spans="1:16" s="85" customFormat="1" ht="12.75" customHeight="1" x14ac:dyDescent="0.2">
      <c r="A30" s="75">
        <f t="shared" si="0"/>
        <v>22</v>
      </c>
      <c r="B30" s="89" t="s">
        <v>102</v>
      </c>
      <c r="C30" s="90">
        <f>SUM(E30:P30)</f>
        <v>1.0000010000000001</v>
      </c>
      <c r="E30" s="90">
        <f t="shared" ref="E30:P30" si="6">SUM(E28:E29)</f>
        <v>0.52709700000000004</v>
      </c>
      <c r="F30" s="90">
        <f t="shared" si="6"/>
        <v>0.132436</v>
      </c>
      <c r="G30" s="90">
        <f t="shared" si="6"/>
        <v>0.14666899999999999</v>
      </c>
      <c r="H30" s="90">
        <f t="shared" si="6"/>
        <v>9.2776999999999998E-2</v>
      </c>
      <c r="I30" s="90">
        <f t="shared" si="6"/>
        <v>6.4637E-2</v>
      </c>
      <c r="J30" s="90">
        <f t="shared" si="6"/>
        <v>1.8599999999999999E-4</v>
      </c>
      <c r="K30" s="90">
        <f t="shared" si="6"/>
        <v>5.1269999999999996E-3</v>
      </c>
      <c r="L30" s="90">
        <f t="shared" si="6"/>
        <v>0</v>
      </c>
      <c r="M30" s="90">
        <f t="shared" si="6"/>
        <v>2.7435999999999999E-2</v>
      </c>
      <c r="N30" s="90">
        <f t="shared" si="6"/>
        <v>0</v>
      </c>
      <c r="O30" s="90">
        <f t="shared" si="6"/>
        <v>3.2950000000000002E-3</v>
      </c>
      <c r="P30" s="90">
        <f t="shared" si="6"/>
        <v>3.4099999999999999E-4</v>
      </c>
    </row>
    <row r="31" spans="1:16" s="85" customFormat="1" x14ac:dyDescent="0.2">
      <c r="A31" s="75"/>
    </row>
    <row r="32" spans="1:16" x14ac:dyDescent="0.2">
      <c r="A32" s="91"/>
    </row>
    <row r="33" spans="1:1" x14ac:dyDescent="0.2">
      <c r="A33" s="91"/>
    </row>
    <row r="34" spans="1:1" x14ac:dyDescent="0.2">
      <c r="A34" s="91"/>
    </row>
    <row r="35" spans="1:1" x14ac:dyDescent="0.2">
      <c r="A35" s="91"/>
    </row>
    <row r="36" spans="1:1" x14ac:dyDescent="0.2">
      <c r="A36" s="91"/>
    </row>
    <row r="37" spans="1:1" x14ac:dyDescent="0.2">
      <c r="A37" s="91"/>
    </row>
    <row r="38" spans="1:1" x14ac:dyDescent="0.2">
      <c r="A38" s="91"/>
    </row>
    <row r="39" spans="1:1" x14ac:dyDescent="0.2">
      <c r="A39" s="91"/>
    </row>
    <row r="40" spans="1:1" x14ac:dyDescent="0.2">
      <c r="A40" s="91"/>
    </row>
    <row r="41" spans="1:1" x14ac:dyDescent="0.2">
      <c r="A41" s="91"/>
    </row>
    <row r="42" spans="1:1" x14ac:dyDescent="0.2">
      <c r="A42" s="91"/>
    </row>
    <row r="43" spans="1:1" x14ac:dyDescent="0.2">
      <c r="A43" s="91"/>
    </row>
    <row r="44" spans="1:1" x14ac:dyDescent="0.2">
      <c r="A44" s="91"/>
    </row>
    <row r="45" spans="1:1" x14ac:dyDescent="0.2">
      <c r="A45" s="91"/>
    </row>
    <row r="46" spans="1:1" x14ac:dyDescent="0.2">
      <c r="A46" s="91"/>
    </row>
    <row r="47" spans="1:1" x14ac:dyDescent="0.2">
      <c r="A47" s="91"/>
    </row>
  </sheetData>
  <mergeCells count="4">
    <mergeCell ref="A1:P1"/>
    <mergeCell ref="A2:P2"/>
    <mergeCell ref="A3:P3"/>
    <mergeCell ref="A4:P4"/>
  </mergeCells>
  <printOptions horizontalCentered="1"/>
  <pageMargins left="0.5" right="0.5" top="0.57999999999999996" bottom="0.72" header="0.22" footer="0.46"/>
  <pageSetup scale="49" pageOrder="overThenDown" orientation="landscape" blackAndWhite="1" r:id="rId1"/>
  <headerFooter alignWithMargins="0">
    <oddFooter>&amp;L&amp;F
&amp;A&amp;C&amp;P&amp;R&amp;D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1"/>
  <sheetViews>
    <sheetView topLeftCell="A26" workbookViewId="0">
      <selection activeCell="F39" sqref="F39:G40"/>
    </sheetView>
  </sheetViews>
  <sheetFormatPr defaultColWidth="9.140625" defaultRowHeight="14.25" x14ac:dyDescent="0.2"/>
  <cols>
    <col min="1" max="1" width="7.42578125" style="120" customWidth="1"/>
    <col min="2" max="2" width="43" style="120" customWidth="1"/>
    <col min="3" max="3" width="16.85546875" style="120" bestFit="1" customWidth="1"/>
    <col min="4" max="4" width="13.28515625" style="120" bestFit="1" customWidth="1"/>
    <col min="5" max="5" width="5" style="120" bestFit="1" customWidth="1"/>
    <col min="6" max="6" width="15.7109375" style="120" bestFit="1" customWidth="1"/>
    <col min="7" max="7" width="13.5703125" style="120" bestFit="1" customWidth="1"/>
    <col min="8" max="8" width="5.5703125" style="120" customWidth="1"/>
    <col min="9" max="9" width="5.42578125" style="120" customWidth="1"/>
    <col min="10" max="10" width="32.28515625" style="121" customWidth="1"/>
    <col min="11" max="11" width="16.85546875" style="121" bestFit="1" customWidth="1"/>
    <col min="12" max="12" width="14" style="122" bestFit="1" customWidth="1"/>
    <col min="13" max="13" width="6" style="122" bestFit="1" customWidth="1"/>
    <col min="14" max="14" width="15.140625" style="120" bestFit="1" customWidth="1"/>
    <col min="15" max="15" width="16.85546875" style="120" bestFit="1" customWidth="1"/>
    <col min="16" max="16" width="14.5703125" style="120" bestFit="1" customWidth="1"/>
    <col min="17" max="16384" width="9.140625" style="120"/>
  </cols>
  <sheetData>
    <row r="1" spans="1:16" ht="20.25" x14ac:dyDescent="0.3">
      <c r="A1" s="119" t="s">
        <v>119</v>
      </c>
    </row>
    <row r="2" spans="1:16" ht="20.25" x14ac:dyDescent="0.3">
      <c r="A2" s="119" t="s">
        <v>120</v>
      </c>
    </row>
    <row r="3" spans="1:16" ht="13.9" customHeight="1" x14ac:dyDescent="0.3">
      <c r="A3" s="123"/>
    </row>
    <row r="4" spans="1:16" x14ac:dyDescent="0.2">
      <c r="A4" s="124"/>
    </row>
    <row r="5" spans="1:16" ht="15" x14ac:dyDescent="0.25">
      <c r="A5" s="124" t="s">
        <v>121</v>
      </c>
      <c r="C5" s="125" t="s">
        <v>122</v>
      </c>
    </row>
    <row r="6" spans="1:16" x14ac:dyDescent="0.2">
      <c r="A6" s="126">
        <v>3</v>
      </c>
      <c r="B6" s="120" t="s">
        <v>123</v>
      </c>
      <c r="C6" s="127">
        <f>+'[55]Electric Adj'!$AU$31+'[56]Unprotected DFIT Lead'!G9</f>
        <v>150405447.91445902</v>
      </c>
    </row>
    <row r="7" spans="1:16" x14ac:dyDescent="0.2">
      <c r="A7" s="126">
        <v>4</v>
      </c>
      <c r="B7" s="120" t="s">
        <v>124</v>
      </c>
      <c r="C7" s="128">
        <f>+'[56]Trans 12-2018'!G66</f>
        <v>79202112.316321075</v>
      </c>
    </row>
    <row r="8" spans="1:16" ht="15" thickBot="1" x14ac:dyDescent="0.25">
      <c r="A8" s="126">
        <v>5</v>
      </c>
      <c r="B8" s="120" t="s">
        <v>125</v>
      </c>
      <c r="C8" s="128">
        <f>+'[56]Rate Base Summarized'!G14</f>
        <v>1693438871.8557312</v>
      </c>
    </row>
    <row r="9" spans="1:16" ht="15" x14ac:dyDescent="0.25">
      <c r="A9" s="126">
        <f>+A8+1</f>
        <v>6</v>
      </c>
      <c r="C9" s="129">
        <f>SUM(C6:C8)</f>
        <v>1923046432.0865114</v>
      </c>
      <c r="J9" s="130" t="s">
        <v>126</v>
      </c>
      <c r="K9" s="131"/>
      <c r="L9" s="132"/>
      <c r="M9" s="133"/>
    </row>
    <row r="10" spans="1:16" ht="15" x14ac:dyDescent="0.25">
      <c r="A10" s="126">
        <f>+A9+1</f>
        <v>7</v>
      </c>
      <c r="B10" s="134" t="s">
        <v>127</v>
      </c>
      <c r="C10" s="135">
        <f>+'[55]COC, Def, ConvF'!$H$18</f>
        <v>7.0199999999999999E-2</v>
      </c>
      <c r="D10" s="136"/>
      <c r="E10" s="136"/>
      <c r="F10" s="137" t="s">
        <v>128</v>
      </c>
      <c r="G10" s="137" t="s">
        <v>129</v>
      </c>
      <c r="J10" s="138"/>
      <c r="K10" s="139"/>
      <c r="L10" s="140"/>
      <c r="M10" s="141"/>
    </row>
    <row r="11" spans="1:16" ht="15" x14ac:dyDescent="0.25">
      <c r="A11" s="126">
        <f>+A10+1</f>
        <v>8</v>
      </c>
      <c r="B11" s="134"/>
      <c r="C11" s="142"/>
      <c r="D11" s="143" t="s">
        <v>130</v>
      </c>
      <c r="E11" s="143"/>
      <c r="F11" s="137" t="s">
        <v>131</v>
      </c>
      <c r="G11" s="137" t="s">
        <v>131</v>
      </c>
      <c r="J11" s="138" t="s">
        <v>132</v>
      </c>
      <c r="K11" s="140"/>
      <c r="L11" s="140"/>
      <c r="M11" s="141"/>
    </row>
    <row r="12" spans="1:16" ht="15" x14ac:dyDescent="0.25">
      <c r="A12" s="126">
        <f>+A11+1</f>
        <v>9</v>
      </c>
      <c r="B12" s="134"/>
      <c r="C12" s="142"/>
      <c r="D12" s="144" t="s">
        <v>133</v>
      </c>
      <c r="E12" s="144"/>
      <c r="F12" s="145" t="s">
        <v>134</v>
      </c>
      <c r="G12" s="145" t="s">
        <v>135</v>
      </c>
      <c r="J12" s="138" t="s">
        <v>136</v>
      </c>
      <c r="K12" s="146" t="s">
        <v>137</v>
      </c>
      <c r="L12" s="146" t="s">
        <v>138</v>
      </c>
      <c r="M12" s="147" t="s">
        <v>139</v>
      </c>
    </row>
    <row r="13" spans="1:16" x14ac:dyDescent="0.2">
      <c r="A13" s="126" t="s">
        <v>140</v>
      </c>
      <c r="B13" s="134"/>
      <c r="C13" s="143" t="s">
        <v>141</v>
      </c>
      <c r="D13" s="148" t="s">
        <v>142</v>
      </c>
      <c r="E13" s="148" t="s">
        <v>143</v>
      </c>
      <c r="F13" s="148" t="s">
        <v>144</v>
      </c>
      <c r="G13" s="148" t="s">
        <v>145</v>
      </c>
      <c r="J13" s="149" t="s">
        <v>146</v>
      </c>
      <c r="K13" s="150">
        <f>SUM(C15,C18:C20,C25:C27,C30)</f>
        <v>734216998.04889345</v>
      </c>
      <c r="L13" s="151">
        <f>[55]Summary!$I$27-[55]Summary!$I$16</f>
        <v>734216998.04889345</v>
      </c>
      <c r="M13" s="152">
        <f>+K13-L13</f>
        <v>0</v>
      </c>
    </row>
    <row r="14" spans="1:16" x14ac:dyDescent="0.2">
      <c r="A14" s="153">
        <v>10</v>
      </c>
      <c r="B14" s="154" t="s">
        <v>147</v>
      </c>
      <c r="C14" s="155">
        <f>(C6*C$10/0.79)</f>
        <v>13365142.333664587</v>
      </c>
      <c r="D14" s="156">
        <f t="shared" ref="D14:D35" si="0">C14/$C$39</f>
        <v>0.65185300142285396</v>
      </c>
      <c r="E14" s="157" t="s">
        <v>148</v>
      </c>
      <c r="F14" s="155">
        <f>+C14</f>
        <v>13365142.333664587</v>
      </c>
      <c r="G14" s="155"/>
      <c r="J14" s="158"/>
      <c r="K14" s="139"/>
      <c r="L14" s="140"/>
      <c r="M14" s="141"/>
      <c r="O14" s="159"/>
    </row>
    <row r="15" spans="1:16" ht="15" x14ac:dyDescent="0.25">
      <c r="A15" s="153" t="s">
        <v>149</v>
      </c>
      <c r="B15" s="154" t="s">
        <v>150</v>
      </c>
      <c r="C15" s="160">
        <f>'[57]Power Cost Bridge to A-1'!$J$27</f>
        <v>4733258.1026060628</v>
      </c>
      <c r="D15" s="156">
        <f t="shared" si="0"/>
        <v>0.23085339636984042</v>
      </c>
      <c r="E15" s="157" t="s">
        <v>151</v>
      </c>
      <c r="F15" s="160"/>
      <c r="G15" s="160">
        <f>+C15</f>
        <v>4733258.1026060628</v>
      </c>
      <c r="J15" s="161" t="s">
        <v>152</v>
      </c>
      <c r="K15" s="162" t="s">
        <v>153</v>
      </c>
      <c r="L15" s="146" t="s">
        <v>138</v>
      </c>
      <c r="M15" s="163"/>
      <c r="N15" s="164"/>
      <c r="O15" s="165"/>
      <c r="P15" s="166"/>
    </row>
    <row r="16" spans="1:16" x14ac:dyDescent="0.2">
      <c r="A16" s="153">
        <v>11</v>
      </c>
      <c r="B16" s="167" t="s">
        <v>154</v>
      </c>
      <c r="C16" s="160">
        <f>(C7*$C$10/0.79)</f>
        <v>7037959.8539313152</v>
      </c>
      <c r="D16" s="156">
        <f t="shared" si="0"/>
        <v>0.3432597379171175</v>
      </c>
      <c r="E16" s="157" t="s">
        <v>148</v>
      </c>
      <c r="F16" s="160">
        <f>+C16</f>
        <v>7037959.8539313152</v>
      </c>
      <c r="G16" s="160"/>
      <c r="J16" s="168" t="s">
        <v>155</v>
      </c>
      <c r="K16" s="169">
        <f>SUM('[57]Power Cost Bridge to A-1'!$J$15:$J$17)+'[57]Power Cost Bridge to A-1'!$J$27</f>
        <v>446440196.55959803</v>
      </c>
      <c r="L16" s="140"/>
      <c r="M16" s="141"/>
      <c r="N16" s="166"/>
    </row>
    <row r="17" spans="1:13" x14ac:dyDescent="0.2">
      <c r="A17" s="153">
        <v>12</v>
      </c>
      <c r="B17" s="167" t="s">
        <v>156</v>
      </c>
      <c r="C17" s="160">
        <f>(C8*$C$10/0.79)</f>
        <v>150480264.30920547</v>
      </c>
      <c r="D17" s="156">
        <f t="shared" si="0"/>
        <v>7.3393166713821589</v>
      </c>
      <c r="E17" s="157" t="s">
        <v>148</v>
      </c>
      <c r="F17" s="160">
        <f>+C17</f>
        <v>150480264.30920547</v>
      </c>
      <c r="G17" s="160"/>
      <c r="J17" s="168" t="s">
        <v>157</v>
      </c>
      <c r="K17" s="169">
        <f>SUM('[57]Power Cost Bridge to A-1'!$J$13:$J$14)</f>
        <v>180672605.83404738</v>
      </c>
      <c r="L17" s="140"/>
      <c r="M17" s="141"/>
    </row>
    <row r="18" spans="1:13" x14ac:dyDescent="0.2">
      <c r="A18" s="153">
        <v>13</v>
      </c>
      <c r="B18" s="167" t="s">
        <v>158</v>
      </c>
      <c r="C18" s="160">
        <f>'[57]Power Cost Bridge to A-1'!$J$13</f>
        <v>37464673.568808615</v>
      </c>
      <c r="D18" s="156">
        <f t="shared" si="0"/>
        <v>1.8272502681577685</v>
      </c>
      <c r="E18" s="157" t="s">
        <v>151</v>
      </c>
      <c r="F18" s="160"/>
      <c r="G18" s="160">
        <f>+C18</f>
        <v>37464673.568808615</v>
      </c>
      <c r="J18" s="168" t="s">
        <v>159</v>
      </c>
      <c r="K18" s="169">
        <f>SUM('[57]Power Cost Bridge to A-1'!$J$18)</f>
        <v>112334321.32462588</v>
      </c>
      <c r="L18" s="140"/>
      <c r="M18" s="141"/>
    </row>
    <row r="19" spans="1:13" x14ac:dyDescent="0.2">
      <c r="A19" s="153">
        <v>14</v>
      </c>
      <c r="B19" s="167" t="s">
        <v>160</v>
      </c>
      <c r="C19" s="160">
        <f>'[57]Power Cost Bridge to A-1'!$J$15</f>
        <v>433447888.18948001</v>
      </c>
      <c r="D19" s="156">
        <f t="shared" si="0"/>
        <v>21.140388917896345</v>
      </c>
      <c r="E19" s="157" t="s">
        <v>151</v>
      </c>
      <c r="F19" s="160"/>
      <c r="G19" s="160">
        <f>+C19</f>
        <v>433447888.18948001</v>
      </c>
      <c r="J19" s="168" t="s">
        <v>161</v>
      </c>
      <c r="K19" s="169">
        <f>SUM('[57]Power Cost Bridge to A-1'!$J$19)</f>
        <v>-5469488.0226492053</v>
      </c>
      <c r="L19" s="140"/>
      <c r="M19" s="141"/>
    </row>
    <row r="20" spans="1:13" x14ac:dyDescent="0.2">
      <c r="A20" s="153">
        <v>15</v>
      </c>
      <c r="B20" s="167" t="s">
        <v>162</v>
      </c>
      <c r="C20" s="160">
        <f>'[57]Power Cost Bridge to A-1'!$J$16+'[56]For Prod Adj Expense'!H9</f>
        <v>8072158.7332714284</v>
      </c>
      <c r="D20" s="156">
        <f t="shared" si="0"/>
        <v>0.39370032633254676</v>
      </c>
      <c r="E20" s="157" t="s">
        <v>148</v>
      </c>
      <c r="F20" s="160">
        <f>+C20</f>
        <v>8072158.7332714284</v>
      </c>
      <c r="G20" s="160"/>
      <c r="J20" s="168" t="s">
        <v>163</v>
      </c>
      <c r="K20" s="169">
        <f>+'[57]Power Cost Bridge to A-1'!$J$20</f>
        <v>-21415123.754653782</v>
      </c>
      <c r="L20" s="140"/>
      <c r="M20" s="141"/>
    </row>
    <row r="21" spans="1:13" x14ac:dyDescent="0.2">
      <c r="A21" s="153" t="s">
        <v>164</v>
      </c>
      <c r="B21" s="170" t="s">
        <v>165</v>
      </c>
      <c r="C21" s="160">
        <f>'[56]For Prod Adj Expense'!H14</f>
        <v>8840460.579817621</v>
      </c>
      <c r="D21" s="156">
        <f t="shared" si="0"/>
        <v>0.43117241994492633</v>
      </c>
      <c r="E21" s="157" t="s">
        <v>148</v>
      </c>
      <c r="F21" s="160">
        <f>+C21</f>
        <v>8840460.579817621</v>
      </c>
      <c r="G21" s="160"/>
      <c r="J21" s="168" t="s">
        <v>166</v>
      </c>
      <c r="K21" s="169">
        <f>SUM('[57]Power Cost Bridge to A-1'!$J$24)</f>
        <v>108520132.47835678</v>
      </c>
      <c r="L21" s="140"/>
      <c r="M21" s="141"/>
    </row>
    <row r="22" spans="1:13" x14ac:dyDescent="0.2">
      <c r="A22" s="153" t="s">
        <v>167</v>
      </c>
      <c r="B22" s="170" t="s">
        <v>168</v>
      </c>
      <c r="C22" s="160">
        <f>'[56]For Prod Adj Expense'!H19</f>
        <v>3895439.2738404199</v>
      </c>
      <c r="D22" s="156">
        <f t="shared" si="0"/>
        <v>0.18999077743582118</v>
      </c>
      <c r="E22" s="157" t="s">
        <v>148</v>
      </c>
      <c r="F22" s="160">
        <f>+C22</f>
        <v>3895439.2738404199</v>
      </c>
      <c r="G22" s="160"/>
      <c r="J22" s="168" t="s">
        <v>169</v>
      </c>
      <c r="K22" s="169">
        <f>SUM('[57]Power Cost Bridge to A-1'!$J$25)</f>
        <v>876514.03</v>
      </c>
      <c r="L22" s="140"/>
      <c r="M22" s="141"/>
    </row>
    <row r="23" spans="1:13" x14ac:dyDescent="0.2">
      <c r="A23" s="153" t="s">
        <v>170</v>
      </c>
      <c r="B23" s="170" t="s">
        <v>171</v>
      </c>
      <c r="C23" s="160">
        <f>+'[55]Electric Adj'!$O$19</f>
        <v>777635.66528346541</v>
      </c>
      <c r="D23" s="156">
        <f t="shared" si="0"/>
        <v>3.7927328402008624E-2</v>
      </c>
      <c r="E23" s="157" t="s">
        <v>151</v>
      </c>
      <c r="F23" s="160"/>
      <c r="G23" s="160">
        <f>+C23</f>
        <v>777635.66528346541</v>
      </c>
      <c r="J23" s="168" t="s">
        <v>172</v>
      </c>
      <c r="K23" s="169">
        <f>+'[57]Power Cost Bridge to A-1'!$J$26</f>
        <v>-8666881.7085096519</v>
      </c>
      <c r="L23" s="140"/>
      <c r="M23" s="147" t="s">
        <v>139</v>
      </c>
    </row>
    <row r="24" spans="1:13" x14ac:dyDescent="0.2">
      <c r="A24" s="153" t="s">
        <v>173</v>
      </c>
      <c r="B24" s="170" t="s">
        <v>174</v>
      </c>
      <c r="C24" s="160">
        <f>'[56]For Prod Adj Expense'!H18</f>
        <v>1989467.6013443223</v>
      </c>
      <c r="D24" s="156">
        <f t="shared" si="0"/>
        <v>9.7031546301104138E-2</v>
      </c>
      <c r="E24" s="157" t="s">
        <v>148</v>
      </c>
      <c r="F24" s="160">
        <f>+C24</f>
        <v>1989467.6013443223</v>
      </c>
      <c r="G24" s="160"/>
      <c r="J24" s="168" t="s">
        <v>175</v>
      </c>
      <c r="K24" s="171">
        <f>SUM(K16:K23)</f>
        <v>813292276.7408154</v>
      </c>
      <c r="L24" s="171">
        <f>+'[57]Power Cost Bridge to A-1'!$J$28</f>
        <v>813292276.7408154</v>
      </c>
      <c r="M24" s="152">
        <f>+K24-L24</f>
        <v>0</v>
      </c>
    </row>
    <row r="25" spans="1:13" x14ac:dyDescent="0.2">
      <c r="A25" s="153" t="s">
        <v>176</v>
      </c>
      <c r="B25" s="170" t="s">
        <v>177</v>
      </c>
      <c r="C25" s="160">
        <f>+'[57]Power Cost Bridge to A-1'!$J$17</f>
        <v>426253.88751197996</v>
      </c>
      <c r="D25" s="156">
        <f t="shared" si="0"/>
        <v>2.0789518660266949E-2</v>
      </c>
      <c r="E25" s="157" t="s">
        <v>151</v>
      </c>
      <c r="F25" s="160"/>
      <c r="G25" s="160">
        <f>+C25</f>
        <v>426253.88751197996</v>
      </c>
      <c r="J25" s="168" t="s">
        <v>178</v>
      </c>
      <c r="K25" s="169">
        <f>-K20</f>
        <v>21415123.754653782</v>
      </c>
      <c r="L25" s="140"/>
      <c r="M25" s="141"/>
    </row>
    <row r="26" spans="1:13" x14ac:dyDescent="0.2">
      <c r="A26" s="153">
        <v>16</v>
      </c>
      <c r="B26" s="167" t="s">
        <v>179</v>
      </c>
      <c r="C26" s="160">
        <f>+'[57]Power Cost Bridge to A-1'!$J$14</f>
        <v>143207932.26523876</v>
      </c>
      <c r="D26" s="156">
        <f t="shared" si="0"/>
        <v>6.9846259878222252</v>
      </c>
      <c r="E26" s="157" t="s">
        <v>151</v>
      </c>
      <c r="F26" s="160"/>
      <c r="G26" s="160">
        <f>+C26</f>
        <v>143207932.26523876</v>
      </c>
      <c r="J26" s="168" t="s">
        <v>180</v>
      </c>
      <c r="K26" s="169">
        <f>-K21</f>
        <v>-108520132.47835678</v>
      </c>
      <c r="L26" s="169"/>
      <c r="M26" s="141"/>
    </row>
    <row r="27" spans="1:13" x14ac:dyDescent="0.2">
      <c r="A27" s="153">
        <v>17</v>
      </c>
      <c r="B27" s="167" t="s">
        <v>181</v>
      </c>
      <c r="C27" s="160">
        <f>'[57]Power Cost Bridge to A-1'!$J$18</f>
        <v>112334321.32462588</v>
      </c>
      <c r="D27" s="156">
        <f t="shared" si="0"/>
        <v>5.4788391092411963</v>
      </c>
      <c r="E27" s="157" t="s">
        <v>151</v>
      </c>
      <c r="F27" s="160"/>
      <c r="G27" s="160">
        <f>+C27</f>
        <v>112334321.32462588</v>
      </c>
      <c r="J27" s="168" t="s">
        <v>182</v>
      </c>
      <c r="K27" s="169">
        <f>-K22</f>
        <v>-876514.03</v>
      </c>
      <c r="L27" s="169"/>
      <c r="M27" s="141"/>
    </row>
    <row r="28" spans="1:13" x14ac:dyDescent="0.2">
      <c r="A28" s="153">
        <v>18</v>
      </c>
      <c r="B28" s="167" t="s">
        <v>183</v>
      </c>
      <c r="C28" s="160">
        <f>+'[57]Power Cost Bridge to A-1'!$J$26</f>
        <v>-8666881.7085096519</v>
      </c>
      <c r="D28" s="156">
        <f t="shared" si="0"/>
        <v>-0.42270652370372508</v>
      </c>
      <c r="E28" s="157" t="s">
        <v>148</v>
      </c>
      <c r="F28" s="160">
        <f>+C28</f>
        <v>-8666881.7085096519</v>
      </c>
      <c r="G28" s="160"/>
      <c r="J28" s="168" t="s">
        <v>184</v>
      </c>
      <c r="K28" s="169">
        <f>-K23</f>
        <v>8666881.7085096519</v>
      </c>
      <c r="L28" s="140"/>
      <c r="M28" s="141"/>
    </row>
    <row r="29" spans="1:13" x14ac:dyDescent="0.2">
      <c r="A29" s="153">
        <v>19</v>
      </c>
      <c r="B29" s="167" t="s">
        <v>166</v>
      </c>
      <c r="C29" s="160">
        <f>+[55]Summary!$G$29</f>
        <v>109175792.16812748</v>
      </c>
      <c r="D29" s="156">
        <f t="shared" si="0"/>
        <v>5.3247893685542556</v>
      </c>
      <c r="E29" s="157" t="s">
        <v>148</v>
      </c>
      <c r="F29" s="160">
        <f>+C29</f>
        <v>109175792.16812748</v>
      </c>
      <c r="G29" s="160"/>
      <c r="J29" s="168" t="s">
        <v>185</v>
      </c>
      <c r="K29" s="169">
        <f>SUM('[55]Detailed Summary'!$K$24,'[55]Detailed Summary'!$R$24,'[55]Detailed Summary'!$AN$24)</f>
        <v>239362.3532714289</v>
      </c>
      <c r="L29" s="169"/>
      <c r="M29" s="147" t="s">
        <v>139</v>
      </c>
    </row>
    <row r="30" spans="1:13" x14ac:dyDescent="0.2">
      <c r="A30" s="153">
        <v>20</v>
      </c>
      <c r="B30" s="167" t="s">
        <v>186</v>
      </c>
      <c r="C30" s="160">
        <f>-[55]Summary!$G$16</f>
        <v>-5469488.0226491988</v>
      </c>
      <c r="D30" s="156">
        <f t="shared" si="0"/>
        <v>-0.26676125811468715</v>
      </c>
      <c r="E30" s="157" t="s">
        <v>151</v>
      </c>
      <c r="F30" s="160"/>
      <c r="G30" s="160">
        <f>+C30</f>
        <v>-5469488.0226491988</v>
      </c>
      <c r="J30" s="158"/>
      <c r="K30" s="150">
        <f>SUM(K24:K29)</f>
        <v>734216998.04889369</v>
      </c>
      <c r="L30" s="172">
        <f>+L13</f>
        <v>734216998.04889345</v>
      </c>
      <c r="M30" s="152">
        <f>+K30-L30</f>
        <v>0</v>
      </c>
    </row>
    <row r="31" spans="1:13" x14ac:dyDescent="0.2">
      <c r="A31" s="153">
        <v>21</v>
      </c>
      <c r="B31" s="173" t="s">
        <v>187</v>
      </c>
      <c r="C31" s="160">
        <f>'[57]Power Cost Bridge to A-1'!$J$20</f>
        <v>-21415123.754653782</v>
      </c>
      <c r="D31" s="156">
        <f t="shared" si="0"/>
        <v>-1.0444716821422257</v>
      </c>
      <c r="E31" s="157" t="s">
        <v>151</v>
      </c>
      <c r="F31" s="160"/>
      <c r="G31" s="160">
        <f>+C31</f>
        <v>-21415123.754653782</v>
      </c>
      <c r="J31" s="158"/>
      <c r="K31" s="139"/>
      <c r="L31" s="140"/>
      <c r="M31" s="141"/>
    </row>
    <row r="32" spans="1:13" ht="15" x14ac:dyDescent="0.25">
      <c r="A32" s="153">
        <v>22</v>
      </c>
      <c r="B32" s="167" t="s">
        <v>169</v>
      </c>
      <c r="C32" s="160">
        <f>'[57]Power Cost Bridge to A-1'!$J$25</f>
        <v>876514.03</v>
      </c>
      <c r="D32" s="156">
        <f t="shared" si="0"/>
        <v>4.274988525977641E-2</v>
      </c>
      <c r="E32" s="157" t="s">
        <v>148</v>
      </c>
      <c r="F32" s="160">
        <f>+C32</f>
        <v>876514.03</v>
      </c>
      <c r="G32" s="160"/>
      <c r="J32" s="138" t="s">
        <v>188</v>
      </c>
      <c r="K32" s="139"/>
      <c r="L32" s="169"/>
      <c r="M32" s="141"/>
    </row>
    <row r="33" spans="1:13" x14ac:dyDescent="0.2">
      <c r="A33" s="153">
        <v>23</v>
      </c>
      <c r="B33" s="174" t="s">
        <v>189</v>
      </c>
      <c r="C33" s="160">
        <f>'[56]For Prod Adj Expense'!C43</f>
        <v>169567639.20922089</v>
      </c>
      <c r="D33" s="156">
        <f t="shared" si="0"/>
        <v>8.2702579443769508</v>
      </c>
      <c r="E33" s="157" t="s">
        <v>148</v>
      </c>
      <c r="F33" s="160">
        <f>+C33</f>
        <v>169567639.20922089</v>
      </c>
      <c r="G33" s="160"/>
      <c r="J33" s="168" t="s">
        <v>190</v>
      </c>
      <c r="K33" s="169">
        <f>+K21</f>
        <v>108520132.47835678</v>
      </c>
      <c r="L33" s="169"/>
      <c r="M33" s="141"/>
    </row>
    <row r="34" spans="1:13" x14ac:dyDescent="0.2">
      <c r="A34" s="153">
        <v>24</v>
      </c>
      <c r="B34" s="174" t="s">
        <v>191</v>
      </c>
      <c r="C34" s="160">
        <f>+'[56]Trans 12-2018'!I66</f>
        <v>3531950.8300239993</v>
      </c>
      <c r="D34" s="156">
        <f t="shared" si="0"/>
        <v>0.17226249387781967</v>
      </c>
      <c r="E34" s="157" t="s">
        <v>148</v>
      </c>
      <c r="F34" s="160">
        <f>+C34</f>
        <v>3531950.8300239993</v>
      </c>
      <c r="G34" s="160"/>
      <c r="J34" s="168" t="s">
        <v>192</v>
      </c>
      <c r="K34" s="169">
        <f>SUM('[55]Detailed Summary'!$K$29,'[55]Detailed Summary'!$R$29,'[55]Detailed Summary'!$AN$29)</f>
        <v>655659.68977071228</v>
      </c>
      <c r="L34" s="169"/>
      <c r="M34" s="147" t="s">
        <v>139</v>
      </c>
    </row>
    <row r="35" spans="1:13" x14ac:dyDescent="0.2">
      <c r="A35" s="153">
        <v>25</v>
      </c>
      <c r="B35" s="174" t="s">
        <v>193</v>
      </c>
      <c r="C35" s="160">
        <f>D54+'[56]Unprotected DFIT Lead'!G13</f>
        <v>5068352.99318753</v>
      </c>
      <c r="D35" s="156">
        <f t="shared" si="0"/>
        <v>0.24719685196004362</v>
      </c>
      <c r="E35" s="157" t="s">
        <v>148</v>
      </c>
      <c r="F35" s="160">
        <f>+C35</f>
        <v>5068352.99318753</v>
      </c>
      <c r="G35" s="160"/>
      <c r="H35" s="122"/>
      <c r="J35" s="168"/>
      <c r="K35" s="150">
        <f>SUM(K33:K34)</f>
        <v>109175792.16812749</v>
      </c>
      <c r="L35" s="150">
        <f>+'[55]Detailed Summary'!$BK$29</f>
        <v>109175792.16812748</v>
      </c>
      <c r="M35" s="152">
        <f>+K35-L35</f>
        <v>0</v>
      </c>
    </row>
    <row r="36" spans="1:13" ht="15" thickBot="1" x14ac:dyDescent="0.25">
      <c r="A36" s="153">
        <v>27</v>
      </c>
      <c r="B36" s="175" t="s">
        <v>194</v>
      </c>
      <c r="C36" s="176">
        <f>SUM(C14:C35)</f>
        <v>1178741611.433377</v>
      </c>
      <c r="D36" s="177">
        <f>SUM(D14:D35)</f>
        <v>57.490316087354387</v>
      </c>
      <c r="E36" s="178"/>
      <c r="F36" s="179">
        <f>SUM(F14:F35)</f>
        <v>473234260.20712543</v>
      </c>
      <c r="G36" s="179">
        <f>SUM(G14:G35)</f>
        <v>705507351.22625172</v>
      </c>
      <c r="H36" s="180">
        <f>SUM(F36:G36)-C36</f>
        <v>0</v>
      </c>
      <c r="I36" s="181"/>
      <c r="J36" s="168"/>
      <c r="K36" s="139"/>
      <c r="L36" s="169"/>
      <c r="M36" s="141"/>
    </row>
    <row r="37" spans="1:13" ht="15" x14ac:dyDescent="0.25">
      <c r="A37" s="153">
        <v>28</v>
      </c>
      <c r="B37" s="167" t="s">
        <v>195</v>
      </c>
      <c r="C37" s="182">
        <f>'[55]COC, Def, ConvF'!$M$18</f>
        <v>0.95111500000000004</v>
      </c>
      <c r="D37" s="183"/>
      <c r="E37" s="183"/>
      <c r="F37" s="184">
        <f>+C37</f>
        <v>0.95111500000000004</v>
      </c>
      <c r="G37" s="184">
        <f>+C37</f>
        <v>0.95111500000000004</v>
      </c>
      <c r="H37" s="122"/>
      <c r="J37" s="138" t="s">
        <v>196</v>
      </c>
      <c r="K37" s="139"/>
      <c r="L37" s="140"/>
      <c r="M37" s="141"/>
    </row>
    <row r="38" spans="1:13" x14ac:dyDescent="0.2">
      <c r="A38" s="153">
        <v>29</v>
      </c>
      <c r="B38" s="167" t="s">
        <v>197</v>
      </c>
      <c r="C38" s="185">
        <f>+C36/C37</f>
        <v>1239326066.1785135</v>
      </c>
      <c r="D38" s="160"/>
      <c r="E38" s="160"/>
      <c r="F38" s="185">
        <f>+F36/F37</f>
        <v>497557351.32673275</v>
      </c>
      <c r="G38" s="185">
        <f>+G36/G37</f>
        <v>741768714.85178101</v>
      </c>
      <c r="H38" s="180">
        <f>SUM(F38:G38)-C38</f>
        <v>0</v>
      </c>
      <c r="I38" s="181"/>
      <c r="J38" s="158" t="s">
        <v>198</v>
      </c>
      <c r="K38" s="169">
        <f>+C35</f>
        <v>5068352.99318753</v>
      </c>
      <c r="L38" s="140"/>
      <c r="M38" s="141"/>
    </row>
    <row r="39" spans="1:13" x14ac:dyDescent="0.2">
      <c r="A39" s="153">
        <v>30</v>
      </c>
      <c r="B39" s="167" t="s">
        <v>199</v>
      </c>
      <c r="C39" s="160">
        <f>'[57]Production Factor'!$D$42/1000</f>
        <v>20503307.194246825</v>
      </c>
      <c r="D39" s="160"/>
      <c r="E39" s="160"/>
      <c r="F39" s="228"/>
      <c r="G39" s="228"/>
      <c r="H39" s="229"/>
      <c r="I39" s="229"/>
      <c r="J39" s="158" t="s">
        <v>200</v>
      </c>
      <c r="K39" s="169">
        <f>+C21</f>
        <v>8840460.579817621</v>
      </c>
      <c r="L39" s="140"/>
      <c r="M39" s="141"/>
    </row>
    <row r="40" spans="1:13" x14ac:dyDescent="0.2">
      <c r="A40" s="153">
        <v>31</v>
      </c>
      <c r="B40" s="167"/>
      <c r="C40" s="167"/>
      <c r="D40" s="186"/>
      <c r="E40" s="186"/>
      <c r="F40" s="167"/>
      <c r="G40" s="230"/>
      <c r="H40" s="122"/>
      <c r="J40" s="158" t="s">
        <v>168</v>
      </c>
      <c r="K40" s="169">
        <f>+C22</f>
        <v>3895439.2738404199</v>
      </c>
      <c r="L40" s="140"/>
      <c r="M40" s="141"/>
    </row>
    <row r="41" spans="1:13" x14ac:dyDescent="0.2">
      <c r="A41" s="153">
        <v>32</v>
      </c>
      <c r="B41" s="167"/>
      <c r="C41" s="187" t="s">
        <v>201</v>
      </c>
      <c r="D41" s="187" t="s">
        <v>202</v>
      </c>
      <c r="E41" s="187"/>
      <c r="F41" s="188"/>
      <c r="G41" s="189"/>
      <c r="H41" s="122"/>
      <c r="J41" s="158" t="s">
        <v>171</v>
      </c>
      <c r="K41" s="169">
        <f>+C23</f>
        <v>777635.66528346541</v>
      </c>
      <c r="L41" s="140"/>
      <c r="M41" s="141"/>
    </row>
    <row r="42" spans="1:13" x14ac:dyDescent="0.2">
      <c r="A42" s="153">
        <v>33</v>
      </c>
      <c r="B42" s="167"/>
      <c r="C42" s="190" t="s">
        <v>203</v>
      </c>
      <c r="D42" s="190" t="s">
        <v>203</v>
      </c>
      <c r="E42" s="190"/>
      <c r="F42" s="191"/>
      <c r="G42" s="192"/>
      <c r="H42" s="122"/>
      <c r="J42" s="158" t="s">
        <v>204</v>
      </c>
      <c r="K42" s="169">
        <f>+C24</f>
        <v>1989467.6013443223</v>
      </c>
      <c r="L42" s="140"/>
      <c r="M42" s="141"/>
    </row>
    <row r="43" spans="1:13" x14ac:dyDescent="0.2">
      <c r="A43" s="153">
        <v>34</v>
      </c>
      <c r="B43" s="167"/>
      <c r="C43" s="193" t="s">
        <v>205</v>
      </c>
      <c r="D43" s="194"/>
      <c r="E43" s="194"/>
      <c r="F43" s="187"/>
      <c r="G43" s="187"/>
      <c r="H43" s="122"/>
      <c r="J43" s="158" t="s">
        <v>172</v>
      </c>
      <c r="K43" s="195">
        <f>+C28</f>
        <v>-8666881.7085096519</v>
      </c>
      <c r="L43" s="140"/>
      <c r="M43" s="141"/>
    </row>
    <row r="44" spans="1:13" x14ac:dyDescent="0.2">
      <c r="A44" s="153">
        <v>35</v>
      </c>
      <c r="B44" s="167" t="s">
        <v>206</v>
      </c>
      <c r="C44" s="156">
        <f>D36</f>
        <v>57.490316087354387</v>
      </c>
      <c r="D44" s="156">
        <f>C44/$C$37</f>
        <v>60.445178645436549</v>
      </c>
      <c r="E44" s="156"/>
      <c r="F44" s="156"/>
      <c r="G44" s="196"/>
      <c r="J44" s="158" t="s">
        <v>169</v>
      </c>
      <c r="K44" s="195">
        <f>+C32</f>
        <v>876514.03</v>
      </c>
      <c r="L44" s="140"/>
      <c r="M44" s="141"/>
    </row>
    <row r="45" spans="1:13" x14ac:dyDescent="0.2">
      <c r="A45" s="153">
        <v>36</v>
      </c>
      <c r="B45" s="167" t="s">
        <v>207</v>
      </c>
      <c r="C45" s="156">
        <f>SUM(D14,D16:D17,D20:D22,D24,D28:D29,D32:D35)</f>
        <v>23.080874501061651</v>
      </c>
      <c r="D45" s="156">
        <f>C45/C$37</f>
        <v>24.267175368973941</v>
      </c>
      <c r="E45" s="156"/>
      <c r="F45" s="197"/>
      <c r="G45" s="167"/>
      <c r="J45" s="158" t="s">
        <v>208</v>
      </c>
      <c r="K45" s="195">
        <f>+C33</f>
        <v>169567639.20922089</v>
      </c>
      <c r="L45" s="140"/>
      <c r="M45" s="141"/>
    </row>
    <row r="46" spans="1:13" x14ac:dyDescent="0.2">
      <c r="A46" s="153">
        <v>37</v>
      </c>
      <c r="B46" s="167" t="s">
        <v>209</v>
      </c>
      <c r="C46" s="198">
        <f>SUM(D15,D18:D19,D23,D25:D27,D30:D31)</f>
        <v>34.409441586292736</v>
      </c>
      <c r="D46" s="198">
        <f>C46/C$37</f>
        <v>36.178003276462611</v>
      </c>
      <c r="E46" s="156"/>
      <c r="F46" s="197"/>
      <c r="G46" s="167"/>
      <c r="J46" s="158" t="s">
        <v>210</v>
      </c>
      <c r="K46" s="195">
        <f>+C34</f>
        <v>3531950.8300239993</v>
      </c>
      <c r="L46" s="140"/>
      <c r="M46" s="141"/>
    </row>
    <row r="47" spans="1:13" x14ac:dyDescent="0.2">
      <c r="A47" s="153">
        <v>38</v>
      </c>
      <c r="B47" s="167" t="s">
        <v>206</v>
      </c>
      <c r="C47" s="156">
        <f>SUM(C45:C46)</f>
        <v>57.490316087354387</v>
      </c>
      <c r="D47" s="156">
        <f>SUM(D45:D46)</f>
        <v>60.445178645436556</v>
      </c>
      <c r="E47" s="156"/>
      <c r="F47" s="156"/>
      <c r="G47" s="196"/>
      <c r="J47" s="158" t="s">
        <v>211</v>
      </c>
      <c r="K47" s="195">
        <f>+C31</f>
        <v>-21415123.754653782</v>
      </c>
      <c r="L47" s="140"/>
      <c r="M47" s="141"/>
    </row>
    <row r="48" spans="1:13" x14ac:dyDescent="0.2">
      <c r="A48" s="124"/>
      <c r="J48" s="158" t="s">
        <v>18</v>
      </c>
      <c r="K48" s="150">
        <f>SUM(K38:K47)</f>
        <v>164465454.71955481</v>
      </c>
      <c r="L48" s="140"/>
      <c r="M48" s="141"/>
    </row>
    <row r="49" spans="1:13" ht="15.75" thickBot="1" x14ac:dyDescent="0.3">
      <c r="A49" s="124"/>
      <c r="B49" s="199"/>
      <c r="C49" s="167"/>
      <c r="D49" s="200" t="s">
        <v>212</v>
      </c>
      <c r="E49"/>
      <c r="F49"/>
      <c r="G49"/>
      <c r="J49" s="158"/>
      <c r="K49" s="139"/>
      <c r="L49" s="140"/>
      <c r="M49" s="141"/>
    </row>
    <row r="50" spans="1:13" ht="15" x14ac:dyDescent="0.25">
      <c r="A50" s="124"/>
      <c r="B50" s="201" t="s">
        <v>213</v>
      </c>
      <c r="C50" s="202" t="s">
        <v>214</v>
      </c>
      <c r="D50" s="203" t="s">
        <v>215</v>
      </c>
      <c r="E50"/>
      <c r="F50"/>
      <c r="G50"/>
      <c r="J50" s="158" t="s">
        <v>216</v>
      </c>
      <c r="K50" s="204">
        <f>SUM(K30,K35,K48)</f>
        <v>1007858244.936576</v>
      </c>
      <c r="L50" s="140"/>
      <c r="M50" s="141"/>
    </row>
    <row r="51" spans="1:13" ht="15" x14ac:dyDescent="0.25">
      <c r="A51" s="124"/>
      <c r="B51" s="205" t="s">
        <v>217</v>
      </c>
      <c r="C51" s="206">
        <v>407</v>
      </c>
      <c r="D51" s="207">
        <f>+'[55]Electric Adj'!$AU$47</f>
        <v>4459451.03318753</v>
      </c>
      <c r="E51"/>
      <c r="F51"/>
      <c r="G51"/>
      <c r="J51" s="158"/>
      <c r="K51" s="139"/>
      <c r="L51" s="140"/>
      <c r="M51" s="141"/>
    </row>
    <row r="52" spans="1:13" ht="15" x14ac:dyDescent="0.25">
      <c r="A52" s="124"/>
      <c r="B52" s="208" t="s">
        <v>218</v>
      </c>
      <c r="C52" s="200">
        <v>407.3</v>
      </c>
      <c r="D52" s="209">
        <f>+'[55]Electric Adj'!$AU$41</f>
        <v>687420</v>
      </c>
      <c r="E52"/>
      <c r="F52"/>
      <c r="G52"/>
      <c r="J52" s="158" t="s">
        <v>219</v>
      </c>
      <c r="K52" s="204">
        <f>SUM(C14,C16:C17)</f>
        <v>170883366.49680138</v>
      </c>
      <c r="L52" s="140"/>
      <c r="M52" s="141"/>
    </row>
    <row r="53" spans="1:13" ht="15" x14ac:dyDescent="0.25">
      <c r="A53" s="124"/>
      <c r="B53" s="208" t="s">
        <v>220</v>
      </c>
      <c r="C53" s="200">
        <v>407.3</v>
      </c>
      <c r="D53" s="209">
        <f>+'[55]Electric Adj'!$AU$37</f>
        <v>2885052</v>
      </c>
      <c r="E53"/>
      <c r="F53"/>
      <c r="G53"/>
      <c r="J53" s="158"/>
      <c r="K53" s="210"/>
      <c r="L53" s="140"/>
      <c r="M53" s="141"/>
    </row>
    <row r="54" spans="1:13" ht="15.75" thickBot="1" x14ac:dyDescent="0.3">
      <c r="A54" s="124"/>
      <c r="B54" s="208" t="s">
        <v>221</v>
      </c>
      <c r="C54" s="211"/>
      <c r="D54" s="212">
        <f>SUM(D51:D53)</f>
        <v>8031923.03318753</v>
      </c>
      <c r="E54"/>
      <c r="F54"/>
      <c r="G54"/>
      <c r="J54" s="158" t="s">
        <v>222</v>
      </c>
      <c r="K54" s="213">
        <f>SUM(K50,K52)</f>
        <v>1178741611.4333773</v>
      </c>
      <c r="L54" s="140"/>
      <c r="M54" s="141"/>
    </row>
    <row r="55" spans="1:13" ht="16.5" thickTop="1" thickBot="1" x14ac:dyDescent="0.3">
      <c r="A55" s="124"/>
      <c r="B55" s="214"/>
      <c r="C55" s="215" t="s">
        <v>223</v>
      </c>
      <c r="D55" s="216">
        <f>+'[55]Electric Adj'!$AU$49-D54</f>
        <v>0</v>
      </c>
      <c r="E55"/>
      <c r="F55"/>
      <c r="G55"/>
      <c r="J55" s="217" t="s">
        <v>224</v>
      </c>
      <c r="K55" s="218">
        <f>+C36-K54</f>
        <v>0</v>
      </c>
      <c r="L55" s="140"/>
      <c r="M55" s="141"/>
    </row>
    <row r="56" spans="1:13" ht="15" x14ac:dyDescent="0.25">
      <c r="A56" s="124"/>
      <c r="E56"/>
      <c r="F56"/>
      <c r="G56"/>
      <c r="J56" s="158"/>
      <c r="K56" s="139"/>
      <c r="L56" s="140"/>
      <c r="M56" s="141"/>
    </row>
    <row r="57" spans="1:13" ht="15" x14ac:dyDescent="0.25">
      <c r="A57" s="124"/>
      <c r="B57"/>
      <c r="C57"/>
      <c r="D57"/>
      <c r="E57"/>
      <c r="F57"/>
      <c r="G57"/>
      <c r="J57" s="138" t="s">
        <v>225</v>
      </c>
      <c r="K57" s="139"/>
      <c r="L57" s="140"/>
      <c r="M57" s="141"/>
    </row>
    <row r="58" spans="1:13" ht="15" x14ac:dyDescent="0.25">
      <c r="A58" s="124"/>
      <c r="B58"/>
      <c r="C58"/>
      <c r="D58"/>
      <c r="E58"/>
      <c r="F58"/>
      <c r="G58"/>
      <c r="J58" s="158" t="s">
        <v>226</v>
      </c>
      <c r="K58" s="195">
        <f>+C18</f>
        <v>37464673.568808615</v>
      </c>
      <c r="L58" s="140"/>
      <c r="M58" s="141"/>
    </row>
    <row r="59" spans="1:13" ht="15" x14ac:dyDescent="0.25">
      <c r="A59" s="124"/>
      <c r="B59"/>
      <c r="C59"/>
      <c r="D59"/>
      <c r="J59" s="158" t="s">
        <v>227</v>
      </c>
      <c r="K59" s="195">
        <f>+C26</f>
        <v>143207932.26523876</v>
      </c>
      <c r="L59" s="140"/>
      <c r="M59" s="141"/>
    </row>
    <row r="60" spans="1:13" ht="15" x14ac:dyDescent="0.25">
      <c r="A60" s="124"/>
      <c r="B60"/>
      <c r="C60"/>
      <c r="D60"/>
      <c r="J60" s="158" t="s">
        <v>228</v>
      </c>
      <c r="K60" s="219">
        <f>SUM(K58:K59)</f>
        <v>180672605.83404738</v>
      </c>
      <c r="L60" s="140"/>
      <c r="M60" s="141"/>
    </row>
    <row r="61" spans="1:13" ht="15" x14ac:dyDescent="0.25">
      <c r="A61" s="124"/>
      <c r="B61"/>
      <c r="C61"/>
      <c r="D61"/>
      <c r="J61" s="158" t="s">
        <v>229</v>
      </c>
      <c r="K61" s="220">
        <f>+[55]Summary!$G$23</f>
        <v>180672605.83404732</v>
      </c>
      <c r="L61" s="140"/>
      <c r="M61" s="141"/>
    </row>
    <row r="62" spans="1:13" ht="15" x14ac:dyDescent="0.25">
      <c r="A62" s="124"/>
      <c r="B62"/>
      <c r="C62"/>
      <c r="D62"/>
      <c r="J62" s="217" t="s">
        <v>224</v>
      </c>
      <c r="K62" s="221">
        <f>+K60-K61</f>
        <v>0</v>
      </c>
      <c r="L62" s="140"/>
      <c r="M62" s="141"/>
    </row>
    <row r="63" spans="1:13" ht="15" x14ac:dyDescent="0.25">
      <c r="A63" s="124"/>
      <c r="B63"/>
      <c r="C63"/>
      <c r="D63"/>
      <c r="J63" s="158"/>
      <c r="K63" s="139"/>
      <c r="L63" s="140"/>
      <c r="M63" s="141"/>
    </row>
    <row r="64" spans="1:13" ht="15" x14ac:dyDescent="0.25">
      <c r="A64" s="124"/>
      <c r="B64"/>
      <c r="C64"/>
      <c r="D64"/>
      <c r="J64" s="158" t="s">
        <v>230</v>
      </c>
      <c r="K64" s="195">
        <f>+C19</f>
        <v>433447888.18948001</v>
      </c>
      <c r="L64" s="140"/>
      <c r="M64" s="141"/>
    </row>
    <row r="65" spans="1:13" ht="15" x14ac:dyDescent="0.25">
      <c r="A65" s="124"/>
      <c r="B65"/>
      <c r="C65"/>
      <c r="D65"/>
      <c r="J65" s="158" t="s">
        <v>231</v>
      </c>
      <c r="K65" s="195">
        <f>+C20</f>
        <v>8072158.7332714284</v>
      </c>
      <c r="L65" s="140"/>
      <c r="M65" s="141"/>
    </row>
    <row r="66" spans="1:13" ht="15" x14ac:dyDescent="0.25">
      <c r="A66" s="124"/>
      <c r="B66"/>
      <c r="C66"/>
      <c r="D66"/>
      <c r="J66" s="158" t="s">
        <v>232</v>
      </c>
      <c r="K66" s="195">
        <f>+C25</f>
        <v>426253.88751197996</v>
      </c>
      <c r="L66" s="140"/>
      <c r="M66" s="141"/>
    </row>
    <row r="67" spans="1:13" ht="15" x14ac:dyDescent="0.25">
      <c r="A67" s="124"/>
      <c r="B67"/>
      <c r="C67"/>
      <c r="D67"/>
      <c r="J67" s="158" t="s">
        <v>233</v>
      </c>
      <c r="K67" s="195">
        <f>+C15</f>
        <v>4733258.1026060628</v>
      </c>
      <c r="L67" s="140"/>
      <c r="M67" s="141"/>
    </row>
    <row r="68" spans="1:13" ht="15" x14ac:dyDescent="0.25">
      <c r="A68" s="124"/>
      <c r="B68"/>
      <c r="C68"/>
      <c r="D68"/>
      <c r="J68" s="158" t="s">
        <v>234</v>
      </c>
      <c r="K68" s="219">
        <f>SUM(K64:K67)</f>
        <v>446679558.91286945</v>
      </c>
      <c r="L68" s="140"/>
      <c r="M68" s="141"/>
    </row>
    <row r="69" spans="1:13" ht="15" x14ac:dyDescent="0.25">
      <c r="A69" s="124"/>
      <c r="B69"/>
      <c r="C69"/>
      <c r="D69"/>
      <c r="J69" s="158" t="s">
        <v>235</v>
      </c>
      <c r="K69" s="222">
        <f>+[55]Summary!$G$24</f>
        <v>446679558.91286945</v>
      </c>
      <c r="L69" s="140"/>
      <c r="M69" s="141"/>
    </row>
    <row r="70" spans="1:13" ht="15" x14ac:dyDescent="0.25">
      <c r="A70" s="124"/>
      <c r="B70"/>
      <c r="C70"/>
      <c r="D70"/>
      <c r="J70" s="217" t="s">
        <v>224</v>
      </c>
      <c r="K70" s="221">
        <f>+K68-K69</f>
        <v>0</v>
      </c>
      <c r="L70" s="140"/>
      <c r="M70" s="141"/>
    </row>
    <row r="71" spans="1:13" ht="15" x14ac:dyDescent="0.25">
      <c r="A71" s="124"/>
      <c r="B71"/>
      <c r="C71"/>
      <c r="D71"/>
      <c r="J71" s="158"/>
      <c r="K71" s="139"/>
      <c r="L71" s="140"/>
      <c r="M71" s="141"/>
    </row>
    <row r="72" spans="1:13" ht="15" x14ac:dyDescent="0.25">
      <c r="A72" s="124"/>
      <c r="B72"/>
      <c r="C72"/>
      <c r="D72"/>
      <c r="J72" s="158" t="s">
        <v>236</v>
      </c>
      <c r="K72" s="195">
        <f>+C27</f>
        <v>112334321.32462588</v>
      </c>
      <c r="L72" s="140"/>
      <c r="M72" s="141"/>
    </row>
    <row r="73" spans="1:13" ht="15" x14ac:dyDescent="0.25">
      <c r="A73" s="124"/>
      <c r="B73"/>
      <c r="C73"/>
      <c r="D73"/>
      <c r="J73" s="158" t="s">
        <v>237</v>
      </c>
      <c r="K73" s="222">
        <f>+[55]Summary!$G$25</f>
        <v>112334321.32462588</v>
      </c>
      <c r="L73" s="140"/>
      <c r="M73" s="141"/>
    </row>
    <row r="74" spans="1:13" ht="15" x14ac:dyDescent="0.25">
      <c r="A74" s="124"/>
      <c r="B74"/>
      <c r="C74"/>
      <c r="D74"/>
      <c r="J74" s="217" t="s">
        <v>224</v>
      </c>
      <c r="K74" s="221">
        <f>+K72-K73</f>
        <v>0</v>
      </c>
      <c r="L74" s="140"/>
      <c r="M74" s="141"/>
    </row>
    <row r="75" spans="1:13" ht="15" x14ac:dyDescent="0.25">
      <c r="A75" s="124"/>
      <c r="B75"/>
      <c r="C75"/>
      <c r="D75"/>
      <c r="J75" s="158"/>
      <c r="K75" s="139"/>
      <c r="L75" s="140"/>
      <c r="M75" s="141"/>
    </row>
    <row r="76" spans="1:13" ht="15" x14ac:dyDescent="0.25">
      <c r="A76" s="124"/>
      <c r="B76"/>
      <c r="C76"/>
      <c r="D76"/>
      <c r="J76" s="158" t="s">
        <v>238</v>
      </c>
      <c r="K76" s="195">
        <f>+C29</f>
        <v>109175792.16812748</v>
      </c>
      <c r="L76" s="140"/>
      <c r="M76" s="141"/>
    </row>
    <row r="77" spans="1:13" ht="15" x14ac:dyDescent="0.25">
      <c r="A77" s="124"/>
      <c r="B77"/>
      <c r="C77"/>
      <c r="D77"/>
      <c r="J77" s="158" t="s">
        <v>239</v>
      </c>
      <c r="K77" s="220">
        <f>+[55]Summary!$G$29</f>
        <v>109175792.16812748</v>
      </c>
      <c r="L77" s="140"/>
      <c r="M77" s="141"/>
    </row>
    <row r="78" spans="1:13" ht="15" x14ac:dyDescent="0.25">
      <c r="A78" s="124"/>
      <c r="B78"/>
      <c r="C78"/>
      <c r="D78"/>
      <c r="J78" s="217" t="s">
        <v>224</v>
      </c>
      <c r="K78" s="221">
        <f>+K76-K77</f>
        <v>0</v>
      </c>
      <c r="L78" s="140"/>
      <c r="M78" s="141"/>
    </row>
    <row r="79" spans="1:13" ht="15" x14ac:dyDescent="0.25">
      <c r="A79" s="124"/>
      <c r="B79"/>
      <c r="C79"/>
      <c r="D79"/>
      <c r="J79" s="158"/>
      <c r="K79" s="139"/>
      <c r="L79" s="140"/>
      <c r="M79" s="141"/>
    </row>
    <row r="80" spans="1:13" ht="15" x14ac:dyDescent="0.25">
      <c r="A80" s="124"/>
      <c r="B80"/>
      <c r="C80"/>
      <c r="D80"/>
      <c r="J80" s="158" t="s">
        <v>240</v>
      </c>
      <c r="K80" s="195">
        <f>+C30</f>
        <v>-5469488.0226491988</v>
      </c>
      <c r="L80" s="140"/>
      <c r="M80" s="141"/>
    </row>
    <row r="81" spans="1:13" ht="15" x14ac:dyDescent="0.25">
      <c r="A81" s="124"/>
      <c r="B81"/>
      <c r="C81"/>
      <c r="D81"/>
      <c r="J81" s="158" t="s">
        <v>241</v>
      </c>
      <c r="K81" s="222">
        <f>-[55]Summary!$G$16</f>
        <v>-5469488.0226491988</v>
      </c>
      <c r="L81" s="140"/>
      <c r="M81" s="141"/>
    </row>
    <row r="82" spans="1:13" ht="15" x14ac:dyDescent="0.25">
      <c r="A82" s="124"/>
      <c r="B82"/>
      <c r="C82"/>
      <c r="D82"/>
      <c r="J82" s="217" t="s">
        <v>224</v>
      </c>
      <c r="K82" s="221">
        <f>+K80-K81</f>
        <v>0</v>
      </c>
      <c r="L82" s="140"/>
      <c r="M82" s="141"/>
    </row>
    <row r="83" spans="1:13" ht="15" thickBot="1" x14ac:dyDescent="0.25">
      <c r="A83" s="124"/>
      <c r="C83" s="223"/>
      <c r="D83" s="223"/>
      <c r="J83" s="224"/>
      <c r="K83" s="225"/>
      <c r="L83" s="226"/>
      <c r="M83" s="227"/>
    </row>
    <row r="84" spans="1:13" x14ac:dyDescent="0.2">
      <c r="A84" s="124"/>
      <c r="C84" s="223"/>
      <c r="D84" s="223"/>
    </row>
    <row r="85" spans="1:13" x14ac:dyDescent="0.2">
      <c r="A85" s="124"/>
      <c r="C85" s="223"/>
      <c r="D85" s="223"/>
    </row>
    <row r="86" spans="1:13" x14ac:dyDescent="0.2">
      <c r="A86" s="124"/>
      <c r="C86" s="223"/>
      <c r="D86" s="223"/>
    </row>
    <row r="87" spans="1:13" x14ac:dyDescent="0.2">
      <c r="A87" s="124"/>
      <c r="C87" s="223"/>
      <c r="D87" s="223"/>
    </row>
    <row r="88" spans="1:13" x14ac:dyDescent="0.2">
      <c r="A88" s="124"/>
      <c r="C88" s="223"/>
      <c r="D88" s="223"/>
    </row>
    <row r="89" spans="1:13" x14ac:dyDescent="0.2">
      <c r="A89" s="124"/>
      <c r="C89" s="223"/>
      <c r="D89" s="223"/>
    </row>
    <row r="90" spans="1:13" x14ac:dyDescent="0.2">
      <c r="A90" s="124"/>
    </row>
    <row r="91" spans="1:13" x14ac:dyDescent="0.2">
      <c r="A91" s="124"/>
    </row>
    <row r="92" spans="1:13" x14ac:dyDescent="0.2">
      <c r="A92" s="124"/>
    </row>
    <row r="93" spans="1:13" x14ac:dyDescent="0.2">
      <c r="A93" s="124"/>
    </row>
    <row r="94" spans="1:13" x14ac:dyDescent="0.2">
      <c r="A94" s="124"/>
    </row>
    <row r="95" spans="1:13" x14ac:dyDescent="0.2">
      <c r="A95" s="124"/>
    </row>
    <row r="96" spans="1:13" x14ac:dyDescent="0.2">
      <c r="A96" s="124"/>
    </row>
    <row r="97" spans="1:1" s="120" customFormat="1" x14ac:dyDescent="0.2">
      <c r="A97" s="124"/>
    </row>
    <row r="98" spans="1:1" s="120" customFormat="1" x14ac:dyDescent="0.2">
      <c r="A98" s="124"/>
    </row>
    <row r="99" spans="1:1" s="120" customFormat="1" x14ac:dyDescent="0.2">
      <c r="A99" s="124"/>
    </row>
    <row r="100" spans="1:1" s="120" customFormat="1" x14ac:dyDescent="0.2">
      <c r="A100" s="124"/>
    </row>
    <row r="101" spans="1:1" s="120" customFormat="1" x14ac:dyDescent="0.2">
      <c r="A101" s="124"/>
    </row>
    <row r="102" spans="1:1" s="120" customFormat="1" x14ac:dyDescent="0.2">
      <c r="A102" s="124"/>
    </row>
    <row r="103" spans="1:1" s="120" customFormat="1" x14ac:dyDescent="0.2">
      <c r="A103" s="124"/>
    </row>
    <row r="104" spans="1:1" s="120" customFormat="1" x14ac:dyDescent="0.2">
      <c r="A104" s="124"/>
    </row>
    <row r="105" spans="1:1" s="120" customFormat="1" x14ac:dyDescent="0.2">
      <c r="A105" s="124"/>
    </row>
    <row r="106" spans="1:1" s="120" customFormat="1" x14ac:dyDescent="0.2">
      <c r="A106" s="124"/>
    </row>
    <row r="107" spans="1:1" s="120" customFormat="1" x14ac:dyDescent="0.2">
      <c r="A107" s="124"/>
    </row>
    <row r="108" spans="1:1" s="120" customFormat="1" x14ac:dyDescent="0.2">
      <c r="A108" s="124"/>
    </row>
    <row r="109" spans="1:1" s="120" customFormat="1" x14ac:dyDescent="0.2">
      <c r="A109" s="124"/>
    </row>
    <row r="110" spans="1:1" s="120" customFormat="1" x14ac:dyDescent="0.2">
      <c r="A110" s="124"/>
    </row>
    <row r="111" spans="1:1" s="120" customFormat="1" x14ac:dyDescent="0.2">
      <c r="A111" s="124"/>
    </row>
    <row r="112" spans="1:1" s="120" customFormat="1" x14ac:dyDescent="0.2">
      <c r="A112" s="124"/>
    </row>
    <row r="113" spans="1:1" s="120" customFormat="1" x14ac:dyDescent="0.2">
      <c r="A113" s="124"/>
    </row>
    <row r="114" spans="1:1" s="120" customFormat="1" x14ac:dyDescent="0.2">
      <c r="A114" s="124"/>
    </row>
    <row r="115" spans="1:1" s="120" customFormat="1" x14ac:dyDescent="0.2">
      <c r="A115" s="124"/>
    </row>
    <row r="116" spans="1:1" s="120" customFormat="1" x14ac:dyDescent="0.2">
      <c r="A116" s="124"/>
    </row>
    <row r="117" spans="1:1" s="120" customFormat="1" x14ac:dyDescent="0.2">
      <c r="A117" s="124"/>
    </row>
    <row r="118" spans="1:1" s="120" customFormat="1" x14ac:dyDescent="0.2">
      <c r="A118" s="124"/>
    </row>
    <row r="119" spans="1:1" s="120" customFormat="1" x14ac:dyDescent="0.2">
      <c r="A119" s="124"/>
    </row>
    <row r="120" spans="1:1" s="120" customFormat="1" x14ac:dyDescent="0.2">
      <c r="A120" s="124"/>
    </row>
    <row r="121" spans="1:1" s="120" customFormat="1" x14ac:dyDescent="0.2">
      <c r="A121" s="124"/>
    </row>
    <row r="122" spans="1:1" s="120" customFormat="1" x14ac:dyDescent="0.2">
      <c r="A122" s="124"/>
    </row>
    <row r="123" spans="1:1" s="120" customFormat="1" x14ac:dyDescent="0.2">
      <c r="A123" s="124"/>
    </row>
    <row r="124" spans="1:1" s="120" customFormat="1" x14ac:dyDescent="0.2">
      <c r="A124" s="124"/>
    </row>
    <row r="125" spans="1:1" s="120" customFormat="1" x14ac:dyDescent="0.2">
      <c r="A125" s="124"/>
    </row>
    <row r="126" spans="1:1" s="120" customFormat="1" x14ac:dyDescent="0.2">
      <c r="A126" s="124"/>
    </row>
    <row r="127" spans="1:1" s="120" customFormat="1" x14ac:dyDescent="0.2">
      <c r="A127" s="124"/>
    </row>
    <row r="128" spans="1:1" s="120" customFormat="1" x14ac:dyDescent="0.2">
      <c r="A128" s="124"/>
    </row>
    <row r="129" spans="1:1" s="120" customFormat="1" x14ac:dyDescent="0.2">
      <c r="A129" s="124"/>
    </row>
    <row r="130" spans="1:1" s="120" customFormat="1" x14ac:dyDescent="0.2">
      <c r="A130" s="124"/>
    </row>
    <row r="131" spans="1:1" s="120" customFormat="1" x14ac:dyDescent="0.2">
      <c r="A131" s="124"/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63D5FBB-4911-4C55-B1E3-C8F9B54F9713}"/>
</file>

<file path=customXml/itemProps2.xml><?xml version="1.0" encoding="utf-8"?>
<ds:datastoreItem xmlns:ds="http://schemas.openxmlformats.org/officeDocument/2006/customXml" ds:itemID="{DB5F72F9-2538-4F81-9982-60144B1CEED4}"/>
</file>

<file path=customXml/itemProps3.xml><?xml version="1.0" encoding="utf-8"?>
<ds:datastoreItem xmlns:ds="http://schemas.openxmlformats.org/officeDocument/2006/customXml" ds:itemID="{16138A75-0BF5-4AD2-BA4C-26BFABE0326F}"/>
</file>

<file path=customXml/itemProps4.xml><?xml version="1.0" encoding="utf-8"?>
<ds:datastoreItem xmlns:ds="http://schemas.openxmlformats.org/officeDocument/2006/customXml" ds:itemID="{D955D59F-BE8D-43BC-8FC0-CD20BAB04D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Exh. JAP-11 Page 1</vt:lpstr>
      <vt:lpstr>Exh. JAP-11 Page 2</vt:lpstr>
      <vt:lpstr>Exh. JAP-11 Page 3</vt:lpstr>
      <vt:lpstr>Exh. JAP-11 Page 3a</vt:lpstr>
      <vt:lpstr>Exh. JAP-11 Page 4</vt:lpstr>
      <vt:lpstr>Work Papers For Exhibits--&gt;</vt:lpstr>
      <vt:lpstr>12ME Dec 2018 Cust Data</vt:lpstr>
      <vt:lpstr>2019 GRC PCA Cost</vt:lpstr>
      <vt:lpstr>Exhibit A-1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Paul</dc:creator>
  <cp:lastModifiedBy>Pam Rasanen</cp:lastModifiedBy>
  <cp:lastPrinted>2019-06-06T22:52:22Z</cp:lastPrinted>
  <dcterms:created xsi:type="dcterms:W3CDTF">2012-10-25T22:13:28Z</dcterms:created>
  <dcterms:modified xsi:type="dcterms:W3CDTF">2019-07-31T15:23:26Z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