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lhardt\Desktop\"/>
    </mc:Choice>
  </mc:AlternateContent>
  <bookViews>
    <workbookView xWindow="-12" yWindow="-12" windowWidth="12228" windowHeight="8556" tabRatio="872"/>
  </bookViews>
  <sheets>
    <sheet name="Table 1" sheetId="51" r:id="rId1"/>
    <sheet name="Table 2" sheetId="17" r:id="rId2"/>
    <sheet name="Tables 3 to 6" sheetId="5" r:id="rId3"/>
    <sheet name="Tables 7" sheetId="13" r:id="rId4"/>
    <sheet name="Table 8" sheetId="28" r:id="rId5"/>
    <sheet name="Table 9" sheetId="29" r:id="rId6"/>
    <sheet name="&gt;&gt;&gt;  Do Not Print" sheetId="33" r:id="rId7"/>
    <sheet name="Tariff Page" sheetId="18" r:id="rId8"/>
  </sheets>
  <externalReferences>
    <externalReference r:id="rId9"/>
    <externalReference r:id="rId10"/>
  </externalReferences>
  <definedNames>
    <definedName name="__j1" localSheetId="6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6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6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6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6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Order1" hidden="1">255</definedName>
    <definedName name="_Order2" hidden="1">0</definedName>
    <definedName name="Capacity_Contr_Solar_Fixed">'Tables 3 to 6'!#REF!</definedName>
    <definedName name="Capacity_Contr_Solar_Tracking">'Tables 3 to 6'!#REF!</definedName>
    <definedName name="Capacity_Contr_Wind">'Tables 3 to 6'!#REF!</definedName>
    <definedName name="_xlnm.Print_Area" localSheetId="1">'Table 2'!$B$1:$O$41</definedName>
    <definedName name="_xlnm.Print_Area" localSheetId="4">'Table 8'!$B$1:$K$114</definedName>
    <definedName name="_xlnm.Print_Area" localSheetId="5">'Table 9'!$B$1:$C$21</definedName>
    <definedName name="_xlnm.Print_Area" localSheetId="3">'Tables 7'!$B$1:$E$35</definedName>
    <definedName name="_xlnm.Print_Area" localSheetId="7">'Tariff Page'!$A$1:$M$26</definedName>
    <definedName name="_xlnm.Print_Titles" localSheetId="1">'Table 2'!$1:$4</definedName>
    <definedName name="Solar_Fixed_integr_cost">'[1]Table 12'!$B$46</definedName>
    <definedName name="Solar_Tracking_integr_cost">'[1]Table 12'!$B$45</definedName>
    <definedName name="Study_Name">[2]ImportData!$D$7</definedName>
  </definedNames>
  <calcPr calcId="152511" calcOnSave="0"/>
</workbook>
</file>

<file path=xl/calcChain.xml><?xml version="1.0" encoding="utf-8"?>
<calcChain xmlns="http://schemas.openxmlformats.org/spreadsheetml/2006/main">
  <c r="C34" i="17" l="1"/>
  <c r="AA9" i="5" l="1"/>
  <c r="Z9" i="5"/>
  <c r="B32" i="18" l="1"/>
  <c r="B33" i="18"/>
  <c r="A12" i="18" l="1"/>
  <c r="A13" i="18" l="1"/>
  <c r="A14" i="18" l="1"/>
  <c r="A15" i="18" l="1"/>
  <c r="A16" i="18" l="1"/>
  <c r="A17" i="18" l="1"/>
  <c r="A18" i="18" l="1"/>
  <c r="A19" i="18" l="1"/>
  <c r="A20" i="18" l="1"/>
  <c r="D97" i="28" l="1"/>
  <c r="C97" i="28"/>
  <c r="C35" i="28" l="1"/>
  <c r="B23" i="17" l="1"/>
  <c r="D25" i="28" l="1"/>
  <c r="C34" i="28"/>
  <c r="E10" i="28" s="1"/>
  <c r="B24" i="28"/>
  <c r="D24" i="28"/>
  <c r="C25" i="28"/>
  <c r="C26" i="28"/>
  <c r="C27" i="28"/>
  <c r="D27" i="28"/>
  <c r="D26" i="28" l="1"/>
  <c r="D38" i="28"/>
  <c r="C38" i="28"/>
  <c r="D96" i="28"/>
  <c r="C96" i="28"/>
  <c r="J26" i="5" l="1"/>
  <c r="B11" i="29" l="1"/>
  <c r="D73" i="28"/>
  <c r="N107" i="28"/>
  <c r="N108" i="28" s="1"/>
  <c r="N109" i="28" s="1"/>
  <c r="N110" i="28" s="1"/>
  <c r="N111" i="28" s="1"/>
  <c r="N112" i="28" s="1"/>
  <c r="N113" i="28" s="1"/>
  <c r="N114" i="28" s="1"/>
  <c r="N115" i="28" s="1"/>
  <c r="N116" i="28" s="1"/>
  <c r="N117" i="28" s="1"/>
  <c r="N118" i="28" s="1"/>
  <c r="N119" i="28" s="1"/>
  <c r="N120" i="28" s="1"/>
  <c r="N121" i="28" s="1"/>
  <c r="N122" i="28" s="1"/>
  <c r="K87" i="28"/>
  <c r="J87" i="28"/>
  <c r="I82" i="28"/>
  <c r="H82" i="28"/>
  <c r="F82" i="28"/>
  <c r="F81" i="28"/>
  <c r="E91" i="28"/>
  <c r="G87" i="28"/>
  <c r="F87" i="28"/>
  <c r="C87" i="28"/>
  <c r="K86" i="28"/>
  <c r="J86" i="28"/>
  <c r="G86" i="28"/>
  <c r="F86" i="28"/>
  <c r="C86" i="28"/>
  <c r="I81" i="28"/>
  <c r="H81" i="28"/>
  <c r="D75" i="28"/>
  <c r="C75" i="28"/>
  <c r="C74" i="28"/>
  <c r="C73" i="28"/>
  <c r="D72" i="28"/>
  <c r="C72" i="28"/>
  <c r="C71" i="28"/>
  <c r="D70" i="28"/>
  <c r="C70" i="28"/>
  <c r="B64" i="28"/>
  <c r="B49" i="28"/>
  <c r="B50" i="28" s="1"/>
  <c r="B51" i="28" s="1"/>
  <c r="B52" i="28" s="1"/>
  <c r="B53" i="28" s="1"/>
  <c r="B54" i="28" s="1"/>
  <c r="B55" i="28" s="1"/>
  <c r="B56" i="28" s="1"/>
  <c r="B57" i="28" s="1"/>
  <c r="B47" i="28"/>
  <c r="B40" i="28"/>
  <c r="B39" i="28"/>
  <c r="B63" i="28" s="1"/>
  <c r="F10" i="28"/>
  <c r="B11" i="28"/>
  <c r="C10" i="28"/>
  <c r="D10" i="28" s="1"/>
  <c r="D11" i="28" s="1"/>
  <c r="B9" i="28"/>
  <c r="B58" i="28" l="1"/>
  <c r="B59" i="28" s="1"/>
  <c r="B60" i="28" s="1"/>
  <c r="B12" i="28"/>
  <c r="B13" i="28" s="1"/>
  <c r="B14" i="28" s="1"/>
  <c r="B15" i="28" s="1"/>
  <c r="B16" i="28" s="1"/>
  <c r="B17" i="28" s="1"/>
  <c r="B18" i="28" s="1"/>
  <c r="B19" i="28" s="1"/>
  <c r="B20" i="28" s="1"/>
  <c r="B21" i="28" s="1"/>
  <c r="B22" i="28" s="1"/>
  <c r="B12" i="29"/>
  <c r="B13" i="29" s="1"/>
  <c r="H87" i="28"/>
  <c r="F88" i="28"/>
  <c r="G10" i="28"/>
  <c r="H10" i="28" s="1"/>
  <c r="H86" i="28"/>
  <c r="F83" i="28"/>
  <c r="I83" i="28" s="1"/>
  <c r="E11" i="28"/>
  <c r="E12" i="28" s="1"/>
  <c r="F11" i="28"/>
  <c r="H88" i="28" l="1"/>
  <c r="D101" i="28" s="1"/>
  <c r="D102" i="28" s="1"/>
  <c r="E48" i="28"/>
  <c r="E49" i="28" s="1"/>
  <c r="E50" i="28" s="1"/>
  <c r="G81" i="28"/>
  <c r="G82" i="28" s="1"/>
  <c r="G83" i="28" s="1"/>
  <c r="H83" i="28"/>
  <c r="C48" i="28" s="1"/>
  <c r="D48" i="28" s="1"/>
  <c r="D49" i="28" s="1"/>
  <c r="G11" i="28"/>
  <c r="F12" i="28"/>
  <c r="E13" i="28"/>
  <c r="X9" i="5" l="1"/>
  <c r="G88" i="28"/>
  <c r="D71" i="28" s="1"/>
  <c r="I86" i="28"/>
  <c r="I87" i="28" s="1"/>
  <c r="K88" i="28" s="1"/>
  <c r="D12" i="28"/>
  <c r="H11" i="28"/>
  <c r="E102" i="28"/>
  <c r="E14" i="28"/>
  <c r="D50" i="28"/>
  <c r="E51" i="28"/>
  <c r="E52" i="28" s="1"/>
  <c r="G12" i="28"/>
  <c r="F13" i="28"/>
  <c r="D74" i="28" l="1"/>
  <c r="G13" i="28"/>
  <c r="F14" i="28"/>
  <c r="D51" i="28"/>
  <c r="E53" i="28"/>
  <c r="J88" i="28"/>
  <c r="F48" i="28" s="1"/>
  <c r="I88" i="28"/>
  <c r="H12" i="28"/>
  <c r="D13" i="28"/>
  <c r="G14" i="28" l="1"/>
  <c r="F15" i="28"/>
  <c r="E15" i="28"/>
  <c r="G48" i="28"/>
  <c r="H48" i="28" s="1"/>
  <c r="F49" i="28"/>
  <c r="H13" i="28"/>
  <c r="D14" i="28"/>
  <c r="E54" i="28"/>
  <c r="D52" i="28"/>
  <c r="D53" i="28" l="1"/>
  <c r="E55" i="28"/>
  <c r="G15" i="28"/>
  <c r="F16" i="28"/>
  <c r="H14" i="28"/>
  <c r="D15" i="28"/>
  <c r="G49" i="28"/>
  <c r="H49" i="28" s="1"/>
  <c r="F50" i="28"/>
  <c r="E16" i="28"/>
  <c r="E17" i="28" s="1"/>
  <c r="D16" i="28" l="1"/>
  <c r="H15" i="28"/>
  <c r="G16" i="28"/>
  <c r="F17" i="28"/>
  <c r="G50" i="28"/>
  <c r="H50" i="28" s="1"/>
  <c r="F51" i="28"/>
  <c r="E56" i="28"/>
  <c r="F106" i="28"/>
  <c r="D54" i="28"/>
  <c r="D55" i="28" l="1"/>
  <c r="F107" i="28"/>
  <c r="E57" i="28"/>
  <c r="G51" i="28"/>
  <c r="H51" i="28" s="1"/>
  <c r="F52" i="28"/>
  <c r="G17" i="28"/>
  <c r="F18" i="28"/>
  <c r="E18" i="28"/>
  <c r="E19" i="28" s="1"/>
  <c r="H16" i="28"/>
  <c r="D17" i="28"/>
  <c r="G18" i="28" l="1"/>
  <c r="F19" i="28"/>
  <c r="G52" i="28"/>
  <c r="H52" i="28" s="1"/>
  <c r="F53" i="28"/>
  <c r="D18" i="28"/>
  <c r="H17" i="28"/>
  <c r="F108" i="28"/>
  <c r="E58" i="28"/>
  <c r="D56" i="28"/>
  <c r="D57" i="28" s="1"/>
  <c r="E20" i="28"/>
  <c r="F109" i="28" l="1"/>
  <c r="E59" i="28"/>
  <c r="G53" i="28"/>
  <c r="H53" i="28" s="1"/>
  <c r="F54" i="28"/>
  <c r="G19" i="28"/>
  <c r="F20" i="28"/>
  <c r="E21" i="28"/>
  <c r="D19" i="28"/>
  <c r="H18" i="28"/>
  <c r="D20" i="28" l="1"/>
  <c r="H19" i="28"/>
  <c r="G54" i="28"/>
  <c r="H54" i="28" s="1"/>
  <c r="F55" i="28"/>
  <c r="G20" i="28"/>
  <c r="F21" i="28"/>
  <c r="F110" i="28"/>
  <c r="E60" i="28"/>
  <c r="D58" i="28"/>
  <c r="E22" i="28"/>
  <c r="D59" i="28" l="1"/>
  <c r="F111" i="28"/>
  <c r="G21" i="28"/>
  <c r="F22" i="28"/>
  <c r="G55" i="28"/>
  <c r="H55" i="28" s="1"/>
  <c r="F56" i="28"/>
  <c r="D21" i="28"/>
  <c r="H20" i="28"/>
  <c r="H21" i="28" l="1"/>
  <c r="D22" i="28"/>
  <c r="G22" i="28"/>
  <c r="G56" i="28"/>
  <c r="H56" i="28" s="1"/>
  <c r="F57" i="28"/>
  <c r="F112" i="28"/>
  <c r="D60" i="28"/>
  <c r="G57" i="28" l="1"/>
  <c r="H57" i="28" s="1"/>
  <c r="F58" i="28"/>
  <c r="H22" i="28"/>
  <c r="F113" i="28"/>
  <c r="F114" i="28" l="1"/>
  <c r="G58" i="28"/>
  <c r="H58" i="28" s="1"/>
  <c r="F59" i="28"/>
  <c r="G59" i="28" l="1"/>
  <c r="H59" i="28" s="1"/>
  <c r="F60" i="28"/>
  <c r="I106" i="28"/>
  <c r="I107" i="28" l="1"/>
  <c r="G60" i="28"/>
  <c r="H60" i="28" s="1"/>
  <c r="I108" i="28" l="1"/>
  <c r="I109" i="28" l="1"/>
  <c r="I110" i="28" l="1"/>
  <c r="I111" i="28" l="1"/>
  <c r="I112" i="28" l="1"/>
  <c r="I113" i="28" l="1"/>
  <c r="I114" i="28" l="1"/>
  <c r="T9" i="5" l="1"/>
  <c r="S9" i="5"/>
  <c r="R9" i="5"/>
  <c r="H41" i="17" l="1"/>
  <c r="W26" i="5" l="1"/>
  <c r="P26" i="5"/>
  <c r="C27" i="5"/>
  <c r="C26" i="5"/>
  <c r="F9" i="5"/>
  <c r="V28" i="5"/>
  <c r="B28" i="5"/>
  <c r="I27" i="5"/>
  <c r="P27" i="5"/>
  <c r="J28" i="5"/>
  <c r="W28" i="5"/>
  <c r="I29" i="5"/>
  <c r="V27" i="5"/>
  <c r="AA5" i="5"/>
  <c r="Z5" i="5"/>
  <c r="V26" i="5"/>
  <c r="B27" i="5"/>
  <c r="B26" i="5"/>
  <c r="M9" i="5"/>
  <c r="I28" i="5"/>
  <c r="I26" i="5"/>
  <c r="O27" i="5"/>
  <c r="O26" i="5"/>
  <c r="C30" i="13"/>
  <c r="E9" i="13"/>
  <c r="B31" i="13"/>
  <c r="B30" i="13"/>
  <c r="I57" i="28" l="1"/>
  <c r="J57" i="28" s="1"/>
  <c r="K57" i="28" s="1"/>
  <c r="G9" i="5"/>
  <c r="C28" i="5"/>
  <c r="G6" i="5"/>
  <c r="L6" i="5" s="1"/>
  <c r="J27" i="5" l="1"/>
  <c r="K9" i="5"/>
  <c r="W27" i="5"/>
  <c r="I58" i="28" l="1"/>
  <c r="J58" i="28" s="1"/>
  <c r="K58" i="28" s="1"/>
  <c r="I60" i="28"/>
  <c r="J60" i="28" s="1"/>
  <c r="K60" i="28" s="1"/>
  <c r="I59" i="28" l="1"/>
  <c r="J59" i="28" s="1"/>
  <c r="K59" i="28" s="1"/>
  <c r="B24" i="17" l="1"/>
  <c r="B25" i="17" s="1"/>
  <c r="B26" i="17" s="1"/>
  <c r="B27" i="17" s="1"/>
  <c r="B28" i="17" s="1"/>
  <c r="B29" i="17" s="1"/>
  <c r="B30" i="17" s="1"/>
  <c r="B31" i="17" s="1"/>
  <c r="B32" i="17" s="1"/>
  <c r="B12" i="5" l="1"/>
  <c r="D12" i="5" s="1"/>
  <c r="B10" i="17"/>
  <c r="P12" i="5" l="1"/>
  <c r="B12" i="13"/>
  <c r="B13" i="5"/>
  <c r="D13" i="5" s="1"/>
  <c r="B11" i="17"/>
  <c r="V12" i="5"/>
  <c r="I12" i="5"/>
  <c r="O12" i="5"/>
  <c r="W12" i="5" l="1"/>
  <c r="F11" i="18"/>
  <c r="B11" i="18" s="1"/>
  <c r="P13" i="5"/>
  <c r="W13" i="5"/>
  <c r="O13" i="5"/>
  <c r="I13" i="5"/>
  <c r="V13" i="5"/>
  <c r="B13" i="13"/>
  <c r="B14" i="5"/>
  <c r="D14" i="5" s="1"/>
  <c r="B12" i="17"/>
  <c r="X12" i="5" l="1"/>
  <c r="X13" i="5"/>
  <c r="F12" i="18"/>
  <c r="B12" i="18" s="1"/>
  <c r="W14" i="5"/>
  <c r="P14" i="5"/>
  <c r="I14" i="5"/>
  <c r="O14" i="5"/>
  <c r="V14" i="5"/>
  <c r="B13" i="17"/>
  <c r="B15" i="5"/>
  <c r="D15" i="5" s="1"/>
  <c r="B14" i="13"/>
  <c r="X14" i="5" l="1"/>
  <c r="F13" i="18"/>
  <c r="B13" i="18" s="1"/>
  <c r="W15" i="5"/>
  <c r="P15" i="5"/>
  <c r="I15" i="5"/>
  <c r="V15" i="5"/>
  <c r="O15" i="5"/>
  <c r="B15" i="13"/>
  <c r="B14" i="17"/>
  <c r="B15" i="17" s="1"/>
  <c r="B16" i="5"/>
  <c r="D16" i="5" s="1"/>
  <c r="B20" i="5" l="1"/>
  <c r="B16" i="17"/>
  <c r="X15" i="5"/>
  <c r="F14" i="18"/>
  <c r="B14" i="18" s="1"/>
  <c r="W16" i="5"/>
  <c r="P16" i="5"/>
  <c r="I16" i="5"/>
  <c r="V16" i="5"/>
  <c r="O16" i="5"/>
  <c r="B17" i="5"/>
  <c r="D17" i="5" s="1"/>
  <c r="B16" i="13"/>
  <c r="E29" i="17" l="1"/>
  <c r="M29" i="17"/>
  <c r="B21" i="5"/>
  <c r="B17" i="17"/>
  <c r="I29" i="17"/>
  <c r="C20" i="5"/>
  <c r="D20" i="5"/>
  <c r="V20" i="5"/>
  <c r="O20" i="5"/>
  <c r="I20" i="5"/>
  <c r="X16" i="5"/>
  <c r="F15" i="18"/>
  <c r="B15" i="18" s="1"/>
  <c r="W17" i="5"/>
  <c r="P17" i="5"/>
  <c r="B17" i="13"/>
  <c r="V17" i="5"/>
  <c r="I17" i="5"/>
  <c r="O17" i="5"/>
  <c r="W20" i="5" l="1"/>
  <c r="X20" i="5" s="1"/>
  <c r="P20" i="5"/>
  <c r="F17" i="18" s="1"/>
  <c r="B17" i="18" s="1"/>
  <c r="J20" i="5"/>
  <c r="K20" i="5" s="1"/>
  <c r="F20" i="5"/>
  <c r="G20" i="5" s="1"/>
  <c r="L20" i="5" s="1"/>
  <c r="D21" i="5"/>
  <c r="O21" i="5"/>
  <c r="I21" i="5"/>
  <c r="J21" i="5" s="1"/>
  <c r="K21" i="5" s="1"/>
  <c r="C21" i="5"/>
  <c r="F21" i="5" s="1"/>
  <c r="G21" i="5" s="1"/>
  <c r="L21" i="5" s="1"/>
  <c r="V21" i="5"/>
  <c r="B22" i="5"/>
  <c r="B18" i="17"/>
  <c r="E30" i="17"/>
  <c r="M30" i="17"/>
  <c r="I30" i="17"/>
  <c r="X17" i="5"/>
  <c r="F16" i="18"/>
  <c r="B16" i="18" s="1"/>
  <c r="B18" i="13"/>
  <c r="M21" i="5" l="1"/>
  <c r="Q21" i="5" s="1"/>
  <c r="M20" i="5"/>
  <c r="Q20" i="5" s="1"/>
  <c r="M31" i="17"/>
  <c r="E31" i="17"/>
  <c r="I22" i="5"/>
  <c r="J22" i="5" s="1"/>
  <c r="K22" i="5" s="1"/>
  <c r="V22" i="5"/>
  <c r="D22" i="5"/>
  <c r="O22" i="5"/>
  <c r="C22" i="5"/>
  <c r="W21" i="5"/>
  <c r="X21" i="5" s="1"/>
  <c r="P21" i="5"/>
  <c r="F18" i="18" s="1"/>
  <c r="B18" i="18" s="1"/>
  <c r="Y21" i="5"/>
  <c r="I31" i="17"/>
  <c r="B23" i="5"/>
  <c r="B19" i="13"/>
  <c r="Y20" i="5" l="1"/>
  <c r="Z20" i="5" s="1"/>
  <c r="Z21" i="5"/>
  <c r="I32" i="17"/>
  <c r="S21" i="5"/>
  <c r="R21" i="5"/>
  <c r="T21" i="5"/>
  <c r="P22" i="5"/>
  <c r="F19" i="18" s="1"/>
  <c r="B19" i="18" s="1"/>
  <c r="W22" i="5"/>
  <c r="X22" i="5" s="1"/>
  <c r="I23" i="5"/>
  <c r="D23" i="5"/>
  <c r="O23" i="5"/>
  <c r="V23" i="5"/>
  <c r="C23" i="5"/>
  <c r="AA20" i="5"/>
  <c r="C17" i="18"/>
  <c r="T20" i="5"/>
  <c r="S20" i="5"/>
  <c r="R20" i="5"/>
  <c r="M32" i="17"/>
  <c r="E32" i="17"/>
  <c r="AA21" i="5"/>
  <c r="C18" i="18"/>
  <c r="F22" i="5"/>
  <c r="G22" i="5" s="1"/>
  <c r="L22" i="5" s="1"/>
  <c r="M22" i="5" s="1"/>
  <c r="B20" i="13"/>
  <c r="C18" i="13" l="1"/>
  <c r="C19" i="13"/>
  <c r="Q22" i="5"/>
  <c r="Y22" i="5"/>
  <c r="Z22" i="5" s="1"/>
  <c r="F23" i="5"/>
  <c r="G23" i="5" s="1"/>
  <c r="L23" i="5" s="1"/>
  <c r="J23" i="5"/>
  <c r="K23" i="5" s="1"/>
  <c r="J29" i="5"/>
  <c r="W23" i="5"/>
  <c r="X23" i="5" s="1"/>
  <c r="P23" i="5"/>
  <c r="F20" i="18" s="1"/>
  <c r="B20" i="18" s="1"/>
  <c r="B23" i="18" s="1"/>
  <c r="B21" i="13"/>
  <c r="B26" i="13"/>
  <c r="M23" i="5" l="1"/>
  <c r="AA22" i="5"/>
  <c r="C19" i="18"/>
  <c r="Y23" i="5"/>
  <c r="Z23" i="5" s="1"/>
  <c r="Q23" i="5"/>
  <c r="R22" i="5"/>
  <c r="S22" i="5"/>
  <c r="T22" i="5"/>
  <c r="D27" i="13"/>
  <c r="C20" i="13" l="1"/>
  <c r="E20" i="13" s="1"/>
  <c r="S23" i="5"/>
  <c r="T23" i="5"/>
  <c r="R23" i="5"/>
  <c r="AA23" i="5"/>
  <c r="C20" i="18"/>
  <c r="E19" i="13"/>
  <c r="C21" i="13" l="1"/>
  <c r="E18" i="13"/>
  <c r="I28" i="17" l="1"/>
  <c r="I25" i="17"/>
  <c r="I26" i="17"/>
  <c r="I27" i="17"/>
  <c r="I23" i="17" l="1"/>
  <c r="M25" i="17" l="1"/>
  <c r="M14" i="5" s="1"/>
  <c r="E25" i="17"/>
  <c r="M28" i="17"/>
  <c r="M17" i="5" s="1"/>
  <c r="E28" i="17"/>
  <c r="I24" i="17"/>
  <c r="E27" i="17"/>
  <c r="M27" i="17"/>
  <c r="M16" i="5" s="1"/>
  <c r="M26" i="17"/>
  <c r="M15" i="5" s="1"/>
  <c r="E26" i="17"/>
  <c r="M23" i="17" l="1"/>
  <c r="M12" i="5" s="1"/>
  <c r="E23" i="17"/>
  <c r="Q17" i="5"/>
  <c r="Y17" i="5"/>
  <c r="Q14" i="5"/>
  <c r="Y14" i="5"/>
  <c r="E24" i="17"/>
  <c r="M24" i="17"/>
  <c r="M13" i="5" s="1"/>
  <c r="Q15" i="5"/>
  <c r="Y15" i="5"/>
  <c r="Q16" i="5"/>
  <c r="Y16" i="5"/>
  <c r="AA15" i="5" l="1"/>
  <c r="Z15" i="5"/>
  <c r="AA14" i="5"/>
  <c r="Z14" i="5"/>
  <c r="AA17" i="5"/>
  <c r="Z17" i="5"/>
  <c r="AA16" i="5"/>
  <c r="Z16" i="5"/>
  <c r="R16" i="5"/>
  <c r="S16" i="5"/>
  <c r="T16" i="5"/>
  <c r="Y12" i="5"/>
  <c r="Q12" i="5"/>
  <c r="C14" i="18"/>
  <c r="C13" i="18"/>
  <c r="T17" i="5"/>
  <c r="R17" i="5"/>
  <c r="S17" i="5"/>
  <c r="Q13" i="5"/>
  <c r="Y13" i="5"/>
  <c r="C16" i="18"/>
  <c r="C15" i="18"/>
  <c r="S15" i="5"/>
  <c r="R15" i="5"/>
  <c r="T15" i="5"/>
  <c r="R14" i="5"/>
  <c r="T14" i="5"/>
  <c r="S14" i="5"/>
  <c r="C14" i="13" l="1"/>
  <c r="C15" i="13"/>
  <c r="C17" i="13"/>
  <c r="C16" i="13"/>
  <c r="AA13" i="5"/>
  <c r="Z13" i="5"/>
  <c r="AA12" i="5"/>
  <c r="Z12" i="5"/>
  <c r="C11" i="18"/>
  <c r="C12" i="18"/>
  <c r="T13" i="5"/>
  <c r="R13" i="5"/>
  <c r="S13" i="5"/>
  <c r="R12" i="5"/>
  <c r="S12" i="5"/>
  <c r="T12" i="5"/>
  <c r="C12" i="13" l="1"/>
  <c r="C13" i="13"/>
  <c r="E15" i="13"/>
  <c r="E16" i="13"/>
  <c r="E14" i="13"/>
  <c r="E17" i="13"/>
  <c r="C24" i="18"/>
  <c r="E13" i="13" l="1"/>
  <c r="E12" i="13" l="1"/>
  <c r="E27" i="13" s="1"/>
  <c r="C27" i="13"/>
</calcChain>
</file>

<file path=xl/sharedStrings.xml><?xml version="1.0" encoding="utf-8"?>
<sst xmlns="http://schemas.openxmlformats.org/spreadsheetml/2006/main" count="327" uniqueCount="183">
  <si>
    <t>On-Peak Hours</t>
  </si>
  <si>
    <t>On-Peak</t>
  </si>
  <si>
    <t>Off-Peak</t>
  </si>
  <si>
    <t>Year</t>
  </si>
  <si>
    <t xml:space="preserve">Simple </t>
  </si>
  <si>
    <t>Fixed Costs</t>
  </si>
  <si>
    <t>($/kW-yr)</t>
  </si>
  <si>
    <t>Capitalized</t>
  </si>
  <si>
    <t>Energy Costs</t>
  </si>
  <si>
    <t>Costs</t>
  </si>
  <si>
    <t xml:space="preserve">Capitalized </t>
  </si>
  <si>
    <t>Cycle CT</t>
  </si>
  <si>
    <t>($/MMBtu)</t>
  </si>
  <si>
    <t>Energy Cost</t>
  </si>
  <si>
    <t>Avoided</t>
  </si>
  <si>
    <t>Total</t>
  </si>
  <si>
    <t>Capitalized Energy Costs</t>
  </si>
  <si>
    <t>Total Avoided Energy Cost</t>
  </si>
  <si>
    <t>Total Avoided Costs</t>
  </si>
  <si>
    <t>At Stated Capacity Factor</t>
  </si>
  <si>
    <t>Total Avoided  Cost</t>
  </si>
  <si>
    <t>Columns</t>
  </si>
  <si>
    <t>(a)</t>
  </si>
  <si>
    <t>(b)</t>
  </si>
  <si>
    <t>(c)</t>
  </si>
  <si>
    <t>(d)</t>
  </si>
  <si>
    <t>(e)</t>
  </si>
  <si>
    <t>Avoided Firm</t>
  </si>
  <si>
    <t>Capacity</t>
  </si>
  <si>
    <t xml:space="preserve">Capacity Cost </t>
  </si>
  <si>
    <t>Allocated to</t>
  </si>
  <si>
    <t>Difference</t>
  </si>
  <si>
    <t>(f)</t>
  </si>
  <si>
    <t>Fuel Cost</t>
  </si>
  <si>
    <t>Table 3</t>
  </si>
  <si>
    <t>Table 4</t>
  </si>
  <si>
    <t>Table 5</t>
  </si>
  <si>
    <t>Table 7</t>
  </si>
  <si>
    <t>(g)</t>
  </si>
  <si>
    <t>(h)</t>
  </si>
  <si>
    <t>(i)</t>
  </si>
  <si>
    <t>$/kW</t>
  </si>
  <si>
    <t>$/kW-yr</t>
  </si>
  <si>
    <t>$/MWH</t>
  </si>
  <si>
    <t>$/MMBtu</t>
  </si>
  <si>
    <t>Estimated Capital Cost</t>
  </si>
  <si>
    <t>Fixed Capital Cost at Real Levelized Rate</t>
  </si>
  <si>
    <t>Fixed O&amp;M</t>
  </si>
  <si>
    <t>Variable O&amp;M</t>
  </si>
  <si>
    <t>Total O&amp;M at Expected CF</t>
  </si>
  <si>
    <t>Total Resource Fixed Costs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</si>
  <si>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</si>
  <si>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</si>
  <si>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</si>
  <si>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</si>
  <si>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</si>
  <si>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</si>
  <si>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</si>
  <si>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</si>
  <si>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</si>
  <si>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</si>
  <si>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</si>
  <si>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</si>
  <si>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Winter Season</t>
  </si>
  <si>
    <t>Summer Season</t>
  </si>
  <si>
    <t>Source: (a)(c)(d)</t>
  </si>
  <si>
    <t>aMW</t>
  </si>
  <si>
    <t>Current</t>
  </si>
  <si>
    <t>Avoided Costs</t>
  </si>
  <si>
    <t xml:space="preserve"> </t>
  </si>
  <si>
    <t>Price</t>
  </si>
  <si>
    <t>Annual Seasonal Average</t>
  </si>
  <si>
    <t>Annual Average</t>
  </si>
  <si>
    <t>Cap Cost</t>
  </si>
  <si>
    <t>Fixed</t>
  </si>
  <si>
    <t>Heat Rate</t>
  </si>
  <si>
    <t>MW</t>
  </si>
  <si>
    <t xml:space="preserve"> $/kW-yr</t>
  </si>
  <si>
    <t>Percent</t>
  </si>
  <si>
    <t>CCCT Statistics</t>
  </si>
  <si>
    <t>Capacity Weighted</t>
  </si>
  <si>
    <t>CF</t>
  </si>
  <si>
    <t>Energy Weighted</t>
  </si>
  <si>
    <t>Source:</t>
  </si>
  <si>
    <t>Table 8</t>
  </si>
  <si>
    <t>Total Cost of Displaceable Resources</t>
  </si>
  <si>
    <t xml:space="preserve">  MW Plant capacity</t>
  </si>
  <si>
    <t xml:space="preserve">  Plant capacity cost - in $/kW</t>
  </si>
  <si>
    <t xml:space="preserve">  Payment Factor</t>
  </si>
  <si>
    <t xml:space="preserve">  Capacity Factor</t>
  </si>
  <si>
    <t>Sources, Inputs and Assumptions</t>
  </si>
  <si>
    <t>Variable</t>
  </si>
  <si>
    <t>Rounded</t>
  </si>
  <si>
    <t>CCCT</t>
  </si>
  <si>
    <t>Duct Firing</t>
  </si>
  <si>
    <t>Table 9</t>
  </si>
  <si>
    <t>Burnertip</t>
  </si>
  <si>
    <t>Source</t>
  </si>
  <si>
    <t>Gas Fuel Costs</t>
  </si>
  <si>
    <t>Delivered</t>
  </si>
  <si>
    <t xml:space="preserve">Combined </t>
  </si>
  <si>
    <t>Note:</t>
  </si>
  <si>
    <t>East Side Gas</t>
  </si>
  <si>
    <t>Natural Gas Price - Delivered to Plant</t>
  </si>
  <si>
    <t>($/MWH)</t>
  </si>
  <si>
    <t>Intended to be Cut and Pasted Directly into the Tariff</t>
  </si>
  <si>
    <t>Days</t>
  </si>
  <si>
    <t>Leap Year</t>
  </si>
  <si>
    <t xml:space="preserve">  Energy Weighted Capacity Factor</t>
  </si>
  <si>
    <t xml:space="preserve">  Fixed O&amp;M including Fixed Pipeline &amp; on-going capital cost</t>
  </si>
  <si>
    <t xml:space="preserve">  Plant capacity cost</t>
  </si>
  <si>
    <t xml:space="preserve">  Fixed Pipeline</t>
  </si>
  <si>
    <t xml:space="preserve">  Heat Rate in btu/kWh</t>
  </si>
  <si>
    <t>GRID Production Cost Model Study</t>
  </si>
  <si>
    <t>Page 1 of 3</t>
  </si>
  <si>
    <t>Page 2 of 3</t>
  </si>
  <si>
    <t>Total Resource Energy Cost</t>
  </si>
  <si>
    <t>Total Resource Costs</t>
  </si>
  <si>
    <t>$/MWh</t>
  </si>
  <si>
    <t>Page 3 of 3</t>
  </si>
  <si>
    <t>Company Official Inflation Forecast  - Dated March 2010</t>
  </si>
  <si>
    <t>Energy</t>
  </si>
  <si>
    <t>Calendar Year</t>
  </si>
  <si>
    <t xml:space="preserve">  Fixed O&amp;M including Fixed Pipeline &amp; Capitalized O&amp;M ($/kW-Yr)</t>
  </si>
  <si>
    <t>Plant Costs  - 2013 IRP - Table 6.1 &amp; 6.2</t>
  </si>
  <si>
    <t xml:space="preserve">  Fixed O&amp;M &amp; Capitalized O&amp;M</t>
  </si>
  <si>
    <t xml:space="preserve">  Variable O&amp;M Costs &amp; Capitalized Variable O&amp;M ($/MWh)</t>
  </si>
  <si>
    <t>Discount Rate - 2013 IRP Update Page 39</t>
  </si>
  <si>
    <t>(2)  Discount Rate - 2013 IRP Update Discount Rate</t>
  </si>
  <si>
    <t>Comparison between Proposed and Current Avoided Costs</t>
  </si>
  <si>
    <t>Proposed (1)</t>
  </si>
  <si>
    <t>Avoided Energy - $/MWH</t>
  </si>
  <si>
    <t>Table 1</t>
  </si>
  <si>
    <t>CCCT (Dry "J" 1x1)</t>
  </si>
  <si>
    <t>CCCT Duct Firing (Dry "J" 1x1)</t>
  </si>
  <si>
    <t>Loads and Resources</t>
  </si>
  <si>
    <t>2015 through 2024</t>
  </si>
  <si>
    <t>Net Load</t>
  </si>
  <si>
    <t>Long Term Sales</t>
  </si>
  <si>
    <t>Short Term Firm Sales</t>
  </si>
  <si>
    <t>Total Requirements</t>
  </si>
  <si>
    <t>Long Term Purchases</t>
  </si>
  <si>
    <t>Short Term Firm Purchase</t>
  </si>
  <si>
    <t>Thermal Generation</t>
  </si>
  <si>
    <t>Other Generation</t>
  </si>
  <si>
    <t>Reserves</t>
  </si>
  <si>
    <t>Total Resources after Reserves</t>
  </si>
  <si>
    <t>Surplus / (Deficit)</t>
  </si>
  <si>
    <t>Percent Surplus / (Deficit)</t>
  </si>
  <si>
    <t>Peak (July)</t>
  </si>
  <si>
    <t>Peak (January)</t>
  </si>
  <si>
    <t>month offset</t>
  </si>
  <si>
    <t xml:space="preserve">  Variable O&amp;M Costs inluding O&amp;M Capitalized in $/MWh </t>
  </si>
  <si>
    <t>SCCT Frame "F"x1 - West Side Options (1500')</t>
  </si>
  <si>
    <t>CCCT (Dry "J" Adv 1x1)  - West Side Options (1500')</t>
  </si>
  <si>
    <t>(1)</t>
  </si>
  <si>
    <t>Total Avoided Costs at Stated Capacity Factor are provided for illustrative purposes</t>
  </si>
  <si>
    <t xml:space="preserve">and are not used for QF pricing. </t>
  </si>
  <si>
    <t>Notes</t>
  </si>
  <si>
    <t>(2)</t>
  </si>
  <si>
    <t>(3)</t>
  </si>
  <si>
    <t>Off-Peak is the average annual energy only cost including capitalized energy</t>
  </si>
  <si>
    <t>On-Peak is average annual energy plus capacity costs</t>
  </si>
  <si>
    <r>
      <rPr>
        <sz val="9.35"/>
        <rFont val="Times New Roman"/>
        <family val="1"/>
      </rPr>
      <t xml:space="preserve">Illustrative </t>
    </r>
    <r>
      <rPr>
        <b/>
        <sz val="11"/>
        <rFont val="Times New Roman"/>
        <family val="1"/>
      </rPr>
      <t>Base Load - On- &amp; Off Peak- Avoided Cost Prices (1)</t>
    </r>
  </si>
  <si>
    <t>Avoided Cost Prices</t>
  </si>
  <si>
    <t>Deliveries</t>
  </si>
  <si>
    <t>During</t>
  </si>
  <si>
    <t>Payment</t>
  </si>
  <si>
    <t xml:space="preserve"> $/kW-Month</t>
  </si>
  <si>
    <t>Currrent Methodology</t>
  </si>
  <si>
    <t>$/kW-month</t>
  </si>
  <si>
    <t xml:space="preserve">  Avoided Costs Approved by the Commission January 30, 2014</t>
  </si>
  <si>
    <t>Total Avoided Costs with Capacity Costs included at 85.0% Capacity Factor</t>
  </si>
  <si>
    <t>CCCT Proxy Resource</t>
  </si>
  <si>
    <t>Fixed Cost</t>
  </si>
  <si>
    <t>Table 6</t>
  </si>
  <si>
    <t>Fixed Cost x 3 Months</t>
  </si>
  <si>
    <t>Table 2</t>
  </si>
  <si>
    <t>Avoided Resource</t>
  </si>
  <si>
    <t xml:space="preserve">(1)  Avoided costs are presented at expected levels.  Actual prices received </t>
  </si>
  <si>
    <t xml:space="preserve">       by QFs will depend upon actual generation levels.</t>
  </si>
  <si>
    <t>Offical Market Price Forecast dated September 2014</t>
  </si>
  <si>
    <t>Company Official Inflation Forecast Dated September 2014 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</si>
</sst>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&quot;$&quot;#,##0"/>
    <numFmt numFmtId="167" formatCode="&quot;$&quot;#,##0.00"/>
    <numFmt numFmtId="168" formatCode="_(&quot;$&quot;* #,##0.00_);_(&quot;$&quot;* \(#,##0.00\);_(&quot;$&quot;* &quot;-&quot;?_);_(@_)"/>
    <numFmt numFmtId="169" formatCode="0.0%"/>
    <numFmt numFmtId="170" formatCode="_(* #,##0.00_);_(* \(#,##0.00\);_(* &quot;-&quot;_);_(@_)"/>
    <numFmt numFmtId="171" formatCode="&quot;$&quot;###0;[Red]\(&quot;$&quot;###0\)"/>
    <numFmt numFmtId="172" formatCode="_(&quot;$&quot;* #,##0_);_(&quot;$&quot;* \(#,##0\);_(&quot;$&quot;* &quot;-&quot;??_);_(@_)"/>
    <numFmt numFmtId="173" formatCode="_(* #,##0.000_);_(* \(#,##0.000\);_(* &quot;-&quot;_);_(@_)"/>
    <numFmt numFmtId="174" formatCode="&quot;$&quot;#,##0.000_);[Red]\(&quot;$&quot;#,##0.000\)"/>
    <numFmt numFmtId="175" formatCode="_(* #,##0_);[Red]_(* \(#,##0\);_(* &quot;-&quot;_);_(@_)"/>
    <numFmt numFmtId="176" formatCode="_(* #,##0.00_);[Red]_(* \(#,##0.00\);_(* &quot;-&quot;_);_(@_)"/>
    <numFmt numFmtId="177" formatCode="0.000%"/>
    <numFmt numFmtId="178" formatCode="_(* #,##0.0_);[Red]_(* \(#,##0.0\);_(* &quot;-&quot;_);_(@_)"/>
    <numFmt numFmtId="179" formatCode="mmm"/>
  </numFmts>
  <fonts count="29" x14ac:knownFonts="1"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u/>
      <sz val="10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b/>
      <sz val="12"/>
      <name val="Arial"/>
      <family val="2"/>
    </font>
    <font>
      <b/>
      <i/>
      <sz val="8"/>
      <color indexed="18"/>
      <name val="Helv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0"/>
      <name val="Times New Roman"/>
      <family val="1"/>
    </font>
    <font>
      <b/>
      <sz val="8"/>
      <name val="Times New Roman"/>
      <family val="1"/>
    </font>
    <font>
      <b/>
      <u/>
      <sz val="12"/>
      <name val="Times New Roman"/>
      <family val="1"/>
    </font>
    <font>
      <b/>
      <u/>
      <sz val="10"/>
      <name val="Times New Roman"/>
      <family val="1"/>
    </font>
    <font>
      <sz val="10"/>
      <name val="Times New Roman"/>
      <family val="1"/>
    </font>
    <font>
      <sz val="12"/>
      <name val="Arial"/>
      <family val="2"/>
    </font>
    <font>
      <sz val="10"/>
      <color rgb="FFFF0000"/>
      <name val="Times New Roman"/>
      <family val="1"/>
    </font>
    <font>
      <sz val="9.35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2">
    <xf numFmtId="175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1" fontId="16" fillId="0" borderId="0" applyFont="0" applyFill="0" applyBorder="0" applyProtection="0">
      <alignment horizontal="right"/>
    </xf>
    <xf numFmtId="0" fontId="15" fillId="0" borderId="0" applyNumberFormat="0" applyFill="0" applyBorder="0" applyAlignment="0">
      <protection locked="0"/>
    </xf>
    <xf numFmtId="165" fontId="17" fillId="0" borderId="0" applyNumberFormat="0" applyFill="0" applyBorder="0" applyAlignment="0" applyProtection="0"/>
    <xf numFmtId="0" fontId="18" fillId="0" borderId="1" applyNumberFormat="0" applyBorder="0" applyAlignment="0"/>
    <xf numFmtId="41" fontId="4" fillId="0" borderId="0"/>
    <xf numFmtId="0" fontId="4" fillId="0" borderId="0"/>
    <xf numFmtId="175" fontId="4" fillId="0" borderId="0"/>
    <xf numFmtId="0" fontId="2" fillId="0" borderId="0"/>
    <xf numFmtId="12" fontId="14" fillId="2" borderId="2">
      <alignment horizontal="left"/>
    </xf>
    <xf numFmtId="9" fontId="2" fillId="0" borderId="0" applyFont="0" applyFill="0" applyBorder="0" applyAlignment="0" applyProtection="0"/>
    <xf numFmtId="37" fontId="18" fillId="3" borderId="0" applyNumberFormat="0" applyBorder="0" applyAlignment="0" applyProtection="0"/>
    <xf numFmtId="37" fontId="19" fillId="0" borderId="0"/>
    <xf numFmtId="3" fontId="20" fillId="4" borderId="3" applyProtection="0"/>
    <xf numFmtId="0" fontId="2" fillId="0" borderId="0"/>
    <xf numFmtId="0" fontId="1" fillId="0" borderId="0"/>
    <xf numFmtId="175" fontId="2" fillId="0" borderId="0"/>
    <xf numFmtId="175" fontId="4" fillId="0" borderId="0"/>
    <xf numFmtId="175" fontId="2" fillId="0" borderId="0"/>
    <xf numFmtId="175" fontId="4" fillId="0" borderId="0"/>
  </cellStyleXfs>
  <cellXfs count="303">
    <xf numFmtId="175" fontId="0" fillId="0" borderId="0" xfId="0"/>
    <xf numFmtId="175" fontId="5" fillId="0" borderId="0" xfId="0" applyFont="1" applyFill="1" applyAlignment="1">
      <alignment horizontal="centerContinuous"/>
    </xf>
    <xf numFmtId="175" fontId="12" fillId="0" borderId="0" xfId="0" applyFont="1" applyFill="1"/>
    <xf numFmtId="175" fontId="12" fillId="0" borderId="0" xfId="0" applyFont="1" applyFill="1" applyBorder="1"/>
    <xf numFmtId="175" fontId="12" fillId="0" borderId="4" xfId="0" applyFont="1" applyFill="1" applyBorder="1" applyAlignment="1">
      <alignment horizontal="center"/>
    </xf>
    <xf numFmtId="8" fontId="12" fillId="0" borderId="0" xfId="0" applyNumberFormat="1" applyFont="1" applyFill="1" applyBorder="1" applyAlignment="1">
      <alignment horizontal="center"/>
    </xf>
    <xf numFmtId="175" fontId="12" fillId="0" borderId="0" xfId="0" applyFont="1" applyFill="1" applyAlignment="1">
      <alignment horizontal="center"/>
    </xf>
    <xf numFmtId="175" fontId="4" fillId="0" borderId="0" xfId="0" applyFont="1" applyFill="1"/>
    <xf numFmtId="175" fontId="6" fillId="0" borderId="0" xfId="0" applyFont="1" applyFill="1" applyAlignment="1">
      <alignment horizontal="centerContinuous"/>
    </xf>
    <xf numFmtId="175" fontId="4" fillId="0" borderId="5" xfId="0" applyFont="1" applyFill="1" applyBorder="1" applyAlignment="1">
      <alignment horizontal="centerContinuous"/>
    </xf>
    <xf numFmtId="175" fontId="4" fillId="0" borderId="0" xfId="0" applyFont="1" applyFill="1" applyBorder="1"/>
    <xf numFmtId="175" fontId="4" fillId="0" borderId="0" xfId="0" applyFont="1" applyFill="1" applyBorder="1" applyAlignment="1">
      <alignment horizontal="center"/>
    </xf>
    <xf numFmtId="8" fontId="4" fillId="0" borderId="0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8" fontId="8" fillId="0" borderId="0" xfId="0" applyNumberFormat="1" applyFont="1" applyFill="1" applyAlignment="1">
      <alignment horizontal="center"/>
    </xf>
    <xf numFmtId="175" fontId="12" fillId="0" borderId="6" xfId="0" applyFont="1" applyFill="1" applyBorder="1" applyAlignment="1">
      <alignment horizontal="center"/>
    </xf>
    <xf numFmtId="175" fontId="12" fillId="0" borderId="7" xfId="0" applyFont="1" applyFill="1" applyBorder="1" applyAlignment="1">
      <alignment horizontal="center"/>
    </xf>
    <xf numFmtId="175" fontId="9" fillId="0" borderId="0" xfId="0" applyFont="1" applyFill="1"/>
    <xf numFmtId="175" fontId="4" fillId="0" borderId="0" xfId="0" quotePrefix="1" applyFont="1" applyFill="1" applyBorder="1" applyAlignment="1">
      <alignment horizontal="center"/>
    </xf>
    <xf numFmtId="175" fontId="9" fillId="0" borderId="0" xfId="0" applyFont="1" applyFill="1" applyAlignment="1">
      <alignment horizontal="centerContinuous"/>
    </xf>
    <xf numFmtId="175" fontId="10" fillId="0" borderId="0" xfId="0" applyFont="1" applyFill="1"/>
    <xf numFmtId="175" fontId="4" fillId="0" borderId="0" xfId="0" quotePrefix="1" applyFont="1" applyFill="1" applyAlignment="1">
      <alignment horizontal="right"/>
    </xf>
    <xf numFmtId="175" fontId="5" fillId="0" borderId="0" xfId="0" applyFont="1" applyFill="1" applyBorder="1" applyAlignment="1">
      <alignment horizontal="center"/>
    </xf>
    <xf numFmtId="175" fontId="6" fillId="0" borderId="0" xfId="0" applyFont="1" applyFill="1" applyBorder="1" applyAlignment="1">
      <alignment horizontal="center"/>
    </xf>
    <xf numFmtId="8" fontId="8" fillId="0" borderId="0" xfId="0" applyNumberFormat="1" applyFont="1" applyFill="1" applyAlignment="1">
      <alignment horizontal="centerContinuous"/>
    </xf>
    <xf numFmtId="175" fontId="8" fillId="0" borderId="0" xfId="0" quotePrefix="1" applyFont="1" applyFill="1" applyAlignment="1">
      <alignment horizontal="center"/>
    </xf>
    <xf numFmtId="8" fontId="8" fillId="0" borderId="0" xfId="0" applyNumberFormat="1" applyFont="1" applyFill="1" applyAlignment="1"/>
    <xf numFmtId="175" fontId="3" fillId="0" borderId="0" xfId="0" applyFont="1" applyFill="1" applyBorder="1" applyAlignment="1">
      <alignment horizontal="left"/>
    </xf>
    <xf numFmtId="175" fontId="10" fillId="0" borderId="0" xfId="0" applyFont="1" applyFill="1" applyAlignment="1">
      <alignment horizontal="centerContinuous"/>
    </xf>
    <xf numFmtId="175" fontId="5" fillId="0" borderId="0" xfId="0" applyFont="1" applyFill="1" applyBorder="1" applyAlignment="1">
      <alignment horizontal="centerContinuous"/>
    </xf>
    <xf numFmtId="175" fontId="6" fillId="0" borderId="0" xfId="0" applyFont="1" applyFill="1" applyBorder="1" applyAlignment="1">
      <alignment horizontal="centerContinuous"/>
    </xf>
    <xf numFmtId="8" fontId="8" fillId="0" borderId="0" xfId="0" applyNumberFormat="1" applyFont="1" applyFill="1" applyBorder="1" applyAlignment="1">
      <alignment horizontal="left"/>
    </xf>
    <xf numFmtId="175" fontId="4" fillId="0" borderId="0" xfId="0" quotePrefix="1" applyFont="1" applyFill="1" applyBorder="1" applyAlignment="1">
      <alignment horizontal="left"/>
    </xf>
    <xf numFmtId="175" fontId="12" fillId="0" borderId="8" xfId="0" applyFont="1" applyFill="1" applyBorder="1" applyAlignment="1">
      <alignment horizontal="centerContinuous"/>
    </xf>
    <xf numFmtId="175" fontId="12" fillId="0" borderId="0" xfId="0" applyFont="1" applyFill="1" applyBorder="1" applyAlignment="1">
      <alignment horizontal="center"/>
    </xf>
    <xf numFmtId="175" fontId="12" fillId="0" borderId="9" xfId="0" applyFont="1" applyFill="1" applyBorder="1" applyAlignment="1">
      <alignment horizontal="centerContinuous"/>
    </xf>
    <xf numFmtId="1" fontId="12" fillId="0" borderId="0" xfId="0" applyNumberFormat="1" applyFont="1" applyFill="1" applyAlignment="1">
      <alignment horizontal="center"/>
    </xf>
    <xf numFmtId="175" fontId="12" fillId="0" borderId="4" xfId="0" applyFont="1" applyFill="1" applyBorder="1"/>
    <xf numFmtId="175" fontId="12" fillId="0" borderId="6" xfId="0" applyFont="1" applyFill="1" applyBorder="1"/>
    <xf numFmtId="175" fontId="12" fillId="0" borderId="10" xfId="0" applyFont="1" applyFill="1" applyBorder="1"/>
    <xf numFmtId="175" fontId="12" fillId="0" borderId="10" xfId="0" applyFont="1" applyFill="1" applyBorder="1" applyAlignment="1">
      <alignment horizontal="center"/>
    </xf>
    <xf numFmtId="175" fontId="12" fillId="0" borderId="0" xfId="0" quotePrefix="1" applyFont="1" applyFill="1" applyBorder="1" applyAlignment="1">
      <alignment horizontal="center"/>
    </xf>
    <xf numFmtId="167" fontId="12" fillId="0" borderId="0" xfId="0" applyNumberFormat="1" applyFont="1" applyFill="1" applyBorder="1" applyAlignment="1">
      <alignment horizontal="center"/>
    </xf>
    <xf numFmtId="175" fontId="12" fillId="0" borderId="11" xfId="0" applyFont="1" applyFill="1" applyBorder="1" applyAlignment="1">
      <alignment horizontal="centerContinuous"/>
    </xf>
    <xf numFmtId="175" fontId="12" fillId="0" borderId="4" xfId="0" applyFont="1" applyFill="1" applyBorder="1" applyAlignment="1">
      <alignment horizontal="centerContinuous"/>
    </xf>
    <xf numFmtId="175" fontId="12" fillId="0" borderId="12" xfId="0" applyFont="1" applyFill="1" applyBorder="1" applyAlignment="1">
      <alignment horizontal="center"/>
    </xf>
    <xf numFmtId="175" fontId="12" fillId="0" borderId="13" xfId="0" applyFont="1" applyFill="1" applyBorder="1" applyAlignment="1">
      <alignment horizontal="centerContinuous"/>
    </xf>
    <xf numFmtId="175" fontId="12" fillId="0" borderId="12" xfId="0" applyFont="1" applyFill="1" applyBorder="1"/>
    <xf numFmtId="17" fontId="12" fillId="0" borderId="12" xfId="0" applyNumberFormat="1" applyFont="1" applyFill="1" applyBorder="1" applyAlignment="1">
      <alignment horizontal="centerContinuous"/>
    </xf>
    <xf numFmtId="17" fontId="12" fillId="0" borderId="7" xfId="0" applyNumberFormat="1" applyFont="1" applyFill="1" applyBorder="1" applyAlignment="1">
      <alignment horizontal="center"/>
    </xf>
    <xf numFmtId="175" fontId="12" fillId="0" borderId="14" xfId="0" applyFont="1" applyFill="1" applyBorder="1"/>
    <xf numFmtId="175" fontId="12" fillId="0" borderId="14" xfId="0" applyFont="1" applyFill="1" applyBorder="1" applyAlignment="1">
      <alignment horizontal="centerContinuous"/>
    </xf>
    <xf numFmtId="175" fontId="12" fillId="0" borderId="15" xfId="0" applyFont="1" applyFill="1" applyBorder="1" applyAlignment="1">
      <alignment horizontal="centerContinuous"/>
    </xf>
    <xf numFmtId="175" fontId="12" fillId="0" borderId="15" xfId="0" applyFont="1" applyFill="1" applyBorder="1" applyAlignment="1">
      <alignment horizontal="center"/>
    </xf>
    <xf numFmtId="175" fontId="12" fillId="0" borderId="0" xfId="0" quotePrefix="1" applyFont="1" applyFill="1" applyBorder="1" applyAlignment="1">
      <alignment horizontal="centerContinuous"/>
    </xf>
    <xf numFmtId="175" fontId="12" fillId="0" borderId="13" xfId="0" applyFont="1" applyFill="1" applyBorder="1" applyAlignment="1">
      <alignment horizontal="center"/>
    </xf>
    <xf numFmtId="175" fontId="12" fillId="0" borderId="16" xfId="0" applyFont="1" applyFill="1" applyBorder="1" applyAlignment="1">
      <alignment horizontal="center"/>
    </xf>
    <xf numFmtId="175" fontId="12" fillId="0" borderId="12" xfId="0" applyFont="1" applyFill="1" applyBorder="1" applyAlignment="1">
      <alignment horizontal="centerContinuous"/>
    </xf>
    <xf numFmtId="9" fontId="12" fillId="0" borderId="6" xfId="12" applyFont="1" applyFill="1" applyBorder="1" applyAlignment="1">
      <alignment horizontal="center"/>
    </xf>
    <xf numFmtId="175" fontId="12" fillId="0" borderId="11" xfId="0" quotePrefix="1" applyFont="1" applyFill="1" applyBorder="1" applyAlignment="1">
      <alignment horizontal="centerContinuous"/>
    </xf>
    <xf numFmtId="175" fontId="12" fillId="0" borderId="8" xfId="0" quotePrefix="1" applyFont="1" applyFill="1" applyBorder="1" applyAlignment="1">
      <alignment horizontal="centerContinuous"/>
    </xf>
    <xf numFmtId="175" fontId="12" fillId="0" borderId="0" xfId="0" quotePrefix="1" applyFont="1" applyFill="1"/>
    <xf numFmtId="169" fontId="11" fillId="0" borderId="0" xfId="12" applyNumberFormat="1" applyFont="1" applyFill="1"/>
    <xf numFmtId="41" fontId="11" fillId="0" borderId="0" xfId="7" applyFont="1" applyFill="1"/>
    <xf numFmtId="164" fontId="11" fillId="0" borderId="0" xfId="7" applyNumberFormat="1" applyFont="1" applyFill="1"/>
    <xf numFmtId="0" fontId="12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Alignment="1">
      <alignment horizontal="center"/>
    </xf>
    <xf numFmtId="175" fontId="4" fillId="0" borderId="11" xfId="0" applyFont="1" applyFill="1" applyBorder="1" applyAlignment="1">
      <alignment horizontal="center"/>
    </xf>
    <xf numFmtId="8" fontId="4" fillId="0" borderId="7" xfId="0" applyNumberFormat="1" applyFont="1" applyFill="1" applyBorder="1" applyAlignment="1">
      <alignment horizontal="center"/>
    </xf>
    <xf numFmtId="175" fontId="4" fillId="0" borderId="0" xfId="0" applyFont="1" applyFill="1" applyBorder="1" applyAlignment="1">
      <alignment horizontal="left"/>
    </xf>
    <xf numFmtId="175" fontId="4" fillId="0" borderId="0" xfId="0" quotePrefix="1" applyFont="1" applyFill="1"/>
    <xf numFmtId="175" fontId="4" fillId="0" borderId="8" xfId="0" applyFont="1" applyFill="1" applyBorder="1" applyAlignment="1">
      <alignment horizontal="centerContinuous"/>
    </xf>
    <xf numFmtId="175" fontId="4" fillId="0" borderId="17" xfId="0" applyFont="1" applyFill="1" applyBorder="1" applyAlignment="1">
      <alignment horizontal="centerContinuous"/>
    </xf>
    <xf numFmtId="175" fontId="4" fillId="0" borderId="0" xfId="0" applyFont="1" applyFill="1" applyAlignment="1">
      <alignment horizontal="right"/>
    </xf>
    <xf numFmtId="175" fontId="4" fillId="0" borderId="0" xfId="0" applyFont="1" applyFill="1" applyBorder="1" applyAlignment="1">
      <alignment horizontal="right"/>
    </xf>
    <xf numFmtId="8" fontId="4" fillId="0" borderId="0" xfId="0" applyNumberFormat="1" applyFont="1" applyFill="1"/>
    <xf numFmtId="167" fontId="4" fillId="0" borderId="0" xfId="0" applyNumberFormat="1" applyFont="1" applyFill="1" applyAlignment="1">
      <alignment horizontal="left"/>
    </xf>
    <xf numFmtId="0" fontId="4" fillId="0" borderId="13" xfId="0" applyNumberFormat="1" applyFont="1" applyFill="1" applyBorder="1" applyAlignment="1">
      <alignment horizontal="center"/>
    </xf>
    <xf numFmtId="0" fontId="4" fillId="0" borderId="12" xfId="0" applyNumberFormat="1" applyFont="1" applyFill="1" applyBorder="1" applyAlignment="1">
      <alignment horizontal="center"/>
    </xf>
    <xf numFmtId="0" fontId="4" fillId="0" borderId="14" xfId="0" applyNumberFormat="1" applyFont="1" applyFill="1" applyBorder="1" applyAlignment="1">
      <alignment horizontal="center"/>
    </xf>
    <xf numFmtId="8" fontId="4" fillId="0" borderId="18" xfId="0" applyNumberFormat="1" applyFont="1" applyFill="1" applyBorder="1" applyAlignment="1">
      <alignment horizontal="center"/>
    </xf>
    <xf numFmtId="8" fontId="4" fillId="0" borderId="16" xfId="0" applyNumberFormat="1" applyFont="1" applyFill="1" applyBorder="1" applyAlignment="1">
      <alignment horizontal="center"/>
    </xf>
    <xf numFmtId="167" fontId="4" fillId="0" borderId="18" xfId="0" applyNumberFormat="1" applyFont="1" applyFill="1" applyBorder="1" applyAlignment="1">
      <alignment horizontal="center"/>
    </xf>
    <xf numFmtId="167" fontId="4" fillId="0" borderId="16" xfId="0" applyNumberFormat="1" applyFont="1" applyFill="1" applyBorder="1" applyAlignment="1">
      <alignment horizontal="center"/>
    </xf>
    <xf numFmtId="167" fontId="4" fillId="0" borderId="7" xfId="0" applyNumberFormat="1" applyFont="1" applyFill="1" applyBorder="1" applyAlignment="1">
      <alignment horizontal="center"/>
    </xf>
    <xf numFmtId="8" fontId="4" fillId="0" borderId="9" xfId="0" applyNumberFormat="1" applyFont="1" applyFill="1" applyBorder="1" applyAlignment="1">
      <alignment horizontal="center"/>
    </xf>
    <xf numFmtId="167" fontId="4" fillId="0" borderId="9" xfId="0" applyNumberFormat="1" applyFont="1" applyFill="1" applyBorder="1" applyAlignment="1">
      <alignment horizontal="center"/>
    </xf>
    <xf numFmtId="167" fontId="4" fillId="0" borderId="15" xfId="0" applyNumberFormat="1" applyFont="1" applyFill="1" applyBorder="1" applyAlignment="1">
      <alignment horizontal="center"/>
    </xf>
    <xf numFmtId="175" fontId="7" fillId="0" borderId="0" xfId="0" applyFont="1" applyFill="1" applyBorder="1" applyAlignment="1">
      <alignment horizontal="center"/>
    </xf>
    <xf numFmtId="175" fontId="7" fillId="0" borderId="0" xfId="0" quotePrefix="1" applyFont="1" applyFill="1" applyBorder="1" applyAlignment="1">
      <alignment horizontal="center"/>
    </xf>
    <xf numFmtId="8" fontId="12" fillId="0" borderId="0" xfId="0" applyNumberFormat="1" applyFont="1" applyFill="1" applyAlignment="1">
      <alignment horizontal="center"/>
    </xf>
    <xf numFmtId="8" fontId="8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left"/>
    </xf>
    <xf numFmtId="167" fontId="12" fillId="0" borderId="7" xfId="0" applyNumberFormat="1" applyFont="1" applyFill="1" applyBorder="1" applyAlignment="1">
      <alignment horizontal="center"/>
    </xf>
    <xf numFmtId="175" fontId="4" fillId="0" borderId="0" xfId="9" applyFont="1" applyFill="1"/>
    <xf numFmtId="175" fontId="5" fillId="0" borderId="0" xfId="9" applyFont="1" applyFill="1" applyAlignment="1">
      <alignment horizontal="centerContinuous"/>
    </xf>
    <xf numFmtId="175" fontId="3" fillId="0" borderId="4" xfId="9" applyFont="1" applyFill="1" applyBorder="1" applyAlignment="1">
      <alignment horizontal="center"/>
    </xf>
    <xf numFmtId="175" fontId="3" fillId="0" borderId="4" xfId="9" applyFont="1" applyFill="1" applyBorder="1" applyAlignment="1">
      <alignment horizontal="center" wrapText="1"/>
    </xf>
    <xf numFmtId="175" fontId="13" fillId="0" borderId="10" xfId="9" applyFont="1" applyFill="1" applyBorder="1" applyAlignment="1">
      <alignment horizontal="centerContinuous"/>
    </xf>
    <xf numFmtId="175" fontId="22" fillId="0" borderId="10" xfId="9" quotePrefix="1" applyFont="1" applyFill="1" applyBorder="1" applyAlignment="1">
      <alignment horizontal="center" wrapText="1"/>
    </xf>
    <xf numFmtId="175" fontId="22" fillId="0" borderId="10" xfId="9" applyFont="1" applyFill="1" applyBorder="1" applyAlignment="1">
      <alignment horizontal="center" wrapText="1"/>
    </xf>
    <xf numFmtId="175" fontId="7" fillId="0" borderId="0" xfId="9" quotePrefix="1" applyFont="1" applyFill="1" applyBorder="1" applyAlignment="1">
      <alignment horizontal="center"/>
    </xf>
    <xf numFmtId="175" fontId="23" fillId="0" borderId="0" xfId="9" applyFont="1" applyFill="1" applyBorder="1"/>
    <xf numFmtId="175" fontId="3" fillId="0" borderId="19" xfId="9" applyFont="1" applyFill="1" applyBorder="1" applyAlignment="1">
      <alignment horizontal="centerContinuous"/>
    </xf>
    <xf numFmtId="175" fontId="3" fillId="0" borderId="20" xfId="9" applyFont="1" applyFill="1" applyBorder="1" applyAlignment="1">
      <alignment horizontal="centerContinuous"/>
    </xf>
    <xf numFmtId="175" fontId="3" fillId="0" borderId="21" xfId="9" applyFont="1" applyFill="1" applyBorder="1" applyAlignment="1">
      <alignment horizontal="centerContinuous"/>
    </xf>
    <xf numFmtId="41" fontId="3" fillId="0" borderId="20" xfId="7" applyFont="1" applyFill="1" applyBorder="1" applyAlignment="1">
      <alignment horizontal="centerContinuous"/>
    </xf>
    <xf numFmtId="41" fontId="3" fillId="0" borderId="22" xfId="7" applyFont="1" applyFill="1" applyBorder="1" applyAlignment="1">
      <alignment horizontal="centerContinuous"/>
    </xf>
    <xf numFmtId="175" fontId="6" fillId="0" borderId="0" xfId="9" applyFont="1" applyFill="1" applyAlignment="1">
      <alignment horizontal="centerContinuous"/>
    </xf>
    <xf numFmtId="175" fontId="3" fillId="0" borderId="0" xfId="9" applyFont="1" applyFill="1" applyAlignment="1">
      <alignment horizontal="centerContinuous"/>
    </xf>
    <xf numFmtId="175" fontId="3" fillId="0" borderId="11" xfId="9" applyFont="1" applyFill="1" applyBorder="1" applyAlignment="1">
      <alignment horizontal="centerContinuous"/>
    </xf>
    <xf numFmtId="175" fontId="3" fillId="0" borderId="5" xfId="9" applyFont="1" applyFill="1" applyBorder="1" applyAlignment="1">
      <alignment horizontal="centerContinuous"/>
    </xf>
    <xf numFmtId="175" fontId="3" fillId="0" borderId="11" xfId="9" applyFont="1" applyFill="1" applyBorder="1" applyAlignment="1">
      <alignment horizontal="center"/>
    </xf>
    <xf numFmtId="41" fontId="11" fillId="0" borderId="0" xfId="9" applyNumberFormat="1" applyFont="1" applyFill="1"/>
    <xf numFmtId="6" fontId="11" fillId="0" borderId="0" xfId="2" applyNumberFormat="1" applyFont="1" applyFill="1"/>
    <xf numFmtId="8" fontId="11" fillId="0" borderId="0" xfId="2" applyNumberFormat="1" applyFont="1" applyFill="1"/>
    <xf numFmtId="175" fontId="11" fillId="0" borderId="0" xfId="9" applyFont="1" applyFill="1"/>
    <xf numFmtId="164" fontId="7" fillId="0" borderId="0" xfId="9" applyNumberFormat="1" applyFont="1" applyFill="1" applyAlignment="1">
      <alignment horizontal="right"/>
    </xf>
    <xf numFmtId="175" fontId="3" fillId="0" borderId="8" xfId="9" applyFont="1" applyFill="1" applyBorder="1" applyAlignment="1">
      <alignment horizontal="centerContinuous"/>
    </xf>
    <xf numFmtId="175" fontId="3" fillId="0" borderId="6" xfId="9" applyFont="1" applyFill="1" applyBorder="1" applyAlignment="1">
      <alignment horizontal="center"/>
    </xf>
    <xf numFmtId="175" fontId="4" fillId="0" borderId="10" xfId="9" applyFont="1" applyFill="1" applyBorder="1"/>
    <xf numFmtId="175" fontId="3" fillId="0" borderId="10" xfId="9" applyFont="1" applyFill="1" applyBorder="1" applyAlignment="1">
      <alignment horizontal="center"/>
    </xf>
    <xf numFmtId="175" fontId="4" fillId="0" borderId="0" xfId="9" applyFont="1" applyFill="1" applyBorder="1" applyAlignment="1">
      <alignment horizontal="center"/>
    </xf>
    <xf numFmtId="175" fontId="4" fillId="0" borderId="0" xfId="9" quotePrefix="1" applyFont="1" applyFill="1" applyBorder="1" applyAlignment="1">
      <alignment horizontal="center"/>
    </xf>
    <xf numFmtId="0" fontId="4" fillId="0" borderId="0" xfId="9" applyNumberFormat="1" applyFont="1" applyFill="1" applyAlignment="1">
      <alignment horizontal="center"/>
    </xf>
    <xf numFmtId="167" fontId="4" fillId="0" borderId="0" xfId="9" applyNumberFormat="1" applyFont="1" applyFill="1" applyBorder="1" applyAlignment="1">
      <alignment horizontal="center"/>
    </xf>
    <xf numFmtId="175" fontId="24" fillId="0" borderId="0" xfId="9" applyFont="1" applyFill="1" applyAlignment="1">
      <alignment horizontal="left"/>
    </xf>
    <xf numFmtId="167" fontId="8" fillId="0" borderId="0" xfId="0" applyNumberFormat="1" applyFont="1" applyFill="1" applyBorder="1" applyAlignment="1">
      <alignment horizontal="center"/>
    </xf>
    <xf numFmtId="175" fontId="12" fillId="0" borderId="11" xfId="0" applyFont="1" applyFill="1" applyBorder="1" applyAlignment="1">
      <alignment horizontal="center"/>
    </xf>
    <xf numFmtId="175" fontId="3" fillId="0" borderId="11" xfId="0" applyFont="1" applyFill="1" applyBorder="1" applyAlignment="1">
      <alignment horizontal="center"/>
    </xf>
    <xf numFmtId="175" fontId="21" fillId="0" borderId="0" xfId="0" applyFont="1" applyFill="1"/>
    <xf numFmtId="175" fontId="21" fillId="0" borderId="0" xfId="0" applyFont="1" applyFill="1" applyAlignment="1">
      <alignment horizontal="center"/>
    </xf>
    <xf numFmtId="175" fontId="12" fillId="0" borderId="0" xfId="9" applyFont="1" applyFill="1"/>
    <xf numFmtId="175" fontId="12" fillId="0" borderId="0" xfId="9" applyFont="1" applyFill="1" applyAlignment="1">
      <alignment horizontal="centerContinuous"/>
    </xf>
    <xf numFmtId="175" fontId="25" fillId="0" borderId="0" xfId="9" applyFont="1" applyFill="1"/>
    <xf numFmtId="175" fontId="25" fillId="0" borderId="0" xfId="9" applyFont="1" applyFill="1" applyAlignment="1">
      <alignment horizontal="right"/>
    </xf>
    <xf numFmtId="175" fontId="21" fillId="0" borderId="0" xfId="0" applyFont="1" applyFill="1" applyAlignment="1">
      <alignment horizontal="left"/>
    </xf>
    <xf numFmtId="10" fontId="21" fillId="0" borderId="0" xfId="0" applyNumberFormat="1" applyFont="1" applyFill="1" applyAlignment="1">
      <alignment horizontal="center"/>
    </xf>
    <xf numFmtId="175" fontId="21" fillId="0" borderId="0" xfId="0" applyFont="1" applyFill="1" applyAlignment="1">
      <alignment horizontal="right"/>
    </xf>
    <xf numFmtId="39" fontId="21" fillId="0" borderId="0" xfId="0" applyNumberFormat="1" applyFont="1" applyFill="1" applyBorder="1" applyAlignment="1">
      <alignment horizontal="center"/>
    </xf>
    <xf numFmtId="2" fontId="21" fillId="0" borderId="0" xfId="0" applyNumberFormat="1" applyFont="1" applyFill="1" applyAlignment="1">
      <alignment horizontal="center"/>
    </xf>
    <xf numFmtId="175" fontId="21" fillId="0" borderId="0" xfId="0" quotePrefix="1" applyFont="1" applyFill="1" applyAlignment="1">
      <alignment horizontal="right"/>
    </xf>
    <xf numFmtId="43" fontId="21" fillId="0" borderId="0" xfId="1" applyFont="1" applyFill="1"/>
    <xf numFmtId="0" fontId="21" fillId="0" borderId="0" xfId="8" applyFont="1"/>
    <xf numFmtId="8" fontId="12" fillId="0" borderId="0" xfId="0" applyNumberFormat="1" applyFont="1" applyFill="1" applyBorder="1" applyAlignment="1">
      <alignment horizontal="centerContinuous"/>
    </xf>
    <xf numFmtId="0" fontId="12" fillId="0" borderId="12" xfId="0" applyNumberFormat="1" applyFont="1" applyFill="1" applyBorder="1" applyAlignment="1">
      <alignment horizontal="center"/>
    </xf>
    <xf numFmtId="0" fontId="12" fillId="0" borderId="14" xfId="0" applyNumberFormat="1" applyFont="1" applyFill="1" applyBorder="1" applyAlignment="1">
      <alignment horizontal="center"/>
    </xf>
    <xf numFmtId="8" fontId="12" fillId="0" borderId="9" xfId="0" applyNumberFormat="1" applyFont="1" applyFill="1" applyBorder="1" applyAlignment="1">
      <alignment horizontal="center"/>
    </xf>
    <xf numFmtId="8" fontId="12" fillId="0" borderId="9" xfId="0" applyNumberFormat="1" applyFont="1" applyFill="1" applyBorder="1" applyAlignment="1">
      <alignment horizontal="right"/>
    </xf>
    <xf numFmtId="8" fontId="12" fillId="0" borderId="15" xfId="0" applyNumberFormat="1" applyFont="1" applyFill="1" applyBorder="1" applyAlignment="1">
      <alignment horizontal="center"/>
    </xf>
    <xf numFmtId="167" fontId="12" fillId="0" borderId="9" xfId="0" applyNumberFormat="1" applyFont="1" applyFill="1" applyBorder="1" applyAlignment="1">
      <alignment horizontal="center"/>
    </xf>
    <xf numFmtId="167" fontId="12" fillId="0" borderId="15" xfId="0" applyNumberFormat="1" applyFont="1" applyFill="1" applyBorder="1" applyAlignment="1">
      <alignment horizontal="center"/>
    </xf>
    <xf numFmtId="175" fontId="12" fillId="0" borderId="9" xfId="0" applyFont="1" applyFill="1" applyBorder="1" applyAlignment="1">
      <alignment horizontal="center"/>
    </xf>
    <xf numFmtId="8" fontId="12" fillId="0" borderId="0" xfId="0" applyNumberFormat="1" applyFont="1" applyFill="1" applyBorder="1"/>
    <xf numFmtId="175" fontId="12" fillId="0" borderId="6" xfId="0" applyFont="1" applyFill="1" applyBorder="1" applyAlignment="1">
      <alignment horizontal="centerContinuous"/>
    </xf>
    <xf numFmtId="175" fontId="12" fillId="0" borderId="13" xfId="0" applyFont="1" applyFill="1" applyBorder="1"/>
    <xf numFmtId="175" fontId="12" fillId="0" borderId="7" xfId="0" quotePrefix="1" applyFont="1" applyFill="1" applyBorder="1" applyAlignment="1">
      <alignment horizontal="center"/>
    </xf>
    <xf numFmtId="175" fontId="12" fillId="0" borderId="10" xfId="0" quotePrefix="1" applyFont="1" applyFill="1" applyBorder="1" applyAlignment="1">
      <alignment horizontal="center"/>
    </xf>
    <xf numFmtId="175" fontId="7" fillId="0" borderId="10" xfId="0" quotePrefix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175" fontId="12" fillId="0" borderId="18" xfId="0" applyFont="1" applyFill="1" applyBorder="1" applyAlignment="1">
      <alignment horizontal="centerContinuous"/>
    </xf>
    <xf numFmtId="175" fontId="12" fillId="0" borderId="0" xfId="0" applyFont="1" applyFill="1" applyBorder="1" applyAlignment="1">
      <alignment horizontal="centerContinuous"/>
    </xf>
    <xf numFmtId="0" fontId="12" fillId="0" borderId="9" xfId="0" applyNumberFormat="1" applyFont="1" applyFill="1" applyBorder="1" applyAlignment="1">
      <alignment horizontal="center"/>
    </xf>
    <xf numFmtId="167" fontId="4" fillId="0" borderId="13" xfId="0" applyNumberFormat="1" applyFont="1" applyFill="1" applyBorder="1" applyAlignment="1">
      <alignment horizontal="center"/>
    </xf>
    <xf numFmtId="167" fontId="4" fillId="0" borderId="12" xfId="0" applyNumberFormat="1" applyFont="1" applyFill="1" applyBorder="1" applyAlignment="1">
      <alignment horizontal="center"/>
    </xf>
    <xf numFmtId="175" fontId="4" fillId="0" borderId="6" xfId="0" quotePrefix="1" applyFont="1" applyFill="1" applyBorder="1" applyAlignment="1">
      <alignment horizontal="center"/>
    </xf>
    <xf numFmtId="1" fontId="4" fillId="0" borderId="13" xfId="0" applyNumberFormat="1" applyFont="1" applyFill="1" applyBorder="1" applyAlignment="1">
      <alignment horizontal="center"/>
    </xf>
    <xf numFmtId="170" fontId="4" fillId="0" borderId="0" xfId="0" applyNumberFormat="1" applyFont="1" applyFill="1"/>
    <xf numFmtId="175" fontId="12" fillId="0" borderId="8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175" fontId="0" fillId="0" borderId="0" xfId="0" applyFont="1" applyFill="1"/>
    <xf numFmtId="1" fontId="4" fillId="0" borderId="12" xfId="0" applyNumberFormat="1" applyFont="1" applyFill="1" applyBorder="1" applyAlignment="1">
      <alignment horizontal="center"/>
    </xf>
    <xf numFmtId="41" fontId="0" fillId="0" borderId="0" xfId="7" applyFont="1" applyFill="1"/>
    <xf numFmtId="175" fontId="0" fillId="0" borderId="0" xfId="9" applyFont="1" applyFill="1"/>
    <xf numFmtId="172" fontId="0" fillId="0" borderId="0" xfId="2" applyNumberFormat="1" applyFont="1" applyFill="1"/>
    <xf numFmtId="41" fontId="0" fillId="0" borderId="0" xfId="7" applyFont="1" applyFill="1" applyAlignment="1">
      <alignment horizontal="left"/>
    </xf>
    <xf numFmtId="8" fontId="0" fillId="0" borderId="0" xfId="2" applyNumberFormat="1" applyFont="1" applyFill="1"/>
    <xf numFmtId="177" fontId="0" fillId="0" borderId="0" xfId="7" applyNumberFormat="1" applyFont="1" applyFill="1" applyBorder="1"/>
    <xf numFmtId="9" fontId="0" fillId="0" borderId="0" xfId="9" applyNumberFormat="1" applyFont="1" applyFill="1"/>
    <xf numFmtId="41" fontId="0" fillId="0" borderId="0" xfId="7" applyFont="1" applyFill="1" applyAlignment="1">
      <alignment horizontal="center"/>
    </xf>
    <xf numFmtId="8" fontId="0" fillId="0" borderId="0" xfId="7" applyNumberFormat="1" applyFont="1" applyFill="1" applyBorder="1"/>
    <xf numFmtId="6" fontId="0" fillId="0" borderId="0" xfId="2" applyNumberFormat="1" applyFont="1" applyFill="1"/>
    <xf numFmtId="9" fontId="0" fillId="0" borderId="0" xfId="0" applyNumberFormat="1" applyFont="1" applyFill="1"/>
    <xf numFmtId="169" fontId="0" fillId="0" borderId="0" xfId="12" applyNumberFormat="1" applyFont="1" applyFill="1"/>
    <xf numFmtId="169" fontId="0" fillId="0" borderId="0" xfId="0" applyNumberFormat="1" applyFont="1" applyFill="1"/>
    <xf numFmtId="8" fontId="12" fillId="0" borderId="0" xfId="0" applyNumberFormat="1" applyFont="1" applyFill="1" applyBorder="1" applyAlignment="1">
      <alignment horizontal="right"/>
    </xf>
    <xf numFmtId="8" fontId="12" fillId="0" borderId="7" xfId="0" applyNumberFormat="1" applyFont="1" applyFill="1" applyBorder="1" applyAlignment="1">
      <alignment horizontal="center"/>
    </xf>
    <xf numFmtId="41" fontId="11" fillId="0" borderId="0" xfId="9" applyNumberFormat="1" applyFont="1" applyFill="1" applyAlignment="1">
      <alignment horizontal="center"/>
    </xf>
    <xf numFmtId="177" fontId="0" fillId="0" borderId="0" xfId="0" applyNumberFormat="1" applyFont="1" applyFill="1" applyAlignment="1">
      <alignment horizontal="center"/>
    </xf>
    <xf numFmtId="41" fontId="0" fillId="0" borderId="0" xfId="9" applyNumberFormat="1" applyFont="1" applyFill="1"/>
    <xf numFmtId="175" fontId="0" fillId="0" borderId="0" xfId="9" applyFont="1" applyFill="1" applyAlignment="1">
      <alignment horizontal="centerContinuous"/>
    </xf>
    <xf numFmtId="175" fontId="0" fillId="0" borderId="0" xfId="9" applyFont="1" applyFill="1" applyAlignment="1">
      <alignment horizontal="right"/>
    </xf>
    <xf numFmtId="175" fontId="0" fillId="0" borderId="0" xfId="9" applyFont="1" applyFill="1" applyBorder="1" applyAlignment="1">
      <alignment horizontal="centerContinuous"/>
    </xf>
    <xf numFmtId="175" fontId="0" fillId="0" borderId="0" xfId="9" applyFont="1" applyFill="1" applyBorder="1"/>
    <xf numFmtId="175" fontId="0" fillId="0" borderId="7" xfId="9" applyFont="1" applyFill="1" applyBorder="1"/>
    <xf numFmtId="0" fontId="0" fillId="0" borderId="0" xfId="9" applyNumberFormat="1" applyFont="1" applyFill="1"/>
    <xf numFmtId="6" fontId="0" fillId="0" borderId="0" xfId="9" applyNumberFormat="1" applyFont="1" applyFill="1" applyAlignment="1">
      <alignment horizontal="right"/>
    </xf>
    <xf numFmtId="8" fontId="0" fillId="0" borderId="0" xfId="9" applyNumberFormat="1" applyFont="1" applyFill="1" applyAlignment="1">
      <alignment horizontal="right"/>
    </xf>
    <xf numFmtId="8" fontId="0" fillId="0" borderId="0" xfId="9" applyNumberFormat="1" applyFont="1" applyFill="1" applyBorder="1" applyAlignment="1">
      <alignment horizontal="right"/>
    </xf>
    <xf numFmtId="166" fontId="0" fillId="0" borderId="0" xfId="9" applyNumberFormat="1" applyFont="1" applyFill="1" applyAlignment="1">
      <alignment horizontal="center"/>
    </xf>
    <xf numFmtId="168" fontId="0" fillId="0" borderId="0" xfId="9" applyNumberFormat="1" applyFont="1" applyFill="1" applyBorder="1"/>
    <xf numFmtId="43" fontId="0" fillId="0" borderId="0" xfId="9" applyNumberFormat="1" applyFont="1" applyFill="1"/>
    <xf numFmtId="8" fontId="0" fillId="0" borderId="0" xfId="9" applyNumberFormat="1" applyFont="1" applyFill="1" applyBorder="1"/>
    <xf numFmtId="0" fontId="0" fillId="0" borderId="0" xfId="9" applyNumberFormat="1" applyFont="1" applyFill="1" applyBorder="1"/>
    <xf numFmtId="166" fontId="0" fillId="0" borderId="0" xfId="9" applyNumberFormat="1" applyFont="1" applyFill="1" applyBorder="1" applyAlignment="1">
      <alignment horizontal="center"/>
    </xf>
    <xf numFmtId="8" fontId="0" fillId="0" borderId="0" xfId="9" applyNumberFormat="1" applyFont="1" applyFill="1" applyBorder="1" applyAlignment="1">
      <alignment horizontal="center"/>
    </xf>
    <xf numFmtId="43" fontId="0" fillId="0" borderId="0" xfId="9" applyNumberFormat="1" applyFont="1" applyFill="1" applyBorder="1"/>
    <xf numFmtId="43" fontId="0" fillId="0" borderId="0" xfId="7" applyNumberFormat="1" applyFont="1" applyFill="1"/>
    <xf numFmtId="164" fontId="0" fillId="0" borderId="0" xfId="7" applyNumberFormat="1" applyFont="1" applyFill="1"/>
    <xf numFmtId="175" fontId="3" fillId="0" borderId="4" xfId="0" applyFont="1" applyFill="1" applyBorder="1" applyAlignment="1">
      <alignment horizontal="centerContinuous" wrapText="1"/>
    </xf>
    <xf numFmtId="175" fontId="3" fillId="0" borderId="4" xfId="0" applyFont="1" applyFill="1" applyBorder="1" applyAlignment="1">
      <alignment horizontal="center" wrapText="1"/>
    </xf>
    <xf numFmtId="175" fontId="22" fillId="0" borderId="10" xfId="0" applyFont="1" applyFill="1" applyBorder="1" applyAlignment="1">
      <alignment horizontal="center" wrapText="1"/>
    </xf>
    <xf numFmtId="175" fontId="22" fillId="0" borderId="10" xfId="0" quotePrefix="1" applyFont="1" applyFill="1" applyBorder="1" applyAlignment="1">
      <alignment horizontal="center" wrapText="1"/>
    </xf>
    <xf numFmtId="8" fontId="0" fillId="0" borderId="0" xfId="9" applyNumberFormat="1" applyFont="1" applyFill="1"/>
    <xf numFmtId="8" fontId="0" fillId="0" borderId="0" xfId="0" applyNumberFormat="1" applyFont="1" applyFill="1" applyBorder="1"/>
    <xf numFmtId="173" fontId="0" fillId="0" borderId="0" xfId="9" applyNumberFormat="1" applyFont="1" applyFill="1"/>
    <xf numFmtId="175" fontId="0" fillId="0" borderId="0" xfId="9" applyFont="1" applyFill="1" applyAlignment="1">
      <alignment horizontal="center"/>
    </xf>
    <xf numFmtId="41" fontId="0" fillId="0" borderId="0" xfId="9" applyNumberFormat="1" applyFont="1" applyFill="1" applyBorder="1"/>
    <xf numFmtId="174" fontId="0" fillId="0" borderId="0" xfId="9" applyNumberFormat="1" applyFont="1" applyFill="1" applyBorder="1"/>
    <xf numFmtId="175" fontId="3" fillId="0" borderId="20" xfId="0" applyFont="1" applyFill="1" applyBorder="1" applyAlignment="1">
      <alignment horizontal="centerContinuous"/>
    </xf>
    <xf numFmtId="175" fontId="3" fillId="0" borderId="23" xfId="0" applyFont="1" applyFill="1" applyBorder="1" applyAlignment="1">
      <alignment horizontal="centerContinuous"/>
    </xf>
    <xf numFmtId="175" fontId="0" fillId="0" borderId="22" xfId="0" applyFont="1" applyFill="1" applyBorder="1" applyAlignment="1">
      <alignment horizontal="centerContinuous"/>
    </xf>
    <xf numFmtId="175" fontId="0" fillId="0" borderId="0" xfId="9" applyFont="1" applyFill="1" applyAlignment="1">
      <alignment horizontal="left"/>
    </xf>
    <xf numFmtId="41" fontId="0" fillId="0" borderId="0" xfId="9" applyNumberFormat="1" applyFont="1" applyFill="1" applyAlignment="1">
      <alignment horizontal="center"/>
    </xf>
    <xf numFmtId="43" fontId="11" fillId="0" borderId="0" xfId="2" applyNumberFormat="1" applyFont="1" applyFill="1"/>
    <xf numFmtId="169" fontId="0" fillId="0" borderId="0" xfId="9" applyNumberFormat="1" applyFont="1" applyFill="1"/>
    <xf numFmtId="175" fontId="0" fillId="0" borderId="5" xfId="0" applyFont="1" applyFill="1" applyBorder="1" applyAlignment="1">
      <alignment horizontal="centerContinuous"/>
    </xf>
    <xf numFmtId="175" fontId="0" fillId="0" borderId="17" xfId="0" applyFont="1" applyFill="1" applyBorder="1" applyAlignment="1">
      <alignment horizontal="centerContinuous"/>
    </xf>
    <xf numFmtId="43" fontId="0" fillId="0" borderId="0" xfId="1" applyFont="1" applyFill="1"/>
    <xf numFmtId="175" fontId="3" fillId="0" borderId="19" xfId="0" applyFont="1" applyFill="1" applyBorder="1" applyAlignment="1">
      <alignment horizontal="centerContinuous"/>
    </xf>
    <xf numFmtId="1" fontId="0" fillId="0" borderId="0" xfId="10" applyNumberFormat="1" applyFont="1" applyFill="1" applyAlignment="1" applyProtection="1">
      <alignment horizontal="center"/>
      <protection locked="0"/>
    </xf>
    <xf numFmtId="175" fontId="0" fillId="0" borderId="0" xfId="0" applyFont="1" applyFill="1" applyBorder="1"/>
    <xf numFmtId="1" fontId="0" fillId="0" borderId="0" xfId="9" applyNumberFormat="1" applyFont="1" applyFill="1"/>
    <xf numFmtId="10" fontId="0" fillId="0" borderId="0" xfId="9" applyNumberFormat="1" applyFont="1" applyFill="1"/>
    <xf numFmtId="175" fontId="0" fillId="0" borderId="0" xfId="0" applyFont="1" applyFill="1" applyAlignment="1">
      <alignment horizontal="right"/>
    </xf>
    <xf numFmtId="167" fontId="0" fillId="0" borderId="0" xfId="0" applyNumberFormat="1" applyFont="1" applyFill="1" applyAlignment="1">
      <alignment horizontal="left"/>
    </xf>
    <xf numFmtId="0" fontId="4" fillId="0" borderId="18" xfId="0" quotePrefix="1" applyNumberFormat="1" applyFont="1" applyFill="1" applyBorder="1" applyAlignment="1">
      <alignment horizontal="center"/>
    </xf>
    <xf numFmtId="1" fontId="26" fillId="0" borderId="0" xfId="0" applyNumberFormat="1" applyFont="1" applyFill="1" applyBorder="1" applyAlignment="1">
      <alignment horizontal="center"/>
    </xf>
    <xf numFmtId="175" fontId="26" fillId="0" borderId="0" xfId="0" applyFont="1" applyFill="1" applyBorder="1"/>
    <xf numFmtId="175" fontId="26" fillId="0" borderId="0" xfId="0" applyFont="1" applyFill="1" applyBorder="1" applyAlignment="1">
      <alignment horizontal="centerContinuous"/>
    </xf>
    <xf numFmtId="175" fontId="26" fillId="0" borderId="0" xfId="0" applyFont="1" applyFill="1" applyBorder="1" applyAlignment="1">
      <alignment horizontal="center"/>
    </xf>
    <xf numFmtId="175" fontId="26" fillId="0" borderId="4" xfId="0" applyFont="1" applyFill="1" applyBorder="1" applyAlignment="1">
      <alignment horizontal="center"/>
    </xf>
    <xf numFmtId="175" fontId="26" fillId="0" borderId="10" xfId="0" applyFont="1" applyFill="1" applyBorder="1" applyAlignment="1">
      <alignment horizontal="center"/>
    </xf>
    <xf numFmtId="176" fontId="26" fillId="0" borderId="0" xfId="0" applyNumberFormat="1" applyFont="1" applyFill="1" applyBorder="1"/>
    <xf numFmtId="175" fontId="26" fillId="0" borderId="0" xfId="0" applyFont="1" applyFill="1"/>
    <xf numFmtId="39" fontId="26" fillId="0" borderId="0" xfId="0" applyNumberFormat="1" applyFont="1" applyFill="1" applyBorder="1" applyAlignment="1">
      <alignment horizontal="center"/>
    </xf>
    <xf numFmtId="177" fontId="26" fillId="0" borderId="0" xfId="0" applyNumberFormat="1" applyFont="1" applyFill="1" applyAlignment="1">
      <alignment horizontal="center"/>
    </xf>
    <xf numFmtId="177" fontId="0" fillId="0" borderId="0" xfId="0" applyNumberFormat="1" applyFont="1" applyFill="1" applyBorder="1"/>
    <xf numFmtId="175" fontId="27" fillId="0" borderId="0" xfId="0" applyFont="1" applyFill="1"/>
    <xf numFmtId="169" fontId="4" fillId="0" borderId="0" xfId="12" applyNumberFormat="1" applyFont="1" applyFill="1"/>
    <xf numFmtId="175" fontId="6" fillId="0" borderId="0" xfId="0" applyFont="1" applyFill="1" applyAlignment="1">
      <alignment horizontal="centerContinuous" vertical="center"/>
    </xf>
    <xf numFmtId="175" fontId="0" fillId="0" borderId="0" xfId="0" applyFill="1" applyAlignment="1">
      <alignment horizontal="centerContinuous" vertical="center"/>
    </xf>
    <xf numFmtId="178" fontId="4" fillId="0" borderId="0" xfId="9" applyNumberFormat="1" applyFont="1" applyFill="1"/>
    <xf numFmtId="176" fontId="4" fillId="0" borderId="0" xfId="9" applyNumberFormat="1" applyFont="1" applyFill="1"/>
    <xf numFmtId="178" fontId="12" fillId="0" borderId="0" xfId="9" applyNumberFormat="1" applyFont="1" applyFill="1"/>
    <xf numFmtId="178" fontId="4" fillId="0" borderId="0" xfId="12" applyNumberFormat="1" applyFont="1" applyFill="1"/>
    <xf numFmtId="178" fontId="25" fillId="0" borderId="0" xfId="9" applyNumberFormat="1" applyFont="1" applyFill="1"/>
    <xf numFmtId="178" fontId="25" fillId="0" borderId="0" xfId="12" applyNumberFormat="1" applyFont="1" applyFill="1"/>
    <xf numFmtId="175" fontId="3" fillId="0" borderId="11" xfId="0" applyFont="1" applyFill="1" applyBorder="1" applyAlignment="1">
      <alignment horizontal="centerContinuous" wrapText="1"/>
    </xf>
    <xf numFmtId="170" fontId="4" fillId="0" borderId="0" xfId="0" applyNumberFormat="1" applyFont="1" applyFill="1" applyBorder="1"/>
    <xf numFmtId="176" fontId="12" fillId="0" borderId="0" xfId="0" applyNumberFormat="1" applyFont="1" applyFill="1"/>
    <xf numFmtId="176" fontId="12" fillId="0" borderId="0" xfId="0" applyNumberFormat="1" applyFont="1" applyFill="1" applyBorder="1"/>
    <xf numFmtId="175" fontId="10" fillId="0" borderId="0" xfId="0" applyFont="1" applyFill="1" applyBorder="1"/>
    <xf numFmtId="14" fontId="12" fillId="0" borderId="0" xfId="0" applyNumberFormat="1" applyFont="1" applyFill="1" applyBorder="1"/>
    <xf numFmtId="175" fontId="5" fillId="0" borderId="0" xfId="19" applyFont="1" applyFill="1" applyAlignment="1">
      <alignment horizontal="centerContinuous"/>
    </xf>
    <xf numFmtId="175" fontId="9" fillId="0" borderId="0" xfId="19" applyFont="1" applyFill="1" applyAlignment="1">
      <alignment horizontal="centerContinuous"/>
    </xf>
    <xf numFmtId="175" fontId="2" fillId="0" borderId="0" xfId="20"/>
    <xf numFmtId="164" fontId="4" fillId="0" borderId="0" xfId="20" applyNumberFormat="1" applyFont="1"/>
    <xf numFmtId="164" fontId="11" fillId="0" borderId="0" xfId="20" applyNumberFormat="1" applyFont="1" applyFill="1"/>
    <xf numFmtId="1" fontId="4" fillId="0" borderId="0" xfId="20" applyNumberFormat="1" applyFont="1" applyFill="1"/>
    <xf numFmtId="175" fontId="3" fillId="0" borderId="8" xfId="21" applyFont="1" applyFill="1" applyBorder="1" applyAlignment="1">
      <alignment horizontal="centerContinuous"/>
    </xf>
    <xf numFmtId="8" fontId="4" fillId="0" borderId="0" xfId="2" applyNumberFormat="1" applyFont="1" applyFill="1"/>
    <xf numFmtId="164" fontId="4" fillId="0" borderId="0" xfId="0" applyNumberFormat="1" applyFont="1" applyFill="1"/>
    <xf numFmtId="1" fontId="4" fillId="0" borderId="0" xfId="9" applyNumberFormat="1" applyFont="1" applyFill="1" applyAlignment="1">
      <alignment horizontal="center"/>
    </xf>
    <xf numFmtId="175" fontId="4" fillId="0" borderId="0" xfId="0" quotePrefix="1" applyFont="1" applyFill="1" applyAlignment="1">
      <alignment horizontal="center"/>
    </xf>
    <xf numFmtId="175" fontId="14" fillId="0" borderId="0" xfId="0" applyFont="1" applyFill="1" applyBorder="1" applyAlignment="1">
      <alignment horizontal="centerContinuous"/>
    </xf>
    <xf numFmtId="8" fontId="26" fillId="0" borderId="0" xfId="0" applyNumberFormat="1" applyFont="1" applyFill="1" applyBorder="1"/>
    <xf numFmtId="175" fontId="26" fillId="0" borderId="6" xfId="0" applyFont="1" applyFill="1" applyBorder="1" applyAlignment="1">
      <alignment horizontal="center"/>
    </xf>
    <xf numFmtId="8" fontId="26" fillId="0" borderId="0" xfId="0" applyNumberFormat="1" applyFont="1" applyFill="1" applyBorder="1" applyAlignment="1">
      <alignment horizontal="center"/>
    </xf>
    <xf numFmtId="2" fontId="26" fillId="0" borderId="0" xfId="0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>
      <alignment horizontal="center"/>
    </xf>
    <xf numFmtId="175" fontId="14" fillId="0" borderId="0" xfId="0" applyFont="1" applyFill="1" applyBorder="1"/>
    <xf numFmtId="1" fontId="4" fillId="0" borderId="14" xfId="0" applyNumberFormat="1" applyFont="1" applyFill="1" applyBorder="1" applyAlignment="1">
      <alignment horizontal="center"/>
    </xf>
    <xf numFmtId="167" fontId="4" fillId="0" borderId="14" xfId="0" applyNumberFormat="1" applyFont="1" applyFill="1" applyBorder="1" applyAlignment="1">
      <alignment horizontal="center"/>
    </xf>
    <xf numFmtId="0" fontId="4" fillId="0" borderId="0" xfId="0" applyNumberFormat="1" applyFont="1" applyFill="1" applyAlignment="1">
      <alignment horizontal="center"/>
    </xf>
    <xf numFmtId="8" fontId="4" fillId="0" borderId="0" xfId="0" applyNumberFormat="1" applyFont="1" applyFill="1" applyAlignment="1">
      <alignment horizontal="center"/>
    </xf>
    <xf numFmtId="0" fontId="4" fillId="0" borderId="9" xfId="0" applyNumberFormat="1" applyFont="1" applyFill="1" applyBorder="1" applyAlignment="1">
      <alignment horizontal="center"/>
    </xf>
    <xf numFmtId="8" fontId="4" fillId="0" borderId="9" xfId="0" applyNumberFormat="1" applyFont="1" applyFill="1" applyBorder="1" applyAlignment="1">
      <alignment horizontal="right"/>
    </xf>
    <xf numFmtId="8" fontId="4" fillId="0" borderId="15" xfId="0" applyNumberFormat="1" applyFont="1" applyFill="1" applyBorder="1" applyAlignment="1">
      <alignment horizontal="center"/>
    </xf>
    <xf numFmtId="0" fontId="4" fillId="0" borderId="18" xfId="0" applyNumberFormat="1" applyFont="1" applyFill="1" applyBorder="1" applyAlignment="1">
      <alignment horizontal="center"/>
    </xf>
    <xf numFmtId="8" fontId="4" fillId="0" borderId="18" xfId="0" applyNumberFormat="1" applyFont="1" applyFill="1" applyBorder="1" applyAlignment="1">
      <alignment horizontal="right"/>
    </xf>
    <xf numFmtId="164" fontId="4" fillId="0" borderId="0" xfId="0" applyNumberFormat="1" applyFont="1" applyFill="1" applyBorder="1"/>
    <xf numFmtId="176" fontId="4" fillId="0" borderId="0" xfId="0" applyNumberFormat="1" applyFont="1" applyFill="1" applyBorder="1"/>
    <xf numFmtId="43" fontId="4" fillId="0" borderId="0" xfId="1" applyNumberFormat="1" applyFont="1" applyFill="1" applyBorder="1"/>
    <xf numFmtId="175" fontId="4" fillId="0" borderId="9" xfId="0" applyFont="1" applyFill="1" applyBorder="1"/>
    <xf numFmtId="175" fontId="5" fillId="0" borderId="0" xfId="20" applyFont="1" applyFill="1" applyAlignment="1">
      <alignment horizontal="centerContinuous"/>
    </xf>
    <xf numFmtId="175" fontId="4" fillId="0" borderId="0" xfId="20" applyFont="1" applyFill="1"/>
    <xf numFmtId="0" fontId="3" fillId="0" borderId="0" xfId="20" applyNumberFormat="1" applyFont="1" applyFill="1" applyAlignment="1">
      <alignment horizontal="center"/>
    </xf>
    <xf numFmtId="1" fontId="3" fillId="0" borderId="0" xfId="20" applyNumberFormat="1" applyFont="1" applyFill="1" applyAlignment="1">
      <alignment horizontal="center"/>
    </xf>
    <xf numFmtId="175" fontId="3" fillId="0" borderId="11" xfId="20" applyFont="1" applyFill="1" applyBorder="1" applyAlignment="1">
      <alignment horizontal="center"/>
    </xf>
    <xf numFmtId="164" fontId="4" fillId="0" borderId="0" xfId="20" applyNumberFormat="1" applyFont="1" applyFill="1"/>
    <xf numFmtId="179" fontId="7" fillId="0" borderId="0" xfId="20" quotePrefix="1" applyNumberFormat="1" applyFont="1" applyFill="1" applyAlignment="1">
      <alignment horizontal="center"/>
    </xf>
    <xf numFmtId="175" fontId="4" fillId="0" borderId="0" xfId="20" applyNumberFormat="1" applyFont="1" applyFill="1"/>
  </cellXfs>
  <cellStyles count="22">
    <cellStyle name="_x0013_" xfId="16"/>
    <cellStyle name="Comma" xfId="1" builtinId="3"/>
    <cellStyle name="Currency" xfId="2" builtinId="4"/>
    <cellStyle name="Currency No Comma" xfId="3"/>
    <cellStyle name="Input" xfId="4" builtinId="20" customBuiltin="1"/>
    <cellStyle name="MCP" xfId="5"/>
    <cellStyle name="noninput" xfId="6"/>
    <cellStyle name="Normal" xfId="0" builtinId="0" customBuiltin="1"/>
    <cellStyle name="Normal 176" xfId="17"/>
    <cellStyle name="Normal 2" xfId="18"/>
    <cellStyle name="Normal_DRR AC Study - Utah Valley - 53 MW 90 CF (2.28.2005)" xfId="7"/>
    <cellStyle name="Normal_Or AC 2003 - AC Study - Fuel Indexed Avoided Costs" xfId="8"/>
    <cellStyle name="Normal_OR AC Sch 37 - AC  Study (Gold) _2009 06 19" xfId="9"/>
    <cellStyle name="Normal_OR AC Sch 37 - AC  Study (Gold) _2009 07 07" xfId="21"/>
    <cellStyle name="Normal_T-INF-10-15-04-TEMPLATE" xfId="10"/>
    <cellStyle name="Normal_WA AC 2009 - AC Study - 2009 12 09 (pipeline)" xfId="19"/>
    <cellStyle name="Normal_WA AC 2009 - L&amp;R Study_2009 12 08 (vs 2008)" xfId="20"/>
    <cellStyle name="Password" xfId="11"/>
    <cellStyle name="Percent" xfId="12" builtinId="5"/>
    <cellStyle name="Unprot" xfId="13"/>
    <cellStyle name="Unprot$" xfId="14"/>
    <cellStyle name="Unprotect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tah/Ut%20AC%202014%20May%20-%20Sch%2037%20Update/Testimony/UT%20Sch%2037%202014%20-%20Appendix%201%20-AC%20Study%20_2014%2005%2007_Testimony%20Support%202014%2007%203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tah/Ut%20AC%202013%20May%20-%20Sch%2037%20Update/Scenario/Preliminary%20and%20Draft%20Versions/UT%20Sch%2037%202013%20-%202a%20-%20L&amp;R%20%20Study%20_2013%2005%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A BaseLoad"/>
      <sheetName val="Table 2B Wind"/>
      <sheetName val="Table 2C SolarFixed"/>
      <sheetName val="Table 2D SolarTracking"/>
      <sheetName val="Tables 3 to 6"/>
      <sheetName val="Table 7"/>
      <sheetName val="Table 8"/>
      <sheetName val="Table 9"/>
      <sheetName val="Table 10"/>
      <sheetName val="Table 11"/>
      <sheetName val="Table 12"/>
      <sheetName val="--- Do Not Print ---&gt;"/>
      <sheetName val="Tariff Page"/>
      <sheetName val="Tariff Page Solar Fixed"/>
      <sheetName val="Tariff Page Solar Tracking"/>
      <sheetName val="Tariff Page Wind"/>
      <sheetName val="Testimony _Table 1"/>
      <sheetName val="Capacity_Energy Prices"/>
      <sheetName val="Volumetric Pri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5">
          <cell r="B45">
            <v>2.1800000000000002</v>
          </cell>
        </row>
        <row r="46">
          <cell r="B46">
            <v>2.83</v>
          </cell>
        </row>
      </sheetData>
      <sheetData sheetId="12"/>
      <sheetData sheetId="13">
        <row r="30">
          <cell r="K30">
            <v>6.8820000000000006E-2</v>
          </cell>
        </row>
      </sheetData>
      <sheetData sheetId="14"/>
      <sheetData sheetId="15"/>
      <sheetData sheetId="16"/>
      <sheetData sheetId="17">
        <row r="4">
          <cell r="E4">
            <v>45.464846863762403</v>
          </cell>
        </row>
      </sheetData>
      <sheetData sheetId="18"/>
      <sheetData sheetId="19">
        <row r="15">
          <cell r="B15">
            <v>2014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NPC Version Log"/>
      <sheetName val="Summary"/>
      <sheetName val="Profile"/>
      <sheetName val="Delta"/>
      <sheetName val="L&amp;R"/>
      <sheetName val="Base"/>
      <sheetName val="Check LTC"/>
      <sheetName val="Thermal Derates"/>
      <sheetName val="GRID Hydro Gen Peak"/>
      <sheetName val="GRID Load Peak"/>
      <sheetName val="GRID LTC Availability Min"/>
      <sheetName val="GRID LTC Availability Peak"/>
      <sheetName val="GRID LTC Dispatch Peak"/>
      <sheetName val="GRID Nameplate"/>
      <sheetName val="GRID Plant Outage Peak"/>
      <sheetName val="GRID ResReq Margin Peak"/>
      <sheetName val="GRID ResReq NoSpin Peak"/>
      <sheetName val="GRID ResReq Spin Peak"/>
      <sheetName val="GRID STF Purchases Peak"/>
      <sheetName val="GRID STF Sales Peak"/>
      <sheetName val="GRID Thermal Avail Peak"/>
      <sheetName val="GRID Hydro Generation (MWH)"/>
      <sheetName val="GRID Load (MWH)"/>
      <sheetName val="GRID LTC Availability (MWH)"/>
      <sheetName val="GRID LTC Dispatch (MWH)"/>
      <sheetName val="GRID Plant Outage (MWH)"/>
      <sheetName val="GRID Ready Res (MWH)"/>
      <sheetName val="GRID ResReq Margin (MWH)"/>
      <sheetName val="GRID Spinning Res (MWH)"/>
      <sheetName val="GRID STF Purchases (MWH)"/>
      <sheetName val="GRID STF Sales (MWH)"/>
      <sheetName val="GRID Thermal Availability (MWH)"/>
      <sheetName val="MacroBuilder"/>
      <sheetName val="on off peak hours"/>
    </sheetNames>
    <sheetDataSet>
      <sheetData sheetId="0">
        <row r="7">
          <cell r="D7" t="str">
            <v>Ut Sch 37 - 05a - Base Case _2013 05 10 (Plants) (L&amp;R)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15">
          <cell r="C15">
            <v>40909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56"/>
  <sheetViews>
    <sheetView tabSelected="1" zoomScaleNormal="100" workbookViewId="0">
      <selection activeCell="B1" sqref="B1"/>
    </sheetView>
  </sheetViews>
  <sheetFormatPr defaultColWidth="10.6640625" defaultRowHeight="13.2" x14ac:dyDescent="0.25"/>
  <cols>
    <col min="1" max="1" width="1.77734375" style="266" customWidth="1"/>
    <col min="2" max="2" width="31.44140625" style="296" bestFit="1" customWidth="1"/>
    <col min="3" max="4" width="8.109375" style="296" bestFit="1" customWidth="1"/>
    <col min="5" max="5" width="9" style="296" bestFit="1" customWidth="1"/>
    <col min="6" max="6" width="8.109375" style="296" bestFit="1" customWidth="1"/>
    <col min="7" max="12" width="9" style="296" bestFit="1" customWidth="1"/>
    <col min="13" max="13" width="2.44140625" style="266" customWidth="1"/>
    <col min="14" max="16384" width="10.6640625" style="266"/>
  </cols>
  <sheetData>
    <row r="1" spans="2:19" ht="15.6" x14ac:dyDescent="0.3">
      <c r="B1" s="264" t="s">
        <v>132</v>
      </c>
      <c r="C1" s="264"/>
      <c r="D1" s="264"/>
      <c r="E1" s="265"/>
      <c r="F1" s="264"/>
      <c r="G1" s="264"/>
      <c r="H1" s="264"/>
      <c r="I1" s="264"/>
      <c r="J1" s="264"/>
      <c r="K1" s="264"/>
      <c r="L1" s="264"/>
    </row>
    <row r="2" spans="2:19" ht="15.6" x14ac:dyDescent="0.3">
      <c r="B2" s="264" t="s">
        <v>135</v>
      </c>
      <c r="C2" s="295"/>
      <c r="D2" s="295"/>
      <c r="E2" s="295"/>
      <c r="F2" s="295"/>
      <c r="G2" s="295"/>
      <c r="H2" s="295"/>
      <c r="I2" s="295"/>
      <c r="J2" s="295"/>
      <c r="K2" s="295"/>
      <c r="L2" s="295"/>
    </row>
    <row r="3" spans="2:19" ht="15.6" x14ac:dyDescent="0.3">
      <c r="B3" s="264" t="s">
        <v>136</v>
      </c>
      <c r="C3" s="295"/>
      <c r="D3" s="295"/>
      <c r="E3" s="295"/>
      <c r="F3" s="295"/>
      <c r="G3" s="295"/>
      <c r="H3" s="295"/>
      <c r="I3" s="295"/>
      <c r="J3" s="295"/>
      <c r="K3" s="295"/>
      <c r="L3" s="295"/>
    </row>
    <row r="5" spans="2:19" x14ac:dyDescent="0.25">
      <c r="C5" s="297">
        <v>2015</v>
      </c>
      <c r="D5" s="297">
        <v>2016</v>
      </c>
      <c r="E5" s="297">
        <v>2017</v>
      </c>
      <c r="F5" s="297">
        <v>2018</v>
      </c>
      <c r="G5" s="298">
        <v>2019</v>
      </c>
      <c r="H5" s="298">
        <v>2020</v>
      </c>
      <c r="I5" s="298">
        <v>2021</v>
      </c>
      <c r="J5" s="298">
        <v>2022</v>
      </c>
      <c r="K5" s="298">
        <v>2023</v>
      </c>
      <c r="L5" s="298">
        <v>2024</v>
      </c>
    </row>
    <row r="6" spans="2:19" x14ac:dyDescent="0.25">
      <c r="B6" s="299" t="s">
        <v>66</v>
      </c>
    </row>
    <row r="7" spans="2:19" x14ac:dyDescent="0.25">
      <c r="B7" s="296" t="s">
        <v>137</v>
      </c>
      <c r="C7" s="300">
        <v>2306.1627340453642</v>
      </c>
      <c r="D7" s="300">
        <v>2302.0247308284279</v>
      </c>
      <c r="E7" s="300">
        <v>2307.9990034517568</v>
      </c>
      <c r="F7" s="300">
        <v>2310.1693881549531</v>
      </c>
      <c r="G7" s="300">
        <v>2315.5446255978754</v>
      </c>
      <c r="H7" s="300">
        <v>2313.1794086517425</v>
      </c>
      <c r="I7" s="300">
        <v>2313.0636096161406</v>
      </c>
      <c r="J7" s="300">
        <v>2316.8251198901135</v>
      </c>
      <c r="K7" s="300">
        <v>2324.1158345019849</v>
      </c>
      <c r="L7" s="300">
        <v>2330.4339646626718</v>
      </c>
    </row>
    <row r="8" spans="2:19" x14ac:dyDescent="0.25">
      <c r="B8" s="296" t="s">
        <v>138</v>
      </c>
      <c r="C8" s="300">
        <v>180.08183219178082</v>
      </c>
      <c r="D8" s="300">
        <v>179.35790300546446</v>
      </c>
      <c r="E8" s="300">
        <v>179.84929452054789</v>
      </c>
      <c r="F8" s="300">
        <v>179.84929452054789</v>
      </c>
      <c r="G8" s="300">
        <v>179.84929452054789</v>
      </c>
      <c r="H8" s="300">
        <v>179.35790300546446</v>
      </c>
      <c r="I8" s="300">
        <v>179.84929452054791</v>
      </c>
      <c r="J8" s="300">
        <v>179.84929452054794</v>
      </c>
      <c r="K8" s="300">
        <v>179.84929452054789</v>
      </c>
      <c r="L8" s="300">
        <v>179.35790300546452</v>
      </c>
    </row>
    <row r="9" spans="2:19" x14ac:dyDescent="0.25">
      <c r="B9" s="296" t="s">
        <v>139</v>
      </c>
      <c r="C9" s="268">
        <v>0</v>
      </c>
      <c r="D9" s="268">
        <v>0</v>
      </c>
      <c r="E9" s="268">
        <v>0</v>
      </c>
      <c r="F9" s="268">
        <v>0</v>
      </c>
      <c r="G9" s="268">
        <v>0</v>
      </c>
      <c r="H9" s="268">
        <v>0</v>
      </c>
      <c r="I9" s="268">
        <v>0</v>
      </c>
      <c r="J9" s="268">
        <v>0</v>
      </c>
      <c r="K9" s="268">
        <v>0</v>
      </c>
      <c r="L9" s="268">
        <v>0</v>
      </c>
    </row>
    <row r="10" spans="2:19" x14ac:dyDescent="0.25">
      <c r="B10" s="296" t="s">
        <v>140</v>
      </c>
      <c r="C10" s="300">
        <v>2486.2445662371451</v>
      </c>
      <c r="D10" s="300">
        <v>2481.3826338338922</v>
      </c>
      <c r="E10" s="300">
        <v>2487.8482979723049</v>
      </c>
      <c r="F10" s="300">
        <v>2490.0186826755012</v>
      </c>
      <c r="G10" s="300">
        <v>2495.3939201184235</v>
      </c>
      <c r="H10" s="300">
        <v>2492.5373116572068</v>
      </c>
      <c r="I10" s="300">
        <v>2492.9129041366887</v>
      </c>
      <c r="J10" s="300">
        <v>2496.6744144106615</v>
      </c>
      <c r="K10" s="300">
        <v>2503.9651290225329</v>
      </c>
      <c r="L10" s="300">
        <v>2509.7918676681361</v>
      </c>
    </row>
    <row r="11" spans="2:19" x14ac:dyDescent="0.25">
      <c r="C11" s="300"/>
      <c r="D11" s="300"/>
      <c r="E11" s="300"/>
      <c r="F11" s="300"/>
      <c r="G11" s="300"/>
      <c r="H11" s="300"/>
      <c r="I11" s="300"/>
      <c r="J11" s="300"/>
      <c r="K11" s="300"/>
      <c r="L11" s="300"/>
    </row>
    <row r="12" spans="2:19" x14ac:dyDescent="0.25">
      <c r="B12" s="296" t="s">
        <v>141</v>
      </c>
      <c r="C12" s="300">
        <v>290.42532367296883</v>
      </c>
      <c r="D12" s="300">
        <v>166.35039289956589</v>
      </c>
      <c r="E12" s="300">
        <v>61.365559802043052</v>
      </c>
      <c r="F12" s="300">
        <v>52.793291277891214</v>
      </c>
      <c r="G12" s="300">
        <v>24.413728258134363</v>
      </c>
      <c r="H12" s="300">
        <v>24.631285330710039</v>
      </c>
      <c r="I12" s="300">
        <v>24.413802181414038</v>
      </c>
      <c r="J12" s="300">
        <v>15.903623618982651</v>
      </c>
      <c r="K12" s="300">
        <v>22.264083657096805</v>
      </c>
      <c r="L12" s="300">
        <v>9.9918160251935326</v>
      </c>
      <c r="O12" s="267"/>
      <c r="P12" s="267"/>
      <c r="Q12" s="267"/>
      <c r="R12" s="267"/>
      <c r="S12" s="267"/>
    </row>
    <row r="13" spans="2:19" x14ac:dyDescent="0.25">
      <c r="B13" s="296" t="s">
        <v>142</v>
      </c>
      <c r="C13" s="300">
        <v>40.593607305936075</v>
      </c>
      <c r="D13" s="300">
        <v>0</v>
      </c>
      <c r="E13" s="300">
        <v>0</v>
      </c>
      <c r="F13" s="300">
        <v>0</v>
      </c>
      <c r="G13" s="300">
        <v>0</v>
      </c>
      <c r="H13" s="300">
        <v>0</v>
      </c>
      <c r="I13" s="300">
        <v>0</v>
      </c>
      <c r="J13" s="300">
        <v>0</v>
      </c>
      <c r="K13" s="300">
        <v>0</v>
      </c>
      <c r="L13" s="300">
        <v>0</v>
      </c>
    </row>
    <row r="14" spans="2:19" x14ac:dyDescent="0.25">
      <c r="B14" s="296" t="s">
        <v>143</v>
      </c>
      <c r="C14" s="300">
        <v>2022.3380676445277</v>
      </c>
      <c r="D14" s="300">
        <v>2020.0858170646977</v>
      </c>
      <c r="E14" s="300">
        <v>2017.2412818568564</v>
      </c>
      <c r="F14" s="300">
        <v>2017.3153380212402</v>
      </c>
      <c r="G14" s="300">
        <v>2017.2818927016053</v>
      </c>
      <c r="H14" s="300">
        <v>2017.5396337769014</v>
      </c>
      <c r="I14" s="300">
        <v>2017.2655285463545</v>
      </c>
      <c r="J14" s="300">
        <v>2014.476722952747</v>
      </c>
      <c r="K14" s="300">
        <v>2011.8313920166738</v>
      </c>
      <c r="L14" s="300">
        <v>2012.0659228251714</v>
      </c>
    </row>
    <row r="15" spans="2:19" x14ac:dyDescent="0.25">
      <c r="B15" s="296" t="s">
        <v>144</v>
      </c>
      <c r="C15" s="300">
        <v>550.9185447941918</v>
      </c>
      <c r="D15" s="300">
        <v>550.69910322276667</v>
      </c>
      <c r="E15" s="300">
        <v>549.20224826605602</v>
      </c>
      <c r="F15" s="300">
        <v>550.48420923792344</v>
      </c>
      <c r="G15" s="300">
        <v>550.57004424295212</v>
      </c>
      <c r="H15" s="300">
        <v>551.45946322042562</v>
      </c>
      <c r="I15" s="300">
        <v>478.74226895994474</v>
      </c>
      <c r="J15" s="300">
        <v>478.68946399419127</v>
      </c>
      <c r="K15" s="300">
        <v>477.6356364695863</v>
      </c>
      <c r="L15" s="300">
        <v>479.21091736312803</v>
      </c>
    </row>
    <row r="16" spans="2:19" x14ac:dyDescent="0.25">
      <c r="B16" s="296" t="s">
        <v>145</v>
      </c>
      <c r="C16" s="268">
        <v>-72.96155927808789</v>
      </c>
      <c r="D16" s="268">
        <v>-79.406345241513307</v>
      </c>
      <c r="E16" s="268">
        <v>-79.745461055328548</v>
      </c>
      <c r="F16" s="268">
        <v>-82.617914511949778</v>
      </c>
      <c r="G16" s="268">
        <v>-86.547004998456288</v>
      </c>
      <c r="H16" s="268">
        <v>-88.244486421567956</v>
      </c>
      <c r="I16" s="268">
        <v>-100.9516578665515</v>
      </c>
      <c r="J16" s="268">
        <v>-103.49339838146747</v>
      </c>
      <c r="K16" s="268">
        <v>-104.39193605060801</v>
      </c>
      <c r="L16" s="268">
        <v>-102.69586431857661</v>
      </c>
    </row>
    <row r="17" spans="2:12" x14ac:dyDescent="0.25">
      <c r="B17" s="296" t="s">
        <v>146</v>
      </c>
      <c r="C17" s="300">
        <v>2831.3139841395364</v>
      </c>
      <c r="D17" s="300">
        <v>2657.7289679455166</v>
      </c>
      <c r="E17" s="300">
        <v>2548.0636288696269</v>
      </c>
      <c r="F17" s="300">
        <v>2537.9749240251049</v>
      </c>
      <c r="G17" s="300">
        <v>2505.7186602042352</v>
      </c>
      <c r="H17" s="300">
        <v>2505.3858959064687</v>
      </c>
      <c r="I17" s="300">
        <v>2419.4699418211617</v>
      </c>
      <c r="J17" s="300">
        <v>2405.5764121844531</v>
      </c>
      <c r="K17" s="300">
        <v>2407.3391760927489</v>
      </c>
      <c r="L17" s="300">
        <v>2398.572791894916</v>
      </c>
    </row>
    <row r="18" spans="2:12" x14ac:dyDescent="0.25">
      <c r="C18" s="300"/>
      <c r="D18" s="300"/>
      <c r="E18" s="300"/>
      <c r="F18" s="300"/>
      <c r="G18" s="300"/>
      <c r="H18" s="300"/>
      <c r="I18" s="300"/>
      <c r="J18" s="300"/>
      <c r="K18" s="300"/>
      <c r="L18" s="300"/>
    </row>
    <row r="19" spans="2:12" x14ac:dyDescent="0.25">
      <c r="B19" s="269" t="s">
        <v>147</v>
      </c>
      <c r="C19" s="300">
        <v>345.06941790239125</v>
      </c>
      <c r="D19" s="300">
        <v>176.3463341116244</v>
      </c>
      <c r="E19" s="300">
        <v>60.215330897322019</v>
      </c>
      <c r="F19" s="300">
        <v>47.956241349603715</v>
      </c>
      <c r="G19" s="300">
        <v>10.324740085811754</v>
      </c>
      <c r="H19" s="300">
        <v>12.848584249261876</v>
      </c>
      <c r="I19" s="300">
        <v>-73.442962315526984</v>
      </c>
      <c r="J19" s="300">
        <v>-91.098002226208337</v>
      </c>
      <c r="K19" s="300">
        <v>-96.625952929784034</v>
      </c>
      <c r="L19" s="300">
        <v>-111.21907577322008</v>
      </c>
    </row>
    <row r="20" spans="2:12" x14ac:dyDescent="0.25">
      <c r="B20" s="269" t="s">
        <v>148</v>
      </c>
      <c r="C20" s="249">
        <v>0.13879142164386638</v>
      </c>
      <c r="D20" s="249">
        <v>7.1067771534758517E-2</v>
      </c>
      <c r="E20" s="249">
        <v>2.4203779204061561E-2</v>
      </c>
      <c r="F20" s="249">
        <v>1.9259390173761746E-2</v>
      </c>
      <c r="G20" s="249">
        <v>4.1375191317777095E-3</v>
      </c>
      <c r="H20" s="249">
        <v>5.1548212294239525E-3</v>
      </c>
      <c r="I20" s="249">
        <v>-2.9460701251799545E-2</v>
      </c>
      <c r="J20" s="249">
        <v>-3.6487738128926979E-2</v>
      </c>
      <c r="K20" s="249">
        <v>-3.8589176746045055E-2</v>
      </c>
      <c r="L20" s="249">
        <v>-4.4314063331695484E-2</v>
      </c>
    </row>
    <row r="22" spans="2:12" x14ac:dyDescent="0.25">
      <c r="B22" s="299" t="s">
        <v>149</v>
      </c>
      <c r="C22" s="301"/>
      <c r="D22" s="301"/>
      <c r="E22" s="301"/>
      <c r="F22" s="301"/>
      <c r="G22" s="301"/>
      <c r="H22" s="301"/>
      <c r="I22" s="301"/>
      <c r="J22" s="301"/>
      <c r="K22" s="301"/>
      <c r="L22" s="301"/>
    </row>
    <row r="23" spans="2:12" x14ac:dyDescent="0.25">
      <c r="B23" s="296" t="s">
        <v>137</v>
      </c>
      <c r="C23" s="300">
        <v>3343.2649640999998</v>
      </c>
      <c r="D23" s="300">
        <v>3346.7926306999998</v>
      </c>
      <c r="E23" s="300">
        <v>3353.4327306999999</v>
      </c>
      <c r="F23" s="300">
        <v>3359.5946306999999</v>
      </c>
      <c r="G23" s="300">
        <v>3362.6886307</v>
      </c>
      <c r="H23" s="300">
        <v>3365.2258640999999</v>
      </c>
      <c r="I23" s="300">
        <v>3369.2379640999998</v>
      </c>
      <c r="J23" s="300">
        <v>3376.1366306999998</v>
      </c>
      <c r="K23" s="300">
        <v>3385.1366306999998</v>
      </c>
      <c r="L23" s="300">
        <v>3394.2867307000001</v>
      </c>
    </row>
    <row r="24" spans="2:12" x14ac:dyDescent="0.25">
      <c r="B24" s="296" t="s">
        <v>138</v>
      </c>
      <c r="C24" s="300">
        <v>0</v>
      </c>
      <c r="D24" s="300">
        <v>0</v>
      </c>
      <c r="E24" s="300">
        <v>0</v>
      </c>
      <c r="F24" s="300">
        <v>0</v>
      </c>
      <c r="G24" s="300">
        <v>0</v>
      </c>
      <c r="H24" s="300">
        <v>0</v>
      </c>
      <c r="I24" s="300">
        <v>0</v>
      </c>
      <c r="J24" s="300">
        <v>0</v>
      </c>
      <c r="K24" s="300">
        <v>0</v>
      </c>
      <c r="L24" s="300">
        <v>0</v>
      </c>
    </row>
    <row r="25" spans="2:12" x14ac:dyDescent="0.25">
      <c r="B25" s="296" t="s">
        <v>139</v>
      </c>
      <c r="C25" s="268">
        <v>0</v>
      </c>
      <c r="D25" s="268">
        <v>0</v>
      </c>
      <c r="E25" s="268">
        <v>0</v>
      </c>
      <c r="F25" s="268">
        <v>0</v>
      </c>
      <c r="G25" s="268">
        <v>0</v>
      </c>
      <c r="H25" s="268">
        <v>0</v>
      </c>
      <c r="I25" s="268">
        <v>0</v>
      </c>
      <c r="J25" s="268">
        <v>0</v>
      </c>
      <c r="K25" s="268">
        <v>0</v>
      </c>
      <c r="L25" s="268">
        <v>0</v>
      </c>
    </row>
    <row r="26" spans="2:12" x14ac:dyDescent="0.25">
      <c r="B26" s="296" t="s">
        <v>140</v>
      </c>
      <c r="C26" s="300">
        <v>3343.2649640999998</v>
      </c>
      <c r="D26" s="300">
        <v>3346.7926306999998</v>
      </c>
      <c r="E26" s="300">
        <v>3353.4327306999999</v>
      </c>
      <c r="F26" s="300">
        <v>3359.5946306999999</v>
      </c>
      <c r="G26" s="300">
        <v>3362.6886307</v>
      </c>
      <c r="H26" s="300">
        <v>3365.2258640999999</v>
      </c>
      <c r="I26" s="300">
        <v>3369.2379640999998</v>
      </c>
      <c r="J26" s="300">
        <v>3376.1366306999998</v>
      </c>
      <c r="K26" s="300">
        <v>3385.1366306999998</v>
      </c>
      <c r="L26" s="300">
        <v>3394.2867307000001</v>
      </c>
    </row>
    <row r="27" spans="2:12" x14ac:dyDescent="0.25">
      <c r="C27" s="300"/>
      <c r="D27" s="300"/>
      <c r="E27" s="300"/>
      <c r="F27" s="300"/>
      <c r="G27" s="300"/>
      <c r="H27" s="300"/>
      <c r="I27" s="300"/>
      <c r="J27" s="300"/>
      <c r="K27" s="300"/>
      <c r="L27" s="300"/>
    </row>
    <row r="28" spans="2:12" x14ac:dyDescent="0.25">
      <c r="B28" s="296" t="s">
        <v>141</v>
      </c>
      <c r="C28" s="300">
        <v>321.09964473781247</v>
      </c>
      <c r="D28" s="300">
        <v>51.445561582825007</v>
      </c>
      <c r="E28" s="300">
        <v>58.710266766225004</v>
      </c>
      <c r="F28" s="300">
        <v>55.165179304824989</v>
      </c>
      <c r="G28" s="300">
        <v>9.9895120833172264</v>
      </c>
      <c r="H28" s="300">
        <v>13.11595473781248</v>
      </c>
      <c r="I28" s="300">
        <v>10.186912316658555</v>
      </c>
      <c r="J28" s="300">
        <v>18.241531395449996</v>
      </c>
      <c r="K28" s="300">
        <v>19.490780036350003</v>
      </c>
      <c r="L28" s="300">
        <v>9.7173155999999992</v>
      </c>
    </row>
    <row r="29" spans="2:12" x14ac:dyDescent="0.25">
      <c r="B29" s="296" t="s">
        <v>142</v>
      </c>
      <c r="C29" s="300">
        <v>0</v>
      </c>
      <c r="D29" s="300">
        <v>0</v>
      </c>
      <c r="E29" s="300">
        <v>0</v>
      </c>
      <c r="F29" s="300">
        <v>0</v>
      </c>
      <c r="G29" s="300">
        <v>0</v>
      </c>
      <c r="H29" s="300">
        <v>0</v>
      </c>
      <c r="I29" s="300">
        <v>0</v>
      </c>
      <c r="J29" s="300">
        <v>0</v>
      </c>
      <c r="K29" s="300">
        <v>0</v>
      </c>
      <c r="L29" s="300">
        <v>0</v>
      </c>
    </row>
    <row r="30" spans="2:12" x14ac:dyDescent="0.25">
      <c r="B30" s="296" t="s">
        <v>143</v>
      </c>
      <c r="C30" s="300">
        <v>2034.3215677276521</v>
      </c>
      <c r="D30" s="300">
        <v>2032.0237214498529</v>
      </c>
      <c r="E30" s="300">
        <v>2029.3094488196759</v>
      </c>
      <c r="F30" s="300">
        <v>2029.3094488196759</v>
      </c>
      <c r="G30" s="300">
        <v>2029.3094488196759</v>
      </c>
      <c r="H30" s="300">
        <v>2029.3094488196759</v>
      </c>
      <c r="I30" s="300">
        <v>2029.3094488196759</v>
      </c>
      <c r="J30" s="300">
        <v>2026.5015805815626</v>
      </c>
      <c r="K30" s="300">
        <v>2023.6937123434486</v>
      </c>
      <c r="L30" s="300">
        <v>2023.6937123434491</v>
      </c>
    </row>
    <row r="31" spans="2:12" x14ac:dyDescent="0.25">
      <c r="B31" s="296" t="s">
        <v>144</v>
      </c>
      <c r="C31" s="300">
        <v>978.52363695192298</v>
      </c>
      <c r="D31" s="300">
        <v>961.96714061624994</v>
      </c>
      <c r="E31" s="300">
        <v>979.43227122150017</v>
      </c>
      <c r="F31" s="300">
        <v>973.26787556474994</v>
      </c>
      <c r="G31" s="300">
        <v>971.19040289216309</v>
      </c>
      <c r="H31" s="300">
        <v>969.33944159192288</v>
      </c>
      <c r="I31" s="300">
        <v>797.72681366427867</v>
      </c>
      <c r="J31" s="300">
        <v>792.21962881624995</v>
      </c>
      <c r="K31" s="300">
        <v>809.67786332150001</v>
      </c>
      <c r="L31" s="300">
        <v>801.44289109216311</v>
      </c>
    </row>
    <row r="32" spans="2:12" x14ac:dyDescent="0.25">
      <c r="B32" s="296" t="s">
        <v>145</v>
      </c>
      <c r="C32" s="268">
        <v>-182.87454</v>
      </c>
      <c r="D32" s="268">
        <v>-180.94421499999999</v>
      </c>
      <c r="E32" s="268">
        <v>-168.43792400000001</v>
      </c>
      <c r="F32" s="268">
        <v>-167.82893999999999</v>
      </c>
      <c r="G32" s="268">
        <v>-167.93899999999999</v>
      </c>
      <c r="H32" s="268">
        <v>-163.85365999999999</v>
      </c>
      <c r="I32" s="268">
        <v>-162.00434999999999</v>
      </c>
      <c r="J32" s="268">
        <v>-172.12243999999998</v>
      </c>
      <c r="K32" s="268">
        <v>-172.30997500000001</v>
      </c>
      <c r="L32" s="268">
        <v>-172.651475</v>
      </c>
    </row>
    <row r="33" spans="2:12" x14ac:dyDescent="0.25">
      <c r="B33" s="296" t="s">
        <v>146</v>
      </c>
      <c r="C33" s="300">
        <v>3151.0703094173878</v>
      </c>
      <c r="D33" s="300">
        <v>2864.4922086489282</v>
      </c>
      <c r="E33" s="300">
        <v>2899.0140628074014</v>
      </c>
      <c r="F33" s="300">
        <v>2889.9135636892511</v>
      </c>
      <c r="G33" s="300">
        <v>2842.5503637951565</v>
      </c>
      <c r="H33" s="300">
        <v>2847.9111851494117</v>
      </c>
      <c r="I33" s="300">
        <v>2675.2188248006132</v>
      </c>
      <c r="J33" s="300">
        <v>2664.8403007932625</v>
      </c>
      <c r="K33" s="300">
        <v>2680.5523807012987</v>
      </c>
      <c r="L33" s="300">
        <v>2662.2024440356122</v>
      </c>
    </row>
    <row r="34" spans="2:12" x14ac:dyDescent="0.25">
      <c r="C34" s="300"/>
      <c r="D34" s="300"/>
      <c r="E34" s="300"/>
      <c r="F34" s="300"/>
      <c r="G34" s="300"/>
      <c r="H34" s="300"/>
      <c r="I34" s="300"/>
      <c r="J34" s="300"/>
      <c r="K34" s="300"/>
      <c r="L34" s="300"/>
    </row>
    <row r="35" spans="2:12" x14ac:dyDescent="0.25">
      <c r="B35" s="269" t="s">
        <v>147</v>
      </c>
      <c r="C35" s="300">
        <v>-192.19465468261205</v>
      </c>
      <c r="D35" s="300">
        <v>-482.30042205107156</v>
      </c>
      <c r="E35" s="300">
        <v>-454.41866789259848</v>
      </c>
      <c r="F35" s="300">
        <v>-469.68106701074885</v>
      </c>
      <c r="G35" s="300">
        <v>-520.13826690484348</v>
      </c>
      <c r="H35" s="300">
        <v>-517.31467895058813</v>
      </c>
      <c r="I35" s="300">
        <v>-694.01913929938655</v>
      </c>
      <c r="J35" s="300">
        <v>-711.29632990673736</v>
      </c>
      <c r="K35" s="300">
        <v>-704.58424999870113</v>
      </c>
      <c r="L35" s="300">
        <v>-732.08428666438795</v>
      </c>
    </row>
    <row r="36" spans="2:12" x14ac:dyDescent="0.25">
      <c r="B36" s="269" t="s">
        <v>148</v>
      </c>
      <c r="C36" s="249">
        <v>-5.7487114167258491E-2</v>
      </c>
      <c r="D36" s="249">
        <v>-0.14410824788693163</v>
      </c>
      <c r="E36" s="249">
        <v>-0.13550850855974753</v>
      </c>
      <c r="F36" s="249">
        <v>-0.13980289845649826</v>
      </c>
      <c r="G36" s="249">
        <v>-0.15467928316531881</v>
      </c>
      <c r="H36" s="249">
        <v>-0.15372361316643435</v>
      </c>
      <c r="I36" s="249">
        <v>-0.20598697589612816</v>
      </c>
      <c r="J36" s="249">
        <v>-0.21068351423895393</v>
      </c>
      <c r="K36" s="249">
        <v>-0.20814056472899375</v>
      </c>
      <c r="L36" s="249">
        <v>-0.21568133300082487</v>
      </c>
    </row>
    <row r="38" spans="2:12" x14ac:dyDescent="0.25">
      <c r="B38" s="299" t="s">
        <v>150</v>
      </c>
      <c r="C38" s="301"/>
      <c r="D38" s="301"/>
      <c r="E38" s="301"/>
      <c r="F38" s="301"/>
      <c r="G38" s="301"/>
      <c r="H38" s="301"/>
      <c r="I38" s="301"/>
      <c r="J38" s="301"/>
      <c r="K38" s="301"/>
      <c r="L38" s="301"/>
    </row>
    <row r="39" spans="2:12" x14ac:dyDescent="0.25">
      <c r="B39" s="296" t="s">
        <v>137</v>
      </c>
      <c r="C39" s="300">
        <v>3662.2467657319999</v>
      </c>
      <c r="D39" s="300">
        <v>3650.5817657319999</v>
      </c>
      <c r="E39" s="300">
        <v>3654.8152375999998</v>
      </c>
      <c r="F39" s="300">
        <v>3659.5907657319999</v>
      </c>
      <c r="G39" s="300">
        <v>3667.3998657319999</v>
      </c>
      <c r="H39" s="300">
        <v>3667.238765732</v>
      </c>
      <c r="I39" s="300">
        <v>3668.5800657320001</v>
      </c>
      <c r="J39" s="300">
        <v>3676.4584709320002</v>
      </c>
      <c r="K39" s="300">
        <v>3685.9812376</v>
      </c>
      <c r="L39" s="300">
        <v>3697.4777657320001</v>
      </c>
    </row>
    <row r="40" spans="2:12" x14ac:dyDescent="0.25">
      <c r="B40" s="296" t="s">
        <v>138</v>
      </c>
      <c r="C40" s="300">
        <v>0</v>
      </c>
      <c r="D40" s="300">
        <v>0</v>
      </c>
      <c r="E40" s="300">
        <v>0</v>
      </c>
      <c r="F40" s="300">
        <v>0</v>
      </c>
      <c r="G40" s="300">
        <v>0</v>
      </c>
      <c r="H40" s="300">
        <v>0</v>
      </c>
      <c r="I40" s="300">
        <v>0</v>
      </c>
      <c r="J40" s="300">
        <v>0</v>
      </c>
      <c r="K40" s="300">
        <v>0</v>
      </c>
      <c r="L40" s="300">
        <v>0</v>
      </c>
    </row>
    <row r="41" spans="2:12" x14ac:dyDescent="0.25">
      <c r="B41" s="296" t="s">
        <v>139</v>
      </c>
      <c r="C41" s="268">
        <v>0</v>
      </c>
      <c r="D41" s="268">
        <v>0</v>
      </c>
      <c r="E41" s="268">
        <v>0</v>
      </c>
      <c r="F41" s="268">
        <v>0</v>
      </c>
      <c r="G41" s="268">
        <v>0</v>
      </c>
      <c r="H41" s="268">
        <v>0</v>
      </c>
      <c r="I41" s="268">
        <v>0</v>
      </c>
      <c r="J41" s="268">
        <v>0</v>
      </c>
      <c r="K41" s="268">
        <v>0</v>
      </c>
      <c r="L41" s="268">
        <v>0</v>
      </c>
    </row>
    <row r="42" spans="2:12" x14ac:dyDescent="0.25">
      <c r="B42" s="296" t="s">
        <v>140</v>
      </c>
      <c r="C42" s="300">
        <v>3662.2467657319999</v>
      </c>
      <c r="D42" s="300">
        <v>3650.5817657319999</v>
      </c>
      <c r="E42" s="300">
        <v>3654.8152375999998</v>
      </c>
      <c r="F42" s="300">
        <v>3659.5907657319999</v>
      </c>
      <c r="G42" s="300">
        <v>3667.3998657319999</v>
      </c>
      <c r="H42" s="300">
        <v>3667.238765732</v>
      </c>
      <c r="I42" s="300">
        <v>3668.5800657320001</v>
      </c>
      <c r="J42" s="300">
        <v>3676.4584709320002</v>
      </c>
      <c r="K42" s="300">
        <v>3685.9812376</v>
      </c>
      <c r="L42" s="300">
        <v>3697.4777657320001</v>
      </c>
    </row>
    <row r="43" spans="2:12" x14ac:dyDescent="0.25">
      <c r="C43" s="300"/>
      <c r="D43" s="300"/>
      <c r="E43" s="300"/>
      <c r="F43" s="300"/>
      <c r="G43" s="300"/>
      <c r="H43" s="300"/>
      <c r="I43" s="300"/>
      <c r="J43" s="300"/>
      <c r="K43" s="300"/>
      <c r="L43" s="300"/>
    </row>
    <row r="44" spans="2:12" x14ac:dyDescent="0.25">
      <c r="B44" s="296" t="s">
        <v>141</v>
      </c>
      <c r="C44" s="300">
        <v>354.8945748031249</v>
      </c>
      <c r="D44" s="300">
        <v>315.30565409124995</v>
      </c>
      <c r="E44" s="300">
        <v>76.197721365250004</v>
      </c>
      <c r="F44" s="300">
        <v>70.252445960817198</v>
      </c>
      <c r="G44" s="300">
        <v>39.713234268509503</v>
      </c>
      <c r="H44" s="300">
        <v>45.062059306971001</v>
      </c>
      <c r="I44" s="300">
        <v>39.073250091249996</v>
      </c>
      <c r="J44" s="300">
        <v>-7.5844856192499943</v>
      </c>
      <c r="K44" s="300">
        <v>33.543912219750005</v>
      </c>
      <c r="L44" s="300">
        <v>19.825268899999998</v>
      </c>
    </row>
    <row r="45" spans="2:12" x14ac:dyDescent="0.25">
      <c r="B45" s="296" t="s">
        <v>142</v>
      </c>
      <c r="C45" s="300">
        <v>175</v>
      </c>
      <c r="D45" s="300">
        <v>0</v>
      </c>
      <c r="E45" s="300">
        <v>0</v>
      </c>
      <c r="F45" s="300">
        <v>0</v>
      </c>
      <c r="G45" s="300">
        <v>0</v>
      </c>
      <c r="H45" s="300">
        <v>0</v>
      </c>
      <c r="I45" s="300">
        <v>0</v>
      </c>
      <c r="J45" s="300">
        <v>0</v>
      </c>
      <c r="K45" s="300">
        <v>0</v>
      </c>
      <c r="L45" s="300">
        <v>0</v>
      </c>
    </row>
    <row r="46" spans="2:12" x14ac:dyDescent="0.25">
      <c r="B46" s="296" t="s">
        <v>143</v>
      </c>
      <c r="C46" s="300">
        <v>2105.0845890863416</v>
      </c>
      <c r="D46" s="300">
        <v>2101.8087428085423</v>
      </c>
      <c r="E46" s="300">
        <v>2099.0008745704286</v>
      </c>
      <c r="F46" s="300">
        <v>2099.0008745704286</v>
      </c>
      <c r="G46" s="300">
        <v>2099.0008745704286</v>
      </c>
      <c r="H46" s="300">
        <v>2099.0008745704286</v>
      </c>
      <c r="I46" s="300">
        <v>2099.0008745704286</v>
      </c>
      <c r="J46" s="300">
        <v>2096.1930063323152</v>
      </c>
      <c r="K46" s="300">
        <v>2093.3851380942015</v>
      </c>
      <c r="L46" s="300">
        <v>2093.3851380942015</v>
      </c>
    </row>
    <row r="47" spans="2:12" x14ac:dyDescent="0.25">
      <c r="B47" s="296" t="s">
        <v>144</v>
      </c>
      <c r="C47" s="300">
        <v>1103.8197640729804</v>
      </c>
      <c r="D47" s="300">
        <v>1096.0550290194999</v>
      </c>
      <c r="E47" s="300">
        <v>1098.8173993065</v>
      </c>
      <c r="F47" s="300">
        <v>1086.5786591095189</v>
      </c>
      <c r="G47" s="300">
        <v>1098.0355826092787</v>
      </c>
      <c r="H47" s="300">
        <v>1103.6271216818748</v>
      </c>
      <c r="I47" s="300">
        <v>923.37875501949998</v>
      </c>
      <c r="J47" s="300">
        <v>918.32346117225006</v>
      </c>
      <c r="K47" s="300">
        <v>923.97802930650005</v>
      </c>
      <c r="L47" s="300">
        <v>913.90238510951906</v>
      </c>
    </row>
    <row r="48" spans="2:12" x14ac:dyDescent="0.25">
      <c r="B48" s="296" t="s">
        <v>145</v>
      </c>
      <c r="C48" s="268">
        <v>-200.20301000000001</v>
      </c>
      <c r="D48" s="268">
        <v>-199.58211999999997</v>
      </c>
      <c r="E48" s="268">
        <v>-186.227236</v>
      </c>
      <c r="F48" s="268">
        <v>-188.93874499999998</v>
      </c>
      <c r="G48" s="268">
        <v>-188.39190000000002</v>
      </c>
      <c r="H48" s="268">
        <v>-187.04599999999999</v>
      </c>
      <c r="I48" s="268">
        <v>-181.72360499999999</v>
      </c>
      <c r="J48" s="268">
        <v>-187.52078</v>
      </c>
      <c r="K48" s="268">
        <v>-187.59630999999999</v>
      </c>
      <c r="L48" s="268">
        <v>-188.084315</v>
      </c>
    </row>
    <row r="49" spans="2:12" x14ac:dyDescent="0.25">
      <c r="B49" s="296" t="s">
        <v>146</v>
      </c>
      <c r="C49" s="300">
        <v>3538.5959179624469</v>
      </c>
      <c r="D49" s="300">
        <v>3313.5873059192918</v>
      </c>
      <c r="E49" s="300">
        <v>3087.788759242178</v>
      </c>
      <c r="F49" s="300">
        <v>3066.8932346407646</v>
      </c>
      <c r="G49" s="300">
        <v>3048.3577914482166</v>
      </c>
      <c r="H49" s="300">
        <v>3060.6440555592749</v>
      </c>
      <c r="I49" s="300">
        <v>2879.7292746811781</v>
      </c>
      <c r="J49" s="300">
        <v>2819.4112018853157</v>
      </c>
      <c r="K49" s="300">
        <v>2863.3107696204515</v>
      </c>
      <c r="L49" s="300">
        <v>2839.0284771037204</v>
      </c>
    </row>
    <row r="50" spans="2:12" x14ac:dyDescent="0.25">
      <c r="C50" s="302"/>
      <c r="D50" s="302"/>
      <c r="E50" s="302"/>
      <c r="F50" s="302"/>
      <c r="G50" s="302"/>
      <c r="H50" s="302"/>
      <c r="I50" s="302"/>
      <c r="J50" s="302"/>
      <c r="K50" s="302"/>
      <c r="L50" s="302"/>
    </row>
    <row r="51" spans="2:12" x14ac:dyDescent="0.25">
      <c r="B51" s="269" t="s">
        <v>147</v>
      </c>
      <c r="C51" s="300">
        <v>-123.65084776955291</v>
      </c>
      <c r="D51" s="300">
        <v>-336.9944598127081</v>
      </c>
      <c r="E51" s="300">
        <v>-567.02647835782182</v>
      </c>
      <c r="F51" s="300">
        <v>-592.69753109123531</v>
      </c>
      <c r="G51" s="300">
        <v>-619.04207428378322</v>
      </c>
      <c r="H51" s="300">
        <v>-606.59471017272517</v>
      </c>
      <c r="I51" s="300">
        <v>-788.85079105082195</v>
      </c>
      <c r="J51" s="300">
        <v>-857.04726904668451</v>
      </c>
      <c r="K51" s="300">
        <v>-822.67046797954845</v>
      </c>
      <c r="L51" s="300">
        <v>-858.44928862827965</v>
      </c>
    </row>
    <row r="52" spans="2:12" x14ac:dyDescent="0.25">
      <c r="B52" s="269" t="s">
        <v>148</v>
      </c>
      <c r="C52" s="249">
        <v>-3.3763658125543577E-2</v>
      </c>
      <c r="D52" s="249">
        <v>-9.2312535765141354E-2</v>
      </c>
      <c r="E52" s="249">
        <v>-0.15514504605441284</v>
      </c>
      <c r="F52" s="249">
        <v>-0.16195732502147206</v>
      </c>
      <c r="G52" s="249">
        <v>-0.16879590362318581</v>
      </c>
      <c r="H52" s="249">
        <v>-0.1654091126656286</v>
      </c>
      <c r="I52" s="249">
        <v>-0.21502891497978543</v>
      </c>
      <c r="J52" s="249">
        <v>-0.23311762551459445</v>
      </c>
      <c r="K52" s="249">
        <v>-0.22318900041802764</v>
      </c>
      <c r="L52" s="249">
        <v>-0.23217158912606201</v>
      </c>
    </row>
    <row r="55" spans="2:12" x14ac:dyDescent="0.25">
      <c r="B55" s="301"/>
    </row>
    <row r="56" spans="2:12" x14ac:dyDescent="0.25">
      <c r="B56" s="296" t="s">
        <v>151</v>
      </c>
      <c r="C56" s="296">
        <v>0</v>
      </c>
      <c r="D56" s="296">
        <v>13</v>
      </c>
      <c r="E56" s="296">
        <v>26</v>
      </c>
      <c r="F56" s="296">
        <v>39</v>
      </c>
      <c r="G56" s="296">
        <v>52</v>
      </c>
      <c r="H56" s="296">
        <v>65</v>
      </c>
      <c r="I56" s="296">
        <v>78</v>
      </c>
      <c r="J56" s="296">
        <v>91</v>
      </c>
      <c r="K56" s="296">
        <v>104</v>
      </c>
      <c r="L56" s="296">
        <v>117</v>
      </c>
    </row>
  </sheetData>
  <pageMargins left="0.7" right="0.7" top="0.75" bottom="0.75" header="0.3" footer="0.3"/>
  <pageSetup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"/>
  <dimension ref="B1:AD41"/>
  <sheetViews>
    <sheetView zoomScaleNormal="100" workbookViewId="0">
      <selection activeCell="B1" sqref="B1"/>
    </sheetView>
  </sheetViews>
  <sheetFormatPr defaultColWidth="9.33203125" defaultRowHeight="13.2" x14ac:dyDescent="0.25"/>
  <cols>
    <col min="1" max="1" width="1.33203125" style="2" customWidth="1"/>
    <col min="2" max="2" width="11.109375" style="2" customWidth="1"/>
    <col min="3" max="8" width="8.109375" style="2" customWidth="1"/>
    <col min="9" max="10" width="8.33203125" style="2" customWidth="1"/>
    <col min="11" max="11" width="8.109375" style="2" customWidth="1"/>
    <col min="12" max="12" width="8.109375" style="3" customWidth="1"/>
    <col min="13" max="14" width="8.109375" style="2" customWidth="1"/>
    <col min="15" max="15" width="2.33203125" style="2" customWidth="1"/>
    <col min="16" max="16" width="10.77734375" style="3" customWidth="1"/>
    <col min="17" max="17" width="15.33203125" style="2" customWidth="1"/>
    <col min="18" max="18" width="2.109375" style="2" customWidth="1"/>
    <col min="19" max="31" width="9.33203125" style="2"/>
    <col min="32" max="32" width="2.109375" style="2" customWidth="1"/>
    <col min="33" max="33" width="2" style="2" customWidth="1"/>
    <col min="34" max="35" width="9.33203125" style="2"/>
    <col min="36" max="36" width="9.33203125" style="2" customWidth="1"/>
    <col min="37" max="16384" width="9.33203125" style="2"/>
  </cols>
  <sheetData>
    <row r="1" spans="2:17" s="17" customFormat="1" ht="15.6" x14ac:dyDescent="0.3">
      <c r="B1" s="1" t="s">
        <v>177</v>
      </c>
      <c r="C1" s="1"/>
      <c r="D1" s="1"/>
      <c r="E1" s="1"/>
      <c r="F1" s="19"/>
      <c r="G1" s="1"/>
      <c r="H1" s="1"/>
      <c r="I1" s="1"/>
      <c r="J1" s="1"/>
      <c r="K1" s="28"/>
      <c r="L1" s="29"/>
      <c r="M1" s="19"/>
      <c r="N1" s="19"/>
      <c r="P1" s="262"/>
    </row>
    <row r="2" spans="2:17" s="20" customFormat="1" ht="13.8" x14ac:dyDescent="0.25">
      <c r="B2" s="8"/>
      <c r="C2" s="8"/>
      <c r="D2" s="8"/>
      <c r="E2" s="8"/>
      <c r="F2" s="8"/>
      <c r="G2" s="8"/>
      <c r="H2" s="8"/>
      <c r="I2" s="8"/>
      <c r="J2" s="8"/>
      <c r="K2" s="8"/>
      <c r="L2" s="30"/>
      <c r="M2" s="28"/>
      <c r="N2" s="28"/>
      <c r="P2" s="262"/>
    </row>
    <row r="3" spans="2:17" ht="13.8" x14ac:dyDescent="0.25">
      <c r="B3" s="8" t="s">
        <v>131</v>
      </c>
      <c r="C3" s="8"/>
      <c r="D3" s="8"/>
      <c r="E3" s="8"/>
      <c r="F3" s="8"/>
      <c r="G3" s="8"/>
      <c r="H3" s="8"/>
      <c r="I3" s="8"/>
      <c r="J3" s="8"/>
      <c r="K3" s="8"/>
      <c r="L3" s="30"/>
      <c r="M3" s="28"/>
      <c r="N3" s="28"/>
    </row>
    <row r="4" spans="2:17" x14ac:dyDescent="0.25">
      <c r="C4" s="41"/>
      <c r="D4" s="41"/>
      <c r="E4" s="41"/>
      <c r="F4" s="14"/>
      <c r="G4" s="14"/>
      <c r="H4" s="14"/>
      <c r="I4" s="14"/>
      <c r="J4" s="14"/>
      <c r="K4" s="14"/>
      <c r="L4" s="31"/>
    </row>
    <row r="5" spans="2:17" x14ac:dyDescent="0.25">
      <c r="B5" s="4" t="s">
        <v>3</v>
      </c>
      <c r="C5" s="43" t="s">
        <v>63</v>
      </c>
      <c r="D5" s="59"/>
      <c r="E5" s="59"/>
      <c r="F5" s="43"/>
      <c r="G5" s="43" t="s">
        <v>64</v>
      </c>
      <c r="H5" s="43"/>
      <c r="I5" s="43"/>
      <c r="J5" s="43"/>
      <c r="K5" s="43"/>
      <c r="L5" s="43"/>
      <c r="M5" s="43" t="s">
        <v>63</v>
      </c>
      <c r="N5" s="43"/>
    </row>
    <row r="6" spans="2:17" x14ac:dyDescent="0.25">
      <c r="B6" s="40"/>
      <c r="C6" s="152" t="s">
        <v>51</v>
      </c>
      <c r="D6" s="152" t="s">
        <v>52</v>
      </c>
      <c r="E6" s="152" t="s">
        <v>53</v>
      </c>
      <c r="F6" s="152" t="s">
        <v>54</v>
      </c>
      <c r="G6" s="168" t="s">
        <v>55</v>
      </c>
      <c r="H6" s="152" t="s">
        <v>56</v>
      </c>
      <c r="I6" s="152" t="s">
        <v>57</v>
      </c>
      <c r="J6" s="152" t="s">
        <v>58</v>
      </c>
      <c r="K6" s="152" t="s">
        <v>59</v>
      </c>
      <c r="L6" s="152" t="s">
        <v>60</v>
      </c>
      <c r="M6" s="168" t="s">
        <v>61</v>
      </c>
      <c r="N6" s="53" t="s">
        <v>62</v>
      </c>
    </row>
    <row r="7" spans="2:17" x14ac:dyDescent="0.25"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2:17" s="7" customFormat="1" ht="12.75" customHeight="1" x14ac:dyDescent="0.25">
      <c r="B8" s="27" t="s">
        <v>113</v>
      </c>
      <c r="D8" s="18"/>
      <c r="E8" s="18"/>
      <c r="F8" s="18"/>
      <c r="G8" s="18"/>
      <c r="H8" s="18"/>
      <c r="I8" s="18"/>
      <c r="J8" s="18"/>
      <c r="K8" s="32"/>
      <c r="L8" s="10"/>
      <c r="M8" s="18"/>
      <c r="N8" s="10"/>
      <c r="P8" s="10"/>
    </row>
    <row r="9" spans="2:17" s="7" customFormat="1" ht="12.75" customHeight="1" x14ac:dyDescent="0.25">
      <c r="B9" s="166">
        <v>2015</v>
      </c>
      <c r="C9" s="82">
        <v>38.2584585512109</v>
      </c>
      <c r="D9" s="82">
        <v>35.683492796153182</v>
      </c>
      <c r="E9" s="82">
        <v>32.088707911290271</v>
      </c>
      <c r="F9" s="82">
        <v>26.452237791666555</v>
      </c>
      <c r="G9" s="163">
        <v>23.126323548386935</v>
      </c>
      <c r="H9" s="82">
        <v>21.032578091666515</v>
      </c>
      <c r="I9" s="82">
        <v>31.497291910414614</v>
      </c>
      <c r="J9" s="82">
        <v>36.1628382187575</v>
      </c>
      <c r="K9" s="82">
        <v>36.018615339964008</v>
      </c>
      <c r="L9" s="83">
        <v>34.125118349741101</v>
      </c>
      <c r="M9" s="82">
        <v>35.554427190539947</v>
      </c>
      <c r="N9" s="83">
        <v>39.685269923306279</v>
      </c>
      <c r="P9" s="13"/>
      <c r="Q9" s="167"/>
    </row>
    <row r="10" spans="2:17" s="7" customFormat="1" ht="12.75" customHeight="1" x14ac:dyDescent="0.25">
      <c r="B10" s="171">
        <f t="shared" ref="B10:B11" si="0">B9+1</f>
        <v>2016</v>
      </c>
      <c r="C10" s="13">
        <v>39.98538410015825</v>
      </c>
      <c r="D10" s="13">
        <v>36.898425272514764</v>
      </c>
      <c r="E10" s="13">
        <v>34.04441799121058</v>
      </c>
      <c r="F10" s="13">
        <v>27.454921496864202</v>
      </c>
      <c r="G10" s="164">
        <v>23.900445698924685</v>
      </c>
      <c r="H10" s="13">
        <v>22.308776313889151</v>
      </c>
      <c r="I10" s="13">
        <v>31.249030315602617</v>
      </c>
      <c r="J10" s="13">
        <v>39.715153514314444</v>
      </c>
      <c r="K10" s="13">
        <v>39.185228264496146</v>
      </c>
      <c r="L10" s="84">
        <v>36.023100987562849</v>
      </c>
      <c r="M10" s="13">
        <v>37.861204358333516</v>
      </c>
      <c r="N10" s="84">
        <v>41.8699266720431</v>
      </c>
      <c r="P10" s="13"/>
      <c r="Q10" s="167"/>
    </row>
    <row r="11" spans="2:17" s="7" customFormat="1" ht="12.75" customHeight="1" x14ac:dyDescent="0.25">
      <c r="B11" s="171">
        <f t="shared" si="0"/>
        <v>2017</v>
      </c>
      <c r="C11" s="13">
        <v>42.363284596774164</v>
      </c>
      <c r="D11" s="13">
        <v>39.206709580357142</v>
      </c>
      <c r="E11" s="13">
        <v>36.303274397849236</v>
      </c>
      <c r="F11" s="13">
        <v>29.088466338889052</v>
      </c>
      <c r="G11" s="164">
        <v>26.009937279569886</v>
      </c>
      <c r="H11" s="13">
        <v>24.132466555555453</v>
      </c>
      <c r="I11" s="13">
        <v>33.357998526881858</v>
      </c>
      <c r="J11" s="13">
        <v>42.096175580645401</v>
      </c>
      <c r="K11" s="13">
        <v>41.540902894444763</v>
      </c>
      <c r="L11" s="84">
        <v>38.366781655913918</v>
      </c>
      <c r="M11" s="13">
        <v>40.196328024999964</v>
      </c>
      <c r="N11" s="84">
        <v>44.029450604838708</v>
      </c>
      <c r="P11" s="13"/>
      <c r="Q11" s="167"/>
    </row>
    <row r="12" spans="2:17" s="7" customFormat="1" ht="12.75" customHeight="1" x14ac:dyDescent="0.25">
      <c r="B12" s="171">
        <f>B11+1</f>
        <v>2018</v>
      </c>
      <c r="C12" s="13">
        <v>45.21092477957027</v>
      </c>
      <c r="D12" s="13">
        <v>41.903522276785893</v>
      </c>
      <c r="E12" s="13">
        <v>38.909095712365605</v>
      </c>
      <c r="F12" s="13">
        <v>31.781850822222729</v>
      </c>
      <c r="G12" s="164">
        <v>28.694827717742132</v>
      </c>
      <c r="H12" s="13">
        <v>26.814984691666645</v>
      </c>
      <c r="I12" s="13">
        <v>36.235895419355323</v>
      </c>
      <c r="J12" s="13">
        <v>44.804712333333505</v>
      </c>
      <c r="K12" s="13">
        <v>44.019454686111047</v>
      </c>
      <c r="L12" s="84">
        <v>41.17548672311829</v>
      </c>
      <c r="M12" s="13">
        <v>42.914451366666704</v>
      </c>
      <c r="N12" s="84">
        <v>46.709756674731089</v>
      </c>
      <c r="P12" s="13"/>
      <c r="Q12" s="167"/>
    </row>
    <row r="13" spans="2:17" s="7" customFormat="1" ht="12.75" customHeight="1" x14ac:dyDescent="0.25">
      <c r="B13" s="171">
        <f t="shared" ref="B13:B18" si="1">B12+1</f>
        <v>2019</v>
      </c>
      <c r="C13" s="13">
        <v>47.812692561827959</v>
      </c>
      <c r="D13" s="13">
        <v>44.493735616071191</v>
      </c>
      <c r="E13" s="13">
        <v>41.354647653226252</v>
      </c>
      <c r="F13" s="13">
        <v>34.676482797222008</v>
      </c>
      <c r="G13" s="164">
        <v>31.250326954301006</v>
      </c>
      <c r="H13" s="13">
        <v>29.005966838888618</v>
      </c>
      <c r="I13" s="13">
        <v>39.215014873655733</v>
      </c>
      <c r="J13" s="13">
        <v>47.388243376343681</v>
      </c>
      <c r="K13" s="13">
        <v>46.57648297222228</v>
      </c>
      <c r="L13" s="84">
        <v>43.814254521505248</v>
      </c>
      <c r="M13" s="13">
        <v>45.4826326444445</v>
      </c>
      <c r="N13" s="84">
        <v>49.251958645161203</v>
      </c>
      <c r="P13" s="13"/>
      <c r="Q13" s="167"/>
    </row>
    <row r="14" spans="2:17" s="7" customFormat="1" ht="12.75" customHeight="1" x14ac:dyDescent="0.25">
      <c r="B14" s="171">
        <f t="shared" si="1"/>
        <v>2020</v>
      </c>
      <c r="C14" s="13">
        <v>50.201571166666568</v>
      </c>
      <c r="D14" s="13">
        <v>46.904732097701391</v>
      </c>
      <c r="E14" s="13">
        <v>43.737056389784904</v>
      </c>
      <c r="F14" s="13">
        <v>37.040148902777787</v>
      </c>
      <c r="G14" s="164">
        <v>33.255706948924768</v>
      </c>
      <c r="H14" s="13">
        <v>31.775992316666578</v>
      </c>
      <c r="I14" s="13">
        <v>41.620980086021568</v>
      </c>
      <c r="J14" s="13">
        <v>49.44499404032284</v>
      </c>
      <c r="K14" s="13">
        <v>49.219974188889069</v>
      </c>
      <c r="L14" s="84">
        <v>46.253620564515991</v>
      </c>
      <c r="M14" s="13">
        <v>49.751376138888922</v>
      </c>
      <c r="N14" s="84">
        <v>51.860477712365686</v>
      </c>
      <c r="P14" s="13"/>
      <c r="Q14" s="167"/>
    </row>
    <row r="15" spans="2:17" s="7" customFormat="1" ht="12.75" customHeight="1" x14ac:dyDescent="0.25">
      <c r="B15" s="171">
        <f t="shared" si="1"/>
        <v>2021</v>
      </c>
      <c r="C15" s="13">
        <v>51.885672733870642</v>
      </c>
      <c r="D15" s="13">
        <v>49.012218392856994</v>
      </c>
      <c r="E15" s="13">
        <v>43.341848263440916</v>
      </c>
      <c r="F15" s="13">
        <v>39.035996741666565</v>
      </c>
      <c r="G15" s="164">
        <v>34.331206580645414</v>
      </c>
      <c r="H15" s="13">
        <v>36.506887586111205</v>
      </c>
      <c r="I15" s="13">
        <v>46.363262846774113</v>
      </c>
      <c r="J15" s="13">
        <v>52.059035172042869</v>
      </c>
      <c r="K15" s="13">
        <v>50.093186566667008</v>
      </c>
      <c r="L15" s="84">
        <v>48.121180688172217</v>
      </c>
      <c r="M15" s="13">
        <v>54.615041124999728</v>
      </c>
      <c r="N15" s="84">
        <v>54.341462922042574</v>
      </c>
      <c r="P15" s="13"/>
      <c r="Q15" s="167"/>
    </row>
    <row r="16" spans="2:17" s="7" customFormat="1" ht="12.75" customHeight="1" x14ac:dyDescent="0.25">
      <c r="B16" s="171">
        <f t="shared" si="1"/>
        <v>2022</v>
      </c>
      <c r="C16" s="13">
        <v>53.723943629032505</v>
      </c>
      <c r="D16" s="13">
        <v>51.189495014881139</v>
      </c>
      <c r="E16" s="13">
        <v>42.833537276344153</v>
      </c>
      <c r="F16" s="13">
        <v>41.116498944444579</v>
      </c>
      <c r="G16" s="164">
        <v>36.187096908602022</v>
      </c>
      <c r="H16" s="13">
        <v>41.344774499999978</v>
      </c>
      <c r="I16" s="13">
        <v>50.814051435483442</v>
      </c>
      <c r="J16" s="13">
        <v>55.205170379032488</v>
      </c>
      <c r="K16" s="13">
        <v>51.044142133333203</v>
      </c>
      <c r="L16" s="84">
        <v>50.168237704301191</v>
      </c>
      <c r="M16" s="13">
        <v>56.32621785000029</v>
      </c>
      <c r="N16" s="84">
        <v>57.697218623655615</v>
      </c>
      <c r="P16" s="13"/>
      <c r="Q16" s="167"/>
    </row>
    <row r="17" spans="2:17" s="7" customFormat="1" ht="12.75" customHeight="1" x14ac:dyDescent="0.25">
      <c r="B17" s="171">
        <f t="shared" si="1"/>
        <v>2023</v>
      </c>
      <c r="C17" s="13">
        <v>54.990411110215128</v>
      </c>
      <c r="D17" s="13">
        <v>52.248751922619221</v>
      </c>
      <c r="E17" s="13">
        <v>43.40177345161316</v>
      </c>
      <c r="F17" s="13">
        <v>43.66228458055523</v>
      </c>
      <c r="G17" s="164">
        <v>38.861861943548284</v>
      </c>
      <c r="H17" s="13">
        <v>42.9429550027779</v>
      </c>
      <c r="I17" s="13">
        <v>53.798096911290322</v>
      </c>
      <c r="J17" s="13">
        <v>57.899762567204213</v>
      </c>
      <c r="K17" s="13">
        <v>53.007165286111125</v>
      </c>
      <c r="L17" s="84">
        <v>53.602558938171917</v>
      </c>
      <c r="M17" s="13">
        <v>60.146178291667049</v>
      </c>
      <c r="N17" s="84">
        <v>60.985621473118265</v>
      </c>
      <c r="P17" s="13"/>
      <c r="Q17" s="167"/>
    </row>
    <row r="18" spans="2:17" s="7" customFormat="1" ht="12.75" customHeight="1" x14ac:dyDescent="0.25">
      <c r="B18" s="282">
        <f t="shared" si="1"/>
        <v>2024</v>
      </c>
      <c r="C18" s="86">
        <v>60.660614481182989</v>
      </c>
      <c r="D18" s="86">
        <v>57.379669169539518</v>
      </c>
      <c r="E18" s="86">
        <v>46.180540784946089</v>
      </c>
      <c r="F18" s="86">
        <v>45.583672925528347</v>
      </c>
      <c r="G18" s="283">
        <v>39.253913626343973</v>
      </c>
      <c r="H18" s="86">
        <v>41.752185975000259</v>
      </c>
      <c r="I18" s="86">
        <v>54.957370704301105</v>
      </c>
      <c r="J18" s="86">
        <v>61.352730462365656</v>
      </c>
      <c r="K18" s="86">
        <v>55.207775080555017</v>
      </c>
      <c r="L18" s="87">
        <v>55.143208161290453</v>
      </c>
      <c r="M18" s="86">
        <v>61.530229644444255</v>
      </c>
      <c r="N18" s="87">
        <v>63.523415362903428</v>
      </c>
      <c r="P18" s="13"/>
      <c r="Q18" s="167"/>
    </row>
    <row r="19" spans="2:17" s="10" customFormat="1" ht="12.75" customHeight="1" x14ac:dyDescent="0.25">
      <c r="B19" s="169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259"/>
    </row>
    <row r="20" spans="2:17" s="7" customFormat="1" ht="12.75" customHeight="1" x14ac:dyDescent="0.25">
      <c r="B20" s="27" t="s">
        <v>71</v>
      </c>
      <c r="D20" s="70"/>
      <c r="E20" s="70"/>
      <c r="L20" s="69"/>
      <c r="P20" s="10"/>
    </row>
    <row r="21" spans="2:17" s="7" customFormat="1" ht="12.75" customHeight="1" x14ac:dyDescent="0.25">
      <c r="B21" s="67" t="s">
        <v>3</v>
      </c>
      <c r="D21" s="71" t="s">
        <v>63</v>
      </c>
      <c r="E21" s="9"/>
      <c r="F21" s="72"/>
      <c r="G21" s="10"/>
      <c r="H21" s="71" t="s">
        <v>64</v>
      </c>
      <c r="I21" s="9"/>
      <c r="J21" s="72"/>
      <c r="K21" s="10"/>
      <c r="L21" s="71" t="s">
        <v>72</v>
      </c>
      <c r="M21" s="9"/>
      <c r="N21" s="72"/>
      <c r="P21" s="10"/>
    </row>
    <row r="22" spans="2:17" s="3" customFormat="1" ht="12.75" customHeight="1" x14ac:dyDescent="0.25">
      <c r="B22" s="11"/>
      <c r="C22" s="10"/>
      <c r="D22" s="88"/>
      <c r="E22" s="89"/>
      <c r="F22" s="89"/>
      <c r="G22" s="34"/>
      <c r="H22" s="88"/>
      <c r="I22" s="89"/>
      <c r="J22" s="89"/>
      <c r="K22" s="34"/>
      <c r="L22" s="88"/>
      <c r="M22" s="89"/>
      <c r="N22" s="89"/>
      <c r="O22" s="41"/>
    </row>
    <row r="23" spans="2:17" s="3" customFormat="1" ht="12.75" customHeight="1" x14ac:dyDescent="0.25">
      <c r="B23" s="36">
        <f>B9</f>
        <v>2015</v>
      </c>
      <c r="D23" s="153"/>
      <c r="E23" s="153">
        <f>ROUND((SUMPRODUCT(C9:F9,$C$38:$F$38)+SUMPRODUCT(M9:N9,$M$38:$N$38))/(365-$H$41),2)</f>
        <v>34.64</v>
      </c>
      <c r="F23" s="153"/>
      <c r="H23" s="5"/>
      <c r="I23" s="5">
        <f t="shared" ref="I23:I28" si="2">ROUND(SUMPRODUCT(G9:L9,$G$38:$L$38)/$H$41,2)</f>
        <v>30.35</v>
      </c>
      <c r="J23" s="5"/>
      <c r="L23" s="153"/>
      <c r="M23" s="153">
        <f>ROUND(SUMPRODUCT(C9:N9,$C$38:$N$38)/365,2)</f>
        <v>32.479999999999997</v>
      </c>
      <c r="N23" s="153"/>
    </row>
    <row r="24" spans="2:17" s="3" customFormat="1" ht="12.75" customHeight="1" x14ac:dyDescent="0.25">
      <c r="B24" s="36">
        <f t="shared" ref="B24:B32" si="3">B23+1</f>
        <v>2016</v>
      </c>
      <c r="D24" s="153"/>
      <c r="E24" s="153">
        <f>ROUND((SUMPRODUCT(C10:F10,$C$39:$F$39)+SUMPRODUCT(M10:N10,$M$39:$N$39))/(366-$H$41),2)</f>
        <v>36.39</v>
      </c>
      <c r="F24" s="153"/>
      <c r="H24" s="5"/>
      <c r="I24" s="5">
        <f t="shared" si="2"/>
        <v>32.08</v>
      </c>
      <c r="J24" s="5"/>
      <c r="L24" s="153"/>
      <c r="M24" s="153">
        <f>ROUND(SUMPRODUCT(C10:N10,$C$38:$N$38)/366,2)</f>
        <v>34.119999999999997</v>
      </c>
      <c r="N24" s="153"/>
    </row>
    <row r="25" spans="2:17" s="3" customFormat="1" ht="12.75" customHeight="1" x14ac:dyDescent="0.25">
      <c r="B25" s="36">
        <f t="shared" si="3"/>
        <v>2017</v>
      </c>
      <c r="D25" s="153"/>
      <c r="E25" s="153">
        <f>ROUND((SUMPRODUCT(C11:F11,$C$38:$F$38)+SUMPRODUCT(M11:N11,$M$38:$N$38))/(365-$H$41),2)</f>
        <v>38.56</v>
      </c>
      <c r="F25" s="153"/>
      <c r="H25" s="5"/>
      <c r="I25" s="5">
        <f t="shared" si="2"/>
        <v>34.270000000000003</v>
      </c>
      <c r="J25" s="5"/>
      <c r="L25" s="153"/>
      <c r="M25" s="153">
        <f>ROUND(SUMPRODUCT(C11:N11,$C$38:$N$38)/365,2)</f>
        <v>36.4</v>
      </c>
      <c r="N25" s="153"/>
    </row>
    <row r="26" spans="2:17" s="3" customFormat="1" ht="12.75" customHeight="1" x14ac:dyDescent="0.25">
      <c r="B26" s="36">
        <f t="shared" si="3"/>
        <v>2018</v>
      </c>
      <c r="D26" s="153"/>
      <c r="E26" s="153">
        <f>ROUND((SUMPRODUCT(C12:F12,$C$38:$F$38)+SUMPRODUCT(M12:N12,$M$38:$N$38))/(365-$H$41),2)</f>
        <v>41.27</v>
      </c>
      <c r="F26" s="153"/>
      <c r="H26" s="5"/>
      <c r="I26" s="5">
        <f t="shared" si="2"/>
        <v>36.97</v>
      </c>
      <c r="J26" s="5"/>
      <c r="L26" s="153"/>
      <c r="M26" s="153">
        <f>ROUND(SUMPRODUCT(C12:N12,$C$38:$N$38)/365,2)</f>
        <v>39.1</v>
      </c>
      <c r="N26" s="153"/>
    </row>
    <row r="27" spans="2:17" s="3" customFormat="1" ht="12.75" customHeight="1" x14ac:dyDescent="0.25">
      <c r="B27" s="36">
        <f t="shared" si="3"/>
        <v>2019</v>
      </c>
      <c r="D27" s="153"/>
      <c r="E27" s="153">
        <f>ROUND((SUMPRODUCT(C13:F13,$C$38:$F$38)+SUMPRODUCT(M13:N13,$M$38:$N$38))/(365-$H$41),2)</f>
        <v>43.88</v>
      </c>
      <c r="F27" s="153"/>
      <c r="H27" s="5"/>
      <c r="I27" s="5">
        <f t="shared" si="2"/>
        <v>39.56</v>
      </c>
      <c r="J27" s="5"/>
      <c r="L27" s="153"/>
      <c r="M27" s="153">
        <f>ROUND(SUMPRODUCT(C13:N13,$C$38:$N$38)/365,2)</f>
        <v>41.7</v>
      </c>
      <c r="N27" s="153"/>
    </row>
    <row r="28" spans="2:17" s="3" customFormat="1" ht="12.75" customHeight="1" x14ac:dyDescent="0.25">
      <c r="B28" s="36">
        <f t="shared" si="3"/>
        <v>2020</v>
      </c>
      <c r="D28" s="153"/>
      <c r="E28" s="153">
        <f>ROUND((SUMPRODUCT(C14:F14,$C$39:$F$39)+SUMPRODUCT(M14:N14,$M$39:$N$39))/(366-$H$41),2)</f>
        <v>46.61</v>
      </c>
      <c r="F28" s="153"/>
      <c r="H28" s="5"/>
      <c r="I28" s="5">
        <f t="shared" si="2"/>
        <v>41.94</v>
      </c>
      <c r="J28" s="5"/>
      <c r="L28" s="153"/>
      <c r="M28" s="153">
        <f>ROUND(SUMPRODUCT(C14:N14,$C$38:$N$38)/366,2)</f>
        <v>44.14</v>
      </c>
      <c r="N28" s="153"/>
    </row>
    <row r="29" spans="2:17" s="3" customFormat="1" ht="12.75" customHeight="1" x14ac:dyDescent="0.25">
      <c r="B29" s="36">
        <f t="shared" si="3"/>
        <v>2021</v>
      </c>
      <c r="D29" s="153"/>
      <c r="E29" s="153">
        <f t="shared" ref="E29:E31" si="4">ROUND((SUMPRODUCT(C15:F15,$C$38:$F$38)+SUMPRODUCT(M15:N15,$M$38:$N$38))/(365-$H$41),2)</f>
        <v>48.72</v>
      </c>
      <c r="F29" s="153"/>
      <c r="H29" s="5"/>
      <c r="I29" s="5">
        <f t="shared" ref="I29:I31" si="5">ROUND(SUMPRODUCT(G15:L15,$G$38:$L$38)/$H$41,2)</f>
        <v>44.59</v>
      </c>
      <c r="J29" s="5"/>
      <c r="L29" s="153"/>
      <c r="M29" s="153">
        <f t="shared" ref="M29:M31" si="6">ROUND(SUMPRODUCT(C15:N15,$C$38:$N$38)/365,2)</f>
        <v>46.64</v>
      </c>
      <c r="N29" s="153"/>
    </row>
    <row r="30" spans="2:17" s="3" customFormat="1" ht="12.75" customHeight="1" x14ac:dyDescent="0.25">
      <c r="B30" s="36">
        <f t="shared" si="3"/>
        <v>2022</v>
      </c>
      <c r="D30" s="153"/>
      <c r="E30" s="153">
        <f t="shared" si="4"/>
        <v>50.49</v>
      </c>
      <c r="F30" s="153"/>
      <c r="H30" s="5"/>
      <c r="I30" s="5">
        <f t="shared" si="5"/>
        <v>47.47</v>
      </c>
      <c r="J30" s="5"/>
      <c r="L30" s="153"/>
      <c r="M30" s="153">
        <f t="shared" si="6"/>
        <v>48.97</v>
      </c>
      <c r="N30" s="153"/>
    </row>
    <row r="31" spans="2:17" s="3" customFormat="1" ht="12.75" customHeight="1" x14ac:dyDescent="0.25">
      <c r="B31" s="36">
        <f t="shared" si="3"/>
        <v>2023</v>
      </c>
      <c r="D31" s="153"/>
      <c r="E31" s="153">
        <f t="shared" si="4"/>
        <v>52.59</v>
      </c>
      <c r="F31" s="153"/>
      <c r="H31" s="5"/>
      <c r="I31" s="5">
        <f t="shared" si="5"/>
        <v>50.04</v>
      </c>
      <c r="J31" s="5"/>
      <c r="L31" s="153"/>
      <c r="M31" s="153">
        <f t="shared" si="6"/>
        <v>51.3</v>
      </c>
      <c r="N31" s="153"/>
    </row>
    <row r="32" spans="2:17" s="3" customFormat="1" ht="12.75" customHeight="1" x14ac:dyDescent="0.25">
      <c r="B32" s="36">
        <f t="shared" si="3"/>
        <v>2024</v>
      </c>
      <c r="D32" s="153"/>
      <c r="E32" s="153">
        <f>ROUND((SUMPRODUCT(C18:F18,$C$39:$F$39)+SUMPRODUCT(M18:N18,$M$39:$N$39))/(366-$H$41),2)</f>
        <v>55.82</v>
      </c>
      <c r="F32" s="153"/>
      <c r="H32" s="5"/>
      <c r="I32" s="5">
        <f>ROUND(SUMPRODUCT(G18:L18,$G$38:$L$38)/$H$41,2)</f>
        <v>51.31</v>
      </c>
      <c r="J32" s="5"/>
      <c r="L32" s="153"/>
      <c r="M32" s="153">
        <f>ROUND(SUMPRODUCT(C18:N18,$C$38:$N$38)/366,2)</f>
        <v>53.39</v>
      </c>
      <c r="N32" s="153"/>
    </row>
    <row r="33" spans="2:30" s="3" customFormat="1" ht="12.75" customHeight="1" x14ac:dyDescent="0.25">
      <c r="B33" s="36"/>
      <c r="D33" s="153"/>
      <c r="E33" s="153"/>
      <c r="F33" s="153"/>
      <c r="H33" s="5"/>
      <c r="I33" s="5"/>
      <c r="J33" s="5"/>
      <c r="L33" s="153"/>
      <c r="M33" s="153"/>
      <c r="N33" s="153"/>
    </row>
    <row r="34" spans="2:30" s="3" customFormat="1" ht="12.75" customHeight="1" x14ac:dyDescent="0.25">
      <c r="B34" s="2" t="s">
        <v>83</v>
      </c>
      <c r="C34" s="291" t="str">
        <f>"GRID Production Cost Computer Model Study - Dated  2014, December 2"</f>
        <v>GRID Production Cost Computer Model Study - Dated  2014, December 2</v>
      </c>
      <c r="E34" s="153"/>
      <c r="F34" s="5"/>
      <c r="G34" s="5"/>
      <c r="H34" s="5"/>
      <c r="K34" s="5"/>
      <c r="L34" s="5"/>
      <c r="P34" s="263"/>
    </row>
    <row r="35" spans="2:30" ht="12.75" customHeight="1" x14ac:dyDescent="0.25">
      <c r="D35" s="3"/>
      <c r="E35" s="153"/>
      <c r="F35" s="5"/>
      <c r="G35" s="5"/>
      <c r="H35" s="5"/>
      <c r="I35" s="3"/>
    </row>
    <row r="36" spans="2:30" ht="12.75" hidden="1" customHeight="1" x14ac:dyDescent="0.25">
      <c r="D36" s="3"/>
      <c r="E36" s="3"/>
      <c r="F36" s="3"/>
      <c r="G36" s="3"/>
      <c r="H36" s="3"/>
      <c r="P36" s="10"/>
    </row>
    <row r="37" spans="2:30" ht="12.75" hidden="1" customHeight="1" x14ac:dyDescent="0.25">
      <c r="D37" s="3"/>
      <c r="E37" s="3"/>
      <c r="F37" s="3"/>
      <c r="G37" s="3"/>
      <c r="H37" s="3"/>
      <c r="P37" s="10"/>
      <c r="V37" s="3"/>
      <c r="W37" s="3"/>
      <c r="X37" s="3"/>
      <c r="Y37" s="3"/>
      <c r="Z37" s="3"/>
      <c r="AA37" s="3"/>
      <c r="AB37" s="3"/>
      <c r="AC37" s="3"/>
      <c r="AD37" s="3"/>
    </row>
    <row r="38" spans="2:30" hidden="1" x14ac:dyDescent="0.25">
      <c r="B38" s="2" t="s">
        <v>106</v>
      </c>
      <c r="C38" s="2">
        <v>31</v>
      </c>
      <c r="D38" s="2">
        <v>28</v>
      </c>
      <c r="E38" s="2">
        <v>31</v>
      </c>
      <c r="F38" s="2">
        <v>30</v>
      </c>
      <c r="G38" s="47">
        <v>31</v>
      </c>
      <c r="H38" s="2">
        <v>30</v>
      </c>
      <c r="I38" s="2">
        <v>31</v>
      </c>
      <c r="J38" s="2">
        <v>31</v>
      </c>
      <c r="K38" s="2">
        <v>30</v>
      </c>
      <c r="L38" s="2">
        <v>31</v>
      </c>
      <c r="M38" s="47">
        <v>30</v>
      </c>
      <c r="N38" s="2">
        <v>31</v>
      </c>
      <c r="V38" s="3"/>
      <c r="W38" s="3"/>
      <c r="X38" s="3"/>
      <c r="Y38" s="3"/>
      <c r="Z38" s="3"/>
      <c r="AA38" s="3"/>
      <c r="AB38" s="3"/>
      <c r="AC38" s="3"/>
      <c r="AD38" s="3"/>
    </row>
    <row r="39" spans="2:30" hidden="1" x14ac:dyDescent="0.25">
      <c r="B39" s="2" t="s">
        <v>107</v>
      </c>
      <c r="C39" s="2">
        <v>31</v>
      </c>
      <c r="D39" s="2">
        <v>29</v>
      </c>
      <c r="E39" s="2">
        <v>31</v>
      </c>
      <c r="F39" s="2">
        <v>30</v>
      </c>
      <c r="G39" s="47">
        <v>31</v>
      </c>
      <c r="H39" s="2">
        <v>30</v>
      </c>
      <c r="I39" s="2">
        <v>31</v>
      </c>
      <c r="J39" s="2">
        <v>31</v>
      </c>
      <c r="K39" s="2">
        <v>30</v>
      </c>
      <c r="L39" s="2">
        <v>31</v>
      </c>
      <c r="M39" s="47">
        <v>30</v>
      </c>
      <c r="N39" s="2">
        <v>31</v>
      </c>
      <c r="V39" s="3"/>
      <c r="W39" s="3"/>
      <c r="X39" s="3"/>
      <c r="Y39" s="3"/>
      <c r="Z39" s="3"/>
      <c r="AA39" s="3"/>
      <c r="AB39" s="3"/>
      <c r="AC39" s="3"/>
      <c r="AD39" s="3"/>
    </row>
    <row r="40" spans="2:30" hidden="1" x14ac:dyDescent="0.25">
      <c r="V40" s="3"/>
      <c r="W40" s="3"/>
      <c r="X40" s="3"/>
      <c r="Y40" s="3"/>
      <c r="Z40" s="3"/>
      <c r="AA40" s="3"/>
      <c r="AB40" s="3"/>
      <c r="AC40" s="3"/>
      <c r="AD40" s="3"/>
    </row>
    <row r="41" spans="2:30" hidden="1" x14ac:dyDescent="0.25">
      <c r="H41" s="2">
        <f>SUM(G38:L38)</f>
        <v>184</v>
      </c>
      <c r="AC41" s="3"/>
    </row>
  </sheetData>
  <phoneticPr fontId="7" type="noConversion"/>
  <printOptions horizontalCentered="1"/>
  <pageMargins left="0.25" right="0.25" top="0.75" bottom="0.75" header="0.3" footer="0.3"/>
  <pageSetup scale="95" orientation="portrait" r:id="rId1"/>
  <headerFooter alignWithMargins="0">
    <oddFooter>&amp;C 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F41"/>
  <sheetViews>
    <sheetView zoomScale="80" zoomScaleNormal="80" workbookViewId="0">
      <selection activeCell="B1" sqref="B1"/>
    </sheetView>
  </sheetViews>
  <sheetFormatPr defaultColWidth="9.33203125" defaultRowHeight="13.2" x14ac:dyDescent="0.25"/>
  <cols>
    <col min="1" max="1" width="1.6640625" style="7" customWidth="1"/>
    <col min="2" max="2" width="10.6640625" style="7" customWidth="1"/>
    <col min="3" max="3" width="19.33203125" style="7" customWidth="1"/>
    <col min="4" max="4" width="18.33203125" style="7" customWidth="1"/>
    <col min="5" max="5" width="3.33203125" style="7" customWidth="1"/>
    <col min="6" max="6" width="17.77734375" style="7" customWidth="1"/>
    <col min="7" max="7" width="20.44140625" style="7" customWidth="1"/>
    <col min="8" max="8" width="1.6640625" style="10" customWidth="1"/>
    <col min="9" max="9" width="10.6640625" style="7" customWidth="1"/>
    <col min="10" max="13" width="20" style="7" customWidth="1"/>
    <col min="14" max="14" width="1.6640625" style="10" customWidth="1"/>
    <col min="15" max="15" width="10.44140625" style="7" customWidth="1"/>
    <col min="16" max="20" width="16" style="7" customWidth="1"/>
    <col min="21" max="21" width="1.6640625" style="10" customWidth="1"/>
    <col min="22" max="22" width="10.44140625" style="7" customWidth="1"/>
    <col min="23" max="26" width="16" style="7" customWidth="1"/>
    <col min="27" max="27" width="24" style="7" customWidth="1"/>
    <col min="28" max="28" width="1.6640625" style="7" customWidth="1"/>
    <col min="29" max="29" width="13.33203125" style="7" customWidth="1"/>
    <col min="30" max="16384" width="9.33203125" style="7"/>
  </cols>
  <sheetData>
    <row r="1" spans="2:32" s="17" customFormat="1" ht="15.6" x14ac:dyDescent="0.3">
      <c r="B1" s="1" t="s">
        <v>34</v>
      </c>
      <c r="C1" s="1"/>
      <c r="D1" s="1"/>
      <c r="E1" s="1"/>
      <c r="F1" s="1"/>
      <c r="G1" s="1"/>
      <c r="H1" s="22"/>
      <c r="I1" s="1" t="s">
        <v>35</v>
      </c>
      <c r="J1" s="1"/>
      <c r="K1" s="1"/>
      <c r="L1" s="1"/>
      <c r="M1" s="1"/>
      <c r="N1" s="23"/>
      <c r="O1" s="1" t="s">
        <v>36</v>
      </c>
      <c r="P1" s="19"/>
      <c r="Q1" s="1"/>
      <c r="R1" s="1"/>
      <c r="S1" s="1"/>
      <c r="T1" s="1"/>
      <c r="U1" s="23"/>
      <c r="V1" s="1" t="s">
        <v>175</v>
      </c>
      <c r="W1" s="19"/>
      <c r="X1" s="1"/>
      <c r="Y1" s="1"/>
      <c r="Z1" s="1"/>
      <c r="AA1" s="19"/>
    </row>
    <row r="2" spans="2:32" s="20" customFormat="1" ht="13.8" x14ac:dyDescent="0.25">
      <c r="B2" s="8" t="s">
        <v>16</v>
      </c>
      <c r="C2" s="8"/>
      <c r="D2" s="8"/>
      <c r="E2" s="8"/>
      <c r="F2" s="8"/>
      <c r="G2" s="8"/>
      <c r="H2" s="23"/>
      <c r="I2" s="8" t="s">
        <v>17</v>
      </c>
      <c r="J2" s="8"/>
      <c r="K2" s="8"/>
      <c r="L2" s="8"/>
      <c r="M2" s="8"/>
      <c r="N2" s="23"/>
      <c r="O2" s="8" t="s">
        <v>20</v>
      </c>
      <c r="P2" s="8"/>
      <c r="Q2" s="8"/>
      <c r="R2" s="8"/>
      <c r="S2" s="8"/>
      <c r="T2" s="8"/>
      <c r="U2" s="23"/>
      <c r="V2" s="250" t="s">
        <v>163</v>
      </c>
      <c r="W2" s="251"/>
      <c r="X2" s="251"/>
      <c r="Y2" s="251"/>
      <c r="Z2" s="251"/>
      <c r="AA2" s="251"/>
    </row>
    <row r="3" spans="2:32" s="20" customFormat="1" ht="13.8" x14ac:dyDescent="0.25">
      <c r="B3" s="8"/>
      <c r="C3" s="8"/>
      <c r="D3" s="8"/>
      <c r="E3" s="8"/>
      <c r="F3" s="8"/>
      <c r="G3" s="8"/>
      <c r="H3" s="23"/>
      <c r="I3" s="8"/>
      <c r="J3" s="8"/>
      <c r="K3" s="8"/>
      <c r="L3" s="8"/>
      <c r="M3" s="8"/>
      <c r="N3" s="23"/>
      <c r="O3" s="8"/>
      <c r="P3" s="8"/>
      <c r="Q3" s="8"/>
      <c r="R3" s="8"/>
      <c r="S3" s="8"/>
      <c r="T3" s="8"/>
      <c r="U3" s="23"/>
      <c r="V3" s="250"/>
      <c r="W3" s="251"/>
      <c r="X3" s="251"/>
      <c r="Y3" s="251"/>
      <c r="Z3" s="251"/>
      <c r="AA3" s="251"/>
    </row>
    <row r="4" spans="2:32" s="2" customFormat="1" x14ac:dyDescent="0.25">
      <c r="B4" s="37"/>
      <c r="C4" s="55" t="s">
        <v>100</v>
      </c>
      <c r="D4" s="46" t="s">
        <v>4</v>
      </c>
      <c r="E4" s="160"/>
      <c r="F4" s="56"/>
      <c r="G4" s="4" t="s">
        <v>10</v>
      </c>
      <c r="H4" s="34"/>
      <c r="I4" s="155"/>
      <c r="J4" s="44"/>
      <c r="K4" s="44"/>
      <c r="L4" s="56" t="s">
        <v>10</v>
      </c>
      <c r="M4" s="44" t="s">
        <v>15</v>
      </c>
      <c r="N4" s="34"/>
      <c r="O4" s="37"/>
      <c r="P4" s="4" t="s">
        <v>27</v>
      </c>
      <c r="Q4" s="46" t="s">
        <v>15</v>
      </c>
      <c r="R4" s="44" t="s">
        <v>18</v>
      </c>
      <c r="S4" s="44"/>
      <c r="T4" s="44"/>
      <c r="U4" s="34"/>
      <c r="V4" s="37"/>
      <c r="W4" s="55" t="s">
        <v>27</v>
      </c>
      <c r="X4" s="4" t="s">
        <v>29</v>
      </c>
      <c r="Y4" s="46" t="s">
        <v>15</v>
      </c>
      <c r="Z4" s="4" t="s">
        <v>1</v>
      </c>
      <c r="AA4" s="4" t="s">
        <v>2</v>
      </c>
    </row>
    <row r="5" spans="2:32" s="2" customFormat="1" x14ac:dyDescent="0.25">
      <c r="B5" s="15" t="s">
        <v>3</v>
      </c>
      <c r="C5" s="57" t="s">
        <v>11</v>
      </c>
      <c r="D5" s="57" t="s">
        <v>11</v>
      </c>
      <c r="E5" s="161"/>
      <c r="F5" s="16" t="s">
        <v>7</v>
      </c>
      <c r="G5" s="15" t="s">
        <v>8</v>
      </c>
      <c r="H5" s="34"/>
      <c r="I5" s="45" t="s">
        <v>3</v>
      </c>
      <c r="J5" s="15" t="s">
        <v>98</v>
      </c>
      <c r="K5" s="15" t="s">
        <v>13</v>
      </c>
      <c r="L5" s="16" t="s">
        <v>8</v>
      </c>
      <c r="M5" s="154" t="s">
        <v>14</v>
      </c>
      <c r="N5" s="34"/>
      <c r="O5" s="15" t="s">
        <v>3</v>
      </c>
      <c r="P5" s="15" t="s">
        <v>28</v>
      </c>
      <c r="Q5" s="57" t="s">
        <v>14</v>
      </c>
      <c r="R5" s="51" t="s">
        <v>19</v>
      </c>
      <c r="S5" s="35"/>
      <c r="T5" s="52"/>
      <c r="U5" s="34"/>
      <c r="V5" s="15" t="s">
        <v>3</v>
      </c>
      <c r="W5" s="45" t="s">
        <v>28</v>
      </c>
      <c r="X5" s="15" t="s">
        <v>30</v>
      </c>
      <c r="Y5" s="57" t="s">
        <v>14</v>
      </c>
      <c r="Z5" s="15" t="str">
        <f>TEXT((0.57*8760),"0,000")&amp;" Hours"</f>
        <v>4,993 Hours</v>
      </c>
      <c r="AA5" s="15" t="str">
        <f>TEXT((0.43*8760),"0,000")&amp;" Hours"</f>
        <v>3,767 Hours</v>
      </c>
    </row>
    <row r="6" spans="2:32" s="2" customFormat="1" x14ac:dyDescent="0.25">
      <c r="B6" s="38"/>
      <c r="C6" s="45" t="s">
        <v>5</v>
      </c>
      <c r="D6" s="57" t="s">
        <v>5</v>
      </c>
      <c r="E6" s="161"/>
      <c r="F6" s="16" t="s">
        <v>8</v>
      </c>
      <c r="G6" s="165" t="str">
        <f>TEXT('Table 8'!$G$88,"0.0%")&amp;" CF"</f>
        <v>52.3% CF</v>
      </c>
      <c r="H6" s="41"/>
      <c r="I6" s="47"/>
      <c r="J6" s="40" t="s">
        <v>99</v>
      </c>
      <c r="K6" s="158"/>
      <c r="L6" s="156" t="str">
        <f>G6</f>
        <v>52.3% CF</v>
      </c>
      <c r="M6" s="154" t="s">
        <v>13</v>
      </c>
      <c r="N6" s="41"/>
      <c r="O6" s="38"/>
      <c r="P6" s="15" t="s">
        <v>9</v>
      </c>
      <c r="Q6" s="57" t="s">
        <v>13</v>
      </c>
      <c r="R6" s="58">
        <v>0.75</v>
      </c>
      <c r="S6" s="58">
        <v>0.85</v>
      </c>
      <c r="T6" s="58">
        <v>0.95</v>
      </c>
      <c r="U6" s="41"/>
      <c r="V6" s="38"/>
      <c r="W6" s="45" t="s">
        <v>9</v>
      </c>
      <c r="X6" s="15" t="s">
        <v>0</v>
      </c>
      <c r="Y6" s="57" t="s">
        <v>13</v>
      </c>
      <c r="Z6" s="165" t="s">
        <v>160</v>
      </c>
      <c r="AA6" s="165" t="s">
        <v>159</v>
      </c>
    </row>
    <row r="7" spans="2:32" s="2" customFormat="1" x14ac:dyDescent="0.25">
      <c r="B7" s="39"/>
      <c r="C7" s="59" t="s">
        <v>6</v>
      </c>
      <c r="D7" s="59" t="s">
        <v>6</v>
      </c>
      <c r="E7" s="59"/>
      <c r="F7" s="59" t="s">
        <v>6</v>
      </c>
      <c r="G7" s="128" t="s">
        <v>104</v>
      </c>
      <c r="H7" s="41"/>
      <c r="I7" s="39"/>
      <c r="J7" s="157" t="s">
        <v>12</v>
      </c>
      <c r="K7" s="40" t="s">
        <v>104</v>
      </c>
      <c r="L7" s="128" t="s">
        <v>104</v>
      </c>
      <c r="M7" s="43" t="s">
        <v>104</v>
      </c>
      <c r="N7" s="41"/>
      <c r="O7" s="39"/>
      <c r="P7" s="59" t="s">
        <v>6</v>
      </c>
      <c r="Q7" s="33" t="s">
        <v>104</v>
      </c>
      <c r="R7" s="128" t="s">
        <v>104</v>
      </c>
      <c r="S7" s="128" t="s">
        <v>104</v>
      </c>
      <c r="T7" s="128" t="s">
        <v>104</v>
      </c>
      <c r="U7" s="41"/>
      <c r="V7" s="39"/>
      <c r="W7" s="60" t="s">
        <v>6</v>
      </c>
      <c r="X7" s="128" t="s">
        <v>104</v>
      </c>
      <c r="Y7" s="33" t="s">
        <v>104</v>
      </c>
      <c r="Z7" s="128" t="s">
        <v>104</v>
      </c>
      <c r="AA7" s="128" t="s">
        <v>104</v>
      </c>
    </row>
    <row r="8" spans="2:32" s="2" customFormat="1" x14ac:dyDescent="0.25">
      <c r="C8" s="41" t="s">
        <v>22</v>
      </c>
      <c r="D8" s="54" t="s">
        <v>23</v>
      </c>
      <c r="E8" s="54"/>
      <c r="F8" s="41" t="s">
        <v>24</v>
      </c>
      <c r="G8" s="41" t="s">
        <v>25</v>
      </c>
      <c r="H8" s="3"/>
      <c r="J8" s="41" t="s">
        <v>22</v>
      </c>
      <c r="K8" s="41" t="s">
        <v>23</v>
      </c>
      <c r="L8" s="41" t="s">
        <v>24</v>
      </c>
      <c r="M8" s="54" t="s">
        <v>25</v>
      </c>
      <c r="N8" s="3"/>
      <c r="P8" s="41" t="s">
        <v>22</v>
      </c>
      <c r="Q8" s="54" t="s">
        <v>23</v>
      </c>
      <c r="R8" s="41" t="s">
        <v>24</v>
      </c>
      <c r="S8" s="41" t="s">
        <v>25</v>
      </c>
      <c r="T8" s="41" t="s">
        <v>26</v>
      </c>
      <c r="U8" s="3"/>
      <c r="W8" s="41" t="s">
        <v>22</v>
      </c>
      <c r="X8" s="54" t="s">
        <v>23</v>
      </c>
      <c r="Y8" s="41" t="s">
        <v>24</v>
      </c>
      <c r="Z8" s="41" t="s">
        <v>25</v>
      </c>
      <c r="AA8" s="41" t="s">
        <v>26</v>
      </c>
    </row>
    <row r="9" spans="2:32" s="2" customFormat="1" x14ac:dyDescent="0.25">
      <c r="C9" s="41"/>
      <c r="D9" s="41"/>
      <c r="E9" s="41"/>
      <c r="F9" s="14" t="str">
        <f>"("&amp;C8&amp;" - "&amp;D8&amp;")"</f>
        <v>((a) - (b))</v>
      </c>
      <c r="G9" s="14" t="str">
        <f>F8&amp;"/(8.760 x "&amp;TEXT('Table 8'!$G$88,"0.0%")&amp;")"</f>
        <v>(c)/(8.760 x 52.3%)</v>
      </c>
      <c r="H9" s="3"/>
      <c r="J9" s="41"/>
      <c r="K9" s="91" t="str">
        <f>$J$8&amp;" x "&amp;TEXT('Table 8'!$K$88/1000,"0.000")</f>
        <v>(a) x 6.550</v>
      </c>
      <c r="L9" s="41"/>
      <c r="M9" s="24" t="str">
        <f>K8&amp;" + "&amp;L8</f>
        <v>(b) + (c)</v>
      </c>
      <c r="N9" s="3"/>
      <c r="P9" s="25"/>
      <c r="Q9" s="41"/>
      <c r="R9" s="26" t="str">
        <f>" "&amp;$Q$8&amp;"+"&amp;$P$8&amp;"/(8.76 x "&amp;$R$6&amp;")"</f>
        <v xml:space="preserve"> (b)+(a)/(8.76 x 0.75)</v>
      </c>
      <c r="S9" s="26" t="str">
        <f>" "&amp;$Q$8&amp;"+("&amp;$P$8&amp;"/(8.76 x "&amp;$S$6&amp;")"</f>
        <v xml:space="preserve"> (b)+((a)/(8.76 x 0.85)</v>
      </c>
      <c r="T9" s="26" t="str">
        <f>" "&amp;$Q$8&amp;"+("&amp;$P$8&amp;"/(8.76 x "&amp;$T$6&amp;")"</f>
        <v xml:space="preserve"> (b)+((a)/(8.76 x 0.95)</v>
      </c>
      <c r="U9" s="3"/>
      <c r="W9" s="25"/>
      <c r="X9" s="14" t="str">
        <f>$W$8&amp;" /(8.76 x "&amp;TEXT('Table 8'!$D$102,"0.0%")&amp;" x 57%)"</f>
        <v>(a) /(8.76 x 91.8% x 57%)</v>
      </c>
      <c r="Y9" s="41"/>
      <c r="Z9" s="14" t="str">
        <f>X8&amp;" + "&amp;Y8</f>
        <v>(b) + (c)</v>
      </c>
      <c r="AA9" s="14" t="str">
        <f>X8</f>
        <v>(b)</v>
      </c>
    </row>
    <row r="10" spans="2:32" s="2" customFormat="1" x14ac:dyDescent="0.25">
      <c r="C10" s="61"/>
      <c r="D10" s="61"/>
      <c r="E10" s="61"/>
      <c r="H10" s="3"/>
      <c r="N10" s="3"/>
      <c r="U10" s="3"/>
    </row>
    <row r="11" spans="2:32" s="10" customFormat="1" x14ac:dyDescent="0.25">
      <c r="B11" s="27" t="s">
        <v>178</v>
      </c>
      <c r="C11" s="12"/>
      <c r="D11" s="127" t="s">
        <v>176</v>
      </c>
      <c r="E11" s="127"/>
      <c r="F11" s="144"/>
      <c r="G11" s="5"/>
      <c r="H11" s="5"/>
      <c r="I11" s="27" t="s">
        <v>178</v>
      </c>
      <c r="J11" s="13"/>
      <c r="L11" s="13"/>
      <c r="M11" s="13"/>
      <c r="N11" s="12"/>
      <c r="O11" s="27" t="s">
        <v>178</v>
      </c>
      <c r="P11" s="12"/>
      <c r="Q11" s="13"/>
      <c r="R11" s="13"/>
      <c r="S11" s="13"/>
      <c r="T11" s="13"/>
      <c r="U11" s="12"/>
      <c r="V11" s="27" t="s">
        <v>178</v>
      </c>
      <c r="W11" s="12"/>
      <c r="X11" s="14"/>
      <c r="Y11" s="13"/>
      <c r="Z11" s="13"/>
      <c r="AA11" s="13"/>
    </row>
    <row r="12" spans="2:32" s="10" customFormat="1" x14ac:dyDescent="0.25">
      <c r="B12" s="166">
        <f>'Table 2'!B9</f>
        <v>2015</v>
      </c>
      <c r="C12" s="80"/>
      <c r="D12" s="80">
        <f>VLOOKUP(B12,'Table 8'!$B$10:$H$22,7,FALSE)*3/12</f>
        <v>29.95</v>
      </c>
      <c r="E12" s="236"/>
      <c r="F12" s="80"/>
      <c r="G12" s="81"/>
      <c r="H12" s="12"/>
      <c r="I12" s="77">
        <f t="shared" ref="I12:I23" si="0">$B12</f>
        <v>2015</v>
      </c>
      <c r="J12" s="82"/>
      <c r="K12" s="82"/>
      <c r="L12" s="82"/>
      <c r="M12" s="83">
        <f>'Table 2'!M23</f>
        <v>32.479999999999997</v>
      </c>
      <c r="N12" s="12"/>
      <c r="O12" s="77">
        <f t="shared" ref="O12:O23" si="1">$B12</f>
        <v>2015</v>
      </c>
      <c r="P12" s="80">
        <f t="shared" ref="P12:P14" si="2">D12</f>
        <v>29.95</v>
      </c>
      <c r="Q12" s="82">
        <f t="shared" ref="Q12:Q14" si="3">M12</f>
        <v>32.479999999999997</v>
      </c>
      <c r="R12" s="82">
        <f t="shared" ref="R12:R23" si="4">ROUND($Q12+$P12/(8.76*R$6),2)</f>
        <v>37.04</v>
      </c>
      <c r="S12" s="82">
        <f t="shared" ref="S12:T23" si="5">ROUND($Q12+$P12/(8.76*S$6),2)</f>
        <v>36.5</v>
      </c>
      <c r="T12" s="83">
        <f t="shared" si="5"/>
        <v>36.08</v>
      </c>
      <c r="U12" s="12"/>
      <c r="V12" s="77">
        <f t="shared" ref="V12:V23" si="6">$B12</f>
        <v>2015</v>
      </c>
      <c r="W12" s="80">
        <f t="shared" ref="W12:W14" si="7">D12</f>
        <v>29.95</v>
      </c>
      <c r="X12" s="82">
        <f>ROUND(W12/(8.76*'Table 8'!$D$102*0.57),2)</f>
        <v>6.53</v>
      </c>
      <c r="Y12" s="82">
        <f t="shared" ref="Y12:Y14" si="8">M12</f>
        <v>32.479999999999997</v>
      </c>
      <c r="Z12" s="82">
        <f>X12+Y12</f>
        <v>39.01</v>
      </c>
      <c r="AA12" s="83">
        <f>Y12</f>
        <v>32.479999999999997</v>
      </c>
      <c r="AD12" s="293"/>
      <c r="AE12" s="292"/>
      <c r="AF12" s="292"/>
    </row>
    <row r="13" spans="2:32" s="3" customFormat="1" x14ac:dyDescent="0.25">
      <c r="B13" s="78">
        <f>'Table 2'!B10</f>
        <v>2016</v>
      </c>
      <c r="C13" s="12"/>
      <c r="D13" s="12">
        <f>VLOOKUP(B13,'Table 8'!$B$10:$H$22,7,FALSE)*3/12</f>
        <v>30.399999999999995</v>
      </c>
      <c r="E13" s="159"/>
      <c r="F13" s="12"/>
      <c r="G13" s="68"/>
      <c r="H13" s="12"/>
      <c r="I13" s="78">
        <f t="shared" si="0"/>
        <v>2016</v>
      </c>
      <c r="J13" s="13"/>
      <c r="K13" s="91"/>
      <c r="L13" s="42"/>
      <c r="M13" s="93">
        <f>'Table 2'!M24</f>
        <v>34.119999999999997</v>
      </c>
      <c r="N13" s="5"/>
      <c r="O13" s="145">
        <f t="shared" si="1"/>
        <v>2016</v>
      </c>
      <c r="P13" s="5">
        <f t="shared" si="2"/>
        <v>30.399999999999995</v>
      </c>
      <c r="Q13" s="42">
        <f t="shared" si="3"/>
        <v>34.119999999999997</v>
      </c>
      <c r="R13" s="42">
        <f t="shared" si="4"/>
        <v>38.75</v>
      </c>
      <c r="S13" s="42">
        <f t="shared" si="5"/>
        <v>38.200000000000003</v>
      </c>
      <c r="T13" s="93">
        <f t="shared" si="5"/>
        <v>37.770000000000003</v>
      </c>
      <c r="U13" s="5"/>
      <c r="V13" s="145">
        <f t="shared" si="6"/>
        <v>2016</v>
      </c>
      <c r="W13" s="5">
        <f t="shared" si="7"/>
        <v>30.399999999999995</v>
      </c>
      <c r="X13" s="42">
        <f>ROUND(W13/(8.76*'Table 8'!$D$102*0.57),2)</f>
        <v>6.63</v>
      </c>
      <c r="Y13" s="42">
        <f t="shared" si="8"/>
        <v>34.119999999999997</v>
      </c>
      <c r="Z13" s="13">
        <f t="shared" ref="Z13:Z17" si="9">X13+Y13</f>
        <v>40.75</v>
      </c>
      <c r="AA13" s="84">
        <f t="shared" ref="AA13:AA17" si="10">Y13</f>
        <v>34.119999999999997</v>
      </c>
      <c r="AC13" s="10"/>
      <c r="AD13" s="293"/>
      <c r="AE13" s="261"/>
    </row>
    <row r="14" spans="2:32" s="2" customFormat="1" x14ac:dyDescent="0.25">
      <c r="B14" s="145">
        <f>'Table 2'!B11</f>
        <v>2017</v>
      </c>
      <c r="C14" s="12"/>
      <c r="D14" s="12">
        <f>VLOOKUP(B14,'Table 8'!$B$10:$H$22,7,FALSE)*3/12</f>
        <v>30.947500000000002</v>
      </c>
      <c r="E14" s="65"/>
      <c r="F14" s="185"/>
      <c r="G14" s="186"/>
      <c r="H14" s="5"/>
      <c r="I14" s="78">
        <f t="shared" si="0"/>
        <v>2017</v>
      </c>
      <c r="J14" s="42"/>
      <c r="K14" s="42"/>
      <c r="L14" s="42"/>
      <c r="M14" s="93">
        <f>'Table 2'!M25</f>
        <v>36.4</v>
      </c>
      <c r="N14" s="5"/>
      <c r="O14" s="145">
        <f t="shared" si="1"/>
        <v>2017</v>
      </c>
      <c r="P14" s="5">
        <f t="shared" si="2"/>
        <v>30.947500000000002</v>
      </c>
      <c r="Q14" s="42">
        <f t="shared" si="3"/>
        <v>36.4</v>
      </c>
      <c r="R14" s="42">
        <f t="shared" si="4"/>
        <v>41.11</v>
      </c>
      <c r="S14" s="42">
        <f t="shared" si="5"/>
        <v>40.56</v>
      </c>
      <c r="T14" s="93">
        <f t="shared" si="5"/>
        <v>40.119999999999997</v>
      </c>
      <c r="U14" s="5"/>
      <c r="V14" s="145">
        <f t="shared" si="6"/>
        <v>2017</v>
      </c>
      <c r="W14" s="5">
        <f t="shared" si="7"/>
        <v>30.947500000000002</v>
      </c>
      <c r="X14" s="42">
        <f>ROUND(W14/(8.76*'Table 8'!$D$102*0.57),2)</f>
        <v>6.75</v>
      </c>
      <c r="Y14" s="42">
        <f t="shared" si="8"/>
        <v>36.4</v>
      </c>
      <c r="Z14" s="13">
        <f t="shared" si="9"/>
        <v>43.15</v>
      </c>
      <c r="AA14" s="84">
        <f t="shared" si="10"/>
        <v>36.4</v>
      </c>
      <c r="AC14" s="10"/>
      <c r="AD14" s="293"/>
      <c r="AE14" s="260"/>
    </row>
    <row r="15" spans="2:32" s="2" customFormat="1" x14ac:dyDescent="0.25">
      <c r="B15" s="171">
        <f>'Table 2'!B12</f>
        <v>2018</v>
      </c>
      <c r="C15" s="12"/>
      <c r="D15" s="12">
        <f>VLOOKUP(B15,'Table 8'!$B$10:$H$22,7,FALSE)*3/12</f>
        <v>31.535</v>
      </c>
      <c r="E15" s="65"/>
      <c r="F15" s="185"/>
      <c r="G15" s="186"/>
      <c r="H15" s="5"/>
      <c r="I15" s="78">
        <f t="shared" si="0"/>
        <v>2018</v>
      </c>
      <c r="J15" s="42"/>
      <c r="K15" s="42"/>
      <c r="L15" s="42"/>
      <c r="M15" s="93">
        <f>'Table 2'!M26</f>
        <v>39.1</v>
      </c>
      <c r="N15" s="5"/>
      <c r="O15" s="145">
        <f t="shared" si="1"/>
        <v>2018</v>
      </c>
      <c r="P15" s="12">
        <f t="shared" ref="P15:P17" si="11">D15</f>
        <v>31.535</v>
      </c>
      <c r="Q15" s="13">
        <f t="shared" ref="Q15:Q17" si="12">M15</f>
        <v>39.1</v>
      </c>
      <c r="R15" s="13">
        <f t="shared" si="4"/>
        <v>43.9</v>
      </c>
      <c r="S15" s="13">
        <f t="shared" si="5"/>
        <v>43.34</v>
      </c>
      <c r="T15" s="84">
        <f t="shared" si="5"/>
        <v>42.89</v>
      </c>
      <c r="U15" s="5"/>
      <c r="V15" s="145">
        <f t="shared" si="6"/>
        <v>2018</v>
      </c>
      <c r="W15" s="5">
        <f t="shared" ref="W15:W17" si="13">D15</f>
        <v>31.535</v>
      </c>
      <c r="X15" s="42">
        <f>ROUND(W15/(8.76*'Table 8'!$D$102*0.57),2)</f>
        <v>6.88</v>
      </c>
      <c r="Y15" s="42">
        <f t="shared" ref="Y15:Y17" si="14">M15</f>
        <v>39.1</v>
      </c>
      <c r="Z15" s="13">
        <f t="shared" si="9"/>
        <v>45.980000000000004</v>
      </c>
      <c r="AA15" s="84">
        <f t="shared" si="10"/>
        <v>39.1</v>
      </c>
      <c r="AE15" s="260"/>
    </row>
    <row r="16" spans="2:32" s="2" customFormat="1" x14ac:dyDescent="0.25">
      <c r="B16" s="78">
        <f>'Table 2'!B13</f>
        <v>2019</v>
      </c>
      <c r="C16" s="12"/>
      <c r="D16" s="12">
        <f>VLOOKUP(B16,'Table 8'!$B$10:$H$22,7,FALSE)*3/12</f>
        <v>32.104999999999997</v>
      </c>
      <c r="E16" s="65"/>
      <c r="F16" s="185"/>
      <c r="G16" s="186"/>
      <c r="H16" s="5"/>
      <c r="I16" s="78">
        <f t="shared" si="0"/>
        <v>2019</v>
      </c>
      <c r="J16" s="42"/>
      <c r="K16" s="42"/>
      <c r="L16" s="42"/>
      <c r="M16" s="93">
        <f>'Table 2'!M27</f>
        <v>41.7</v>
      </c>
      <c r="N16" s="5"/>
      <c r="O16" s="145">
        <f t="shared" si="1"/>
        <v>2019</v>
      </c>
      <c r="P16" s="12">
        <f t="shared" si="11"/>
        <v>32.104999999999997</v>
      </c>
      <c r="Q16" s="13">
        <f t="shared" si="12"/>
        <v>41.7</v>
      </c>
      <c r="R16" s="13">
        <f t="shared" si="4"/>
        <v>46.59</v>
      </c>
      <c r="S16" s="13">
        <f t="shared" si="5"/>
        <v>46.01</v>
      </c>
      <c r="T16" s="84">
        <f t="shared" si="5"/>
        <v>45.56</v>
      </c>
      <c r="U16" s="5"/>
      <c r="V16" s="145">
        <f t="shared" si="6"/>
        <v>2019</v>
      </c>
      <c r="W16" s="5">
        <f t="shared" si="13"/>
        <v>32.104999999999997</v>
      </c>
      <c r="X16" s="42">
        <f>ROUND(W16/(8.76*'Table 8'!$D$102*0.57),2)</f>
        <v>7</v>
      </c>
      <c r="Y16" s="42">
        <f t="shared" si="14"/>
        <v>41.7</v>
      </c>
      <c r="Z16" s="13">
        <f t="shared" si="9"/>
        <v>48.7</v>
      </c>
      <c r="AA16" s="84">
        <f t="shared" si="10"/>
        <v>41.7</v>
      </c>
    </row>
    <row r="17" spans="2:27" x14ac:dyDescent="0.25">
      <c r="B17" s="79">
        <f>'Table 2'!B14</f>
        <v>2020</v>
      </c>
      <c r="C17" s="85"/>
      <c r="D17" s="85">
        <f>VLOOKUP(B17,'Table 8'!$B$10:$H$22,7,FALSE)*3/12</f>
        <v>32.712499999999999</v>
      </c>
      <c r="E17" s="286"/>
      <c r="F17" s="287"/>
      <c r="G17" s="288"/>
      <c r="H17" s="12"/>
      <c r="I17" s="79">
        <f t="shared" si="0"/>
        <v>2020</v>
      </c>
      <c r="J17" s="86"/>
      <c r="K17" s="86"/>
      <c r="L17" s="86"/>
      <c r="M17" s="87">
        <f>'Table 2'!M28</f>
        <v>44.14</v>
      </c>
      <c r="N17" s="12"/>
      <c r="O17" s="79">
        <f t="shared" si="1"/>
        <v>2020</v>
      </c>
      <c r="P17" s="85">
        <f t="shared" si="11"/>
        <v>32.712499999999999</v>
      </c>
      <c r="Q17" s="86">
        <f t="shared" si="12"/>
        <v>44.14</v>
      </c>
      <c r="R17" s="86">
        <f t="shared" si="4"/>
        <v>49.12</v>
      </c>
      <c r="S17" s="86">
        <f t="shared" si="5"/>
        <v>48.53</v>
      </c>
      <c r="T17" s="87">
        <f t="shared" si="5"/>
        <v>48.07</v>
      </c>
      <c r="U17" s="12"/>
      <c r="V17" s="79">
        <f t="shared" si="6"/>
        <v>2020</v>
      </c>
      <c r="W17" s="85">
        <f t="shared" si="13"/>
        <v>32.712499999999999</v>
      </c>
      <c r="X17" s="86">
        <f>ROUND(W17/(8.76*'Table 8'!$D$102*0.57),2)</f>
        <v>7.14</v>
      </c>
      <c r="Y17" s="86">
        <f t="shared" si="14"/>
        <v>44.14</v>
      </c>
      <c r="Z17" s="86">
        <f t="shared" si="9"/>
        <v>51.28</v>
      </c>
      <c r="AA17" s="87">
        <f t="shared" si="10"/>
        <v>44.14</v>
      </c>
    </row>
    <row r="18" spans="2:27" x14ac:dyDescent="0.25">
      <c r="B18" s="284"/>
      <c r="C18" s="285"/>
      <c r="D18" s="285"/>
      <c r="E18" s="285"/>
      <c r="F18" s="285"/>
      <c r="G18" s="285"/>
      <c r="H18" s="12"/>
      <c r="I18" s="284"/>
      <c r="J18" s="13"/>
      <c r="K18" s="13"/>
      <c r="L18" s="13"/>
      <c r="M18" s="13"/>
      <c r="N18" s="12"/>
      <c r="O18" s="284"/>
      <c r="P18" s="12"/>
      <c r="Q18" s="13"/>
      <c r="R18" s="13"/>
      <c r="S18" s="13"/>
      <c r="T18" s="13"/>
      <c r="U18" s="12"/>
      <c r="V18" s="284"/>
      <c r="W18" s="12"/>
      <c r="X18" s="13"/>
      <c r="Y18" s="13"/>
      <c r="Z18" s="13"/>
      <c r="AA18" s="13"/>
    </row>
    <row r="19" spans="2:27" x14ac:dyDescent="0.25">
      <c r="B19" s="92" t="s">
        <v>173</v>
      </c>
      <c r="C19" s="12"/>
      <c r="D19" s="127" t="s">
        <v>174</v>
      </c>
      <c r="E19" s="127"/>
      <c r="F19" s="12"/>
      <c r="G19" s="12"/>
      <c r="H19" s="12"/>
      <c r="I19" s="92" t="s">
        <v>173</v>
      </c>
      <c r="J19" s="13"/>
      <c r="K19" s="294"/>
      <c r="L19" s="13"/>
      <c r="M19" s="13"/>
      <c r="N19" s="12"/>
      <c r="O19" s="92" t="s">
        <v>173</v>
      </c>
      <c r="P19" s="12"/>
      <c r="Q19" s="13"/>
      <c r="R19" s="13"/>
      <c r="S19" s="13"/>
      <c r="T19" s="13"/>
      <c r="U19" s="12"/>
      <c r="V19" s="92" t="s">
        <v>173</v>
      </c>
      <c r="W19" s="12"/>
      <c r="Y19" s="13"/>
      <c r="Z19" s="13"/>
      <c r="AA19" s="13"/>
    </row>
    <row r="20" spans="2:27" x14ac:dyDescent="0.25">
      <c r="B20" s="77">
        <f>'Table 2'!B15</f>
        <v>2021</v>
      </c>
      <c r="C20" s="80">
        <f>VLOOKUP(B20,'Table 8'!$B$48:$H$60,7,FALSE)</f>
        <v>133.63999999999999</v>
      </c>
      <c r="D20" s="80">
        <f>VLOOKUP(B20,'Table 8'!$B$10:$H$22,7,FALSE)</f>
        <v>133.47999999999999</v>
      </c>
      <c r="E20" s="289"/>
      <c r="F20" s="290">
        <f>C20-D20</f>
        <v>0.15999999999999659</v>
      </c>
      <c r="G20" s="81">
        <f>F20/(8760*'Table 8'!$D$101)</f>
        <v>3.4923212586325067E-5</v>
      </c>
      <c r="H20" s="12"/>
      <c r="I20" s="77">
        <f t="shared" si="0"/>
        <v>2021</v>
      </c>
      <c r="J20" s="82">
        <f>VLOOKUP(I20,'Table 8'!$B$52:$K$68,8,FALSE)</f>
        <v>5.16</v>
      </c>
      <c r="K20" s="42">
        <f>ROUND(J20*'Table 8'!$K$88,2)/1000</f>
        <v>33.798000000000002</v>
      </c>
      <c r="L20" s="82">
        <f>G20</f>
        <v>3.4923212586325067E-5</v>
      </c>
      <c r="M20" s="83">
        <f>K20+L20</f>
        <v>33.79803492321259</v>
      </c>
      <c r="N20" s="12"/>
      <c r="O20" s="77">
        <f t="shared" si="1"/>
        <v>2021</v>
      </c>
      <c r="P20" s="80">
        <f t="shared" ref="P20:P23" si="15">D20</f>
        <v>133.47999999999999</v>
      </c>
      <c r="Q20" s="82">
        <f t="shared" ref="Q20:Q23" si="16">M20</f>
        <v>33.79803492321259</v>
      </c>
      <c r="R20" s="82">
        <f t="shared" si="4"/>
        <v>54.11</v>
      </c>
      <c r="S20" s="82">
        <f t="shared" si="5"/>
        <v>51.72</v>
      </c>
      <c r="T20" s="83">
        <f t="shared" si="5"/>
        <v>49.84</v>
      </c>
      <c r="U20" s="12"/>
      <c r="V20" s="77">
        <f t="shared" si="6"/>
        <v>2021</v>
      </c>
      <c r="W20" s="80">
        <f t="shared" ref="W20:W23" si="17">D20</f>
        <v>133.47999999999999</v>
      </c>
      <c r="X20" s="82">
        <f>ROUND(W20/(8.76*'Table 8'!$D$102*0.57),2)</f>
        <v>29.12</v>
      </c>
      <c r="Y20" s="82">
        <f t="shared" ref="Y20:Y23" si="18">M20</f>
        <v>33.79803492321259</v>
      </c>
      <c r="Z20" s="82">
        <f t="shared" ref="Z20:Z23" si="19">X20+Y20</f>
        <v>62.918034923212588</v>
      </c>
      <c r="AA20" s="83">
        <f t="shared" ref="AA20:AA23" si="20">Y20</f>
        <v>33.79803492321259</v>
      </c>
    </row>
    <row r="21" spans="2:27" s="2" customFormat="1" x14ac:dyDescent="0.25">
      <c r="B21" s="78">
        <f>'Table 2'!B16</f>
        <v>2022</v>
      </c>
      <c r="C21" s="12">
        <f>VLOOKUP(B21,'Table 8'!$B$48:$H$60,7,FALSE)</f>
        <v>136.34</v>
      </c>
      <c r="D21" s="12">
        <f>VLOOKUP(B21,'Table 8'!$B$10:$H$22,7,FALSE)</f>
        <v>136.15</v>
      </c>
      <c r="E21" s="65"/>
      <c r="F21" s="185">
        <f t="shared" ref="F21:F23" si="21">C21-D21</f>
        <v>0.18999999999999773</v>
      </c>
      <c r="G21" s="186">
        <f>F21/(8760*'Table 8'!$D$101)</f>
        <v>4.1471314946261409E-5</v>
      </c>
      <c r="H21" s="5"/>
      <c r="I21" s="78">
        <f t="shared" si="0"/>
        <v>2022</v>
      </c>
      <c r="J21" s="42">
        <f>VLOOKUP(I21,'Table 8'!$B$52:$K$68,8,FALSE)</f>
        <v>5.6</v>
      </c>
      <c r="K21" s="42">
        <f>ROUND(J21*'Table 8'!$K$88,2)/1000</f>
        <v>36.68</v>
      </c>
      <c r="L21" s="42">
        <f t="shared" ref="L21:L23" si="22">G21</f>
        <v>4.1471314946261409E-5</v>
      </c>
      <c r="M21" s="93">
        <f t="shared" ref="M21:M23" si="23">K21+L21</f>
        <v>36.680041471314944</v>
      </c>
      <c r="N21" s="5"/>
      <c r="O21" s="145">
        <f t="shared" si="1"/>
        <v>2022</v>
      </c>
      <c r="P21" s="5">
        <f t="shared" si="15"/>
        <v>136.15</v>
      </c>
      <c r="Q21" s="42">
        <f t="shared" si="16"/>
        <v>36.680041471314944</v>
      </c>
      <c r="R21" s="42">
        <f t="shared" si="4"/>
        <v>57.4</v>
      </c>
      <c r="S21" s="42">
        <f t="shared" si="5"/>
        <v>54.97</v>
      </c>
      <c r="T21" s="93">
        <f t="shared" si="5"/>
        <v>53.04</v>
      </c>
      <c r="U21" s="5"/>
      <c r="V21" s="145">
        <f t="shared" si="6"/>
        <v>2022</v>
      </c>
      <c r="W21" s="5">
        <f t="shared" si="17"/>
        <v>136.15</v>
      </c>
      <c r="X21" s="42">
        <f>ROUND(W21/(8.76*'Table 8'!$D$102*0.57),2)</f>
        <v>29.7</v>
      </c>
      <c r="Y21" s="42">
        <f t="shared" si="18"/>
        <v>36.680041471314944</v>
      </c>
      <c r="Z21" s="13">
        <f t="shared" si="19"/>
        <v>66.380041471314939</v>
      </c>
      <c r="AA21" s="84">
        <f t="shared" si="20"/>
        <v>36.680041471314944</v>
      </c>
    </row>
    <row r="22" spans="2:27" s="2" customFormat="1" x14ac:dyDescent="0.25">
      <c r="B22" s="78">
        <f>'Table 2'!B17</f>
        <v>2023</v>
      </c>
      <c r="C22" s="12">
        <f>VLOOKUP(B22,'Table 8'!$B$48:$H$60,7,FALSE)</f>
        <v>139.08000000000001</v>
      </c>
      <c r="D22" s="12">
        <f>VLOOKUP(B22,'Table 8'!$B$10:$H$22,7,FALSE)</f>
        <v>138.88</v>
      </c>
      <c r="E22" s="65"/>
      <c r="F22" s="185">
        <f t="shared" si="21"/>
        <v>0.20000000000001705</v>
      </c>
      <c r="G22" s="186">
        <f>F22/(8760*'Table 8'!$D$101)</f>
        <v>4.3654015732910985E-5</v>
      </c>
      <c r="H22" s="5"/>
      <c r="I22" s="78">
        <f t="shared" si="0"/>
        <v>2023</v>
      </c>
      <c r="J22" s="42">
        <f>VLOOKUP(I22,'Table 8'!$B$52:$K$68,8,FALSE)</f>
        <v>5.8</v>
      </c>
      <c r="K22" s="42">
        <f>ROUND(J22*'Table 8'!$K$88,2)/1000</f>
        <v>37.99</v>
      </c>
      <c r="L22" s="42">
        <f t="shared" si="22"/>
        <v>4.3654015732910985E-5</v>
      </c>
      <c r="M22" s="93">
        <f t="shared" si="23"/>
        <v>37.990043654015736</v>
      </c>
      <c r="N22" s="5"/>
      <c r="O22" s="145">
        <f t="shared" si="1"/>
        <v>2023</v>
      </c>
      <c r="P22" s="5">
        <f t="shared" si="15"/>
        <v>138.88</v>
      </c>
      <c r="Q22" s="42">
        <f t="shared" si="16"/>
        <v>37.990043654015736</v>
      </c>
      <c r="R22" s="42">
        <f t="shared" si="4"/>
        <v>59.13</v>
      </c>
      <c r="S22" s="42">
        <f t="shared" si="5"/>
        <v>56.64</v>
      </c>
      <c r="T22" s="93">
        <f t="shared" si="5"/>
        <v>54.68</v>
      </c>
      <c r="U22" s="5"/>
      <c r="V22" s="145">
        <f t="shared" si="6"/>
        <v>2023</v>
      </c>
      <c r="W22" s="5">
        <f t="shared" si="17"/>
        <v>138.88</v>
      </c>
      <c r="X22" s="42">
        <f>ROUND(W22/(8.76*'Table 8'!$D$102*0.57),2)</f>
        <v>30.3</v>
      </c>
      <c r="Y22" s="42">
        <f t="shared" si="18"/>
        <v>37.990043654015736</v>
      </c>
      <c r="Z22" s="13">
        <f t="shared" si="19"/>
        <v>68.290043654015733</v>
      </c>
      <c r="AA22" s="84">
        <f t="shared" si="20"/>
        <v>37.990043654015736</v>
      </c>
    </row>
    <row r="23" spans="2:27" s="2" customFormat="1" x14ac:dyDescent="0.25">
      <c r="B23" s="79">
        <f>'Table 2'!B18</f>
        <v>2024</v>
      </c>
      <c r="C23" s="147">
        <f>VLOOKUP(B23,'Table 8'!$B$48:$H$60,7,FALSE)</f>
        <v>142</v>
      </c>
      <c r="D23" s="85">
        <f>VLOOKUP(B23,'Table 8'!$B$10:$H$22,7,FALSE)</f>
        <v>141.80000000000001</v>
      </c>
      <c r="E23" s="162"/>
      <c r="F23" s="148">
        <f t="shared" si="21"/>
        <v>0.19999999999998863</v>
      </c>
      <c r="G23" s="149">
        <f>F23/(8760*'Table 8'!$D$101)</f>
        <v>4.3654015732904785E-5</v>
      </c>
      <c r="H23" s="5"/>
      <c r="I23" s="79">
        <f t="shared" si="0"/>
        <v>2024</v>
      </c>
      <c r="J23" s="150">
        <f>VLOOKUP(I23,'Table 8'!$B$52:$K$68,8,FALSE)</f>
        <v>6.01</v>
      </c>
      <c r="K23" s="150">
        <f>ROUND(J23*'Table 8'!$K$88,2)/1000</f>
        <v>39.365499999999997</v>
      </c>
      <c r="L23" s="150">
        <f t="shared" si="22"/>
        <v>4.3654015732904785E-5</v>
      </c>
      <c r="M23" s="151">
        <f t="shared" si="23"/>
        <v>39.365543654015731</v>
      </c>
      <c r="N23" s="5"/>
      <c r="O23" s="146">
        <f t="shared" si="1"/>
        <v>2024</v>
      </c>
      <c r="P23" s="85">
        <f t="shared" si="15"/>
        <v>141.80000000000001</v>
      </c>
      <c r="Q23" s="86">
        <f t="shared" si="16"/>
        <v>39.365543654015731</v>
      </c>
      <c r="R23" s="86">
        <f t="shared" si="4"/>
        <v>60.95</v>
      </c>
      <c r="S23" s="86">
        <f t="shared" si="5"/>
        <v>58.41</v>
      </c>
      <c r="T23" s="87">
        <f t="shared" si="5"/>
        <v>56.4</v>
      </c>
      <c r="U23" s="5"/>
      <c r="V23" s="146">
        <f t="shared" si="6"/>
        <v>2024</v>
      </c>
      <c r="W23" s="147">
        <f t="shared" si="17"/>
        <v>141.80000000000001</v>
      </c>
      <c r="X23" s="150">
        <f>ROUND(W23/(8.76*'Table 8'!$D$102*0.57),2)</f>
        <v>30.94</v>
      </c>
      <c r="Y23" s="150">
        <f t="shared" si="18"/>
        <v>39.365543654015731</v>
      </c>
      <c r="Z23" s="150">
        <f t="shared" si="19"/>
        <v>70.305543654015736</v>
      </c>
      <c r="AA23" s="151">
        <f t="shared" si="20"/>
        <v>39.365543654015731</v>
      </c>
    </row>
    <row r="24" spans="2:27" s="2" customFormat="1" x14ac:dyDescent="0.25">
      <c r="B24" s="66"/>
      <c r="C24" s="90"/>
      <c r="D24" s="90"/>
      <c r="E24" s="90"/>
      <c r="F24" s="90"/>
      <c r="G24" s="90"/>
      <c r="H24" s="5"/>
      <c r="I24" s="66"/>
      <c r="J24" s="42"/>
      <c r="K24" s="42"/>
      <c r="L24" s="42"/>
      <c r="M24" s="42"/>
      <c r="N24" s="5"/>
      <c r="O24" s="66"/>
      <c r="P24" s="5"/>
      <c r="Q24" s="42"/>
      <c r="R24" s="42"/>
      <c r="S24" s="42"/>
      <c r="T24" s="42"/>
      <c r="U24" s="5"/>
      <c r="V24" s="66"/>
      <c r="W24" s="5"/>
      <c r="X24" s="42"/>
      <c r="Y24" s="42"/>
      <c r="Z24" s="42"/>
      <c r="AA24" s="42"/>
    </row>
    <row r="25" spans="2:27" x14ac:dyDescent="0.25">
      <c r="B25" s="7" t="s">
        <v>21</v>
      </c>
      <c r="I25" s="7" t="s">
        <v>21</v>
      </c>
      <c r="O25" s="7" t="s">
        <v>21</v>
      </c>
      <c r="V25" s="7" t="s">
        <v>21</v>
      </c>
      <c r="Y25" s="13"/>
    </row>
    <row r="26" spans="2:27" x14ac:dyDescent="0.25">
      <c r="B26" s="73" t="str">
        <f>C8</f>
        <v>(a)</v>
      </c>
      <c r="C26" s="7" t="str">
        <f>"  "&amp;'Table 8'!$B$1&amp;"  Column "&amp;'Table 8'!$H$7&amp;" - "&amp;'Table 8'!$B$1&amp;"  Page 2"</f>
        <v xml:space="preserve">  Table 8  Column (f) - Table 8  Page 2</v>
      </c>
      <c r="I26" s="73" t="str">
        <f>J8</f>
        <v>(a)</v>
      </c>
      <c r="J26" s="7" t="str">
        <f>"  "&amp;'Table 8'!$B$1&amp;"  Page 2  Column "&amp;'Table 8'!$I$45</f>
        <v xml:space="preserve">  Table 8  Page 2  Column (g)</v>
      </c>
      <c r="O26" s="74" t="str">
        <f>P8</f>
        <v>(a)</v>
      </c>
      <c r="P26" s="10" t="str">
        <f>"  "&amp;$B$1&amp;"  Column "&amp;$D$8</f>
        <v xml:space="preserve">  Table 3  Column (b)</v>
      </c>
      <c r="Q26" s="10"/>
      <c r="R26" s="10"/>
      <c r="V26" s="74" t="str">
        <f>W8</f>
        <v>(a)</v>
      </c>
      <c r="W26" s="10" t="str">
        <f>"  "&amp;$B$1&amp;"  Column "&amp;$D$8</f>
        <v xml:space="preserve">  Table 3  Column (b)</v>
      </c>
      <c r="Y26" s="13"/>
    </row>
    <row r="27" spans="2:27" x14ac:dyDescent="0.25">
      <c r="B27" s="73" t="str">
        <f>D8</f>
        <v>(b)</v>
      </c>
      <c r="C27" s="7" t="str">
        <f>"  "&amp;'Table 8'!$B$1&amp;"  Column "&amp;'Table 8'!$H$7&amp;" - "&amp;'Table 8'!$B$1&amp;"  Page 1"</f>
        <v xml:space="preserve">  Table 8  Column (f) - Table 8  Page 1</v>
      </c>
      <c r="I27" s="73" t="str">
        <f>K8</f>
        <v>(b)</v>
      </c>
      <c r="J27" s="7" t="str">
        <f>"  "&amp;'Table 8'!$B$1&amp;"  Page 2  Column "&amp;'Table 8'!K45&amp;"  Heat rate "&amp;TEXT('Table 8'!$K$88/1000,"?.000")&amp;" MMBtu/MWh"</f>
        <v xml:space="preserve">  Table 8  Page 2  Column (i)  Heat rate 6.550 MMBtu/MWh</v>
      </c>
      <c r="O27" s="73" t="str">
        <f>Q8</f>
        <v>(b)</v>
      </c>
      <c r="P27" s="7" t="str">
        <f>"  "&amp;$I$1&amp;"  Column "&amp;$M$8</f>
        <v xml:space="preserve">  Table 4  Column (d)</v>
      </c>
      <c r="V27" s="73" t="str">
        <f>X8</f>
        <v>(b)</v>
      </c>
      <c r="W27" s="7" t="str">
        <f>"  "&amp;'Table 8'!$B$1&amp;"   "&amp;TEXT('Table 8'!$D$102,"0.0%")&amp;" is the on-peak capacity factor of the Proxy Resource"</f>
        <v xml:space="preserve">  Table 8   91.8% is the on-peak capacity factor of the Proxy Resource</v>
      </c>
    </row>
    <row r="28" spans="2:27" x14ac:dyDescent="0.25">
      <c r="B28" s="73" t="str">
        <f>G8</f>
        <v>(d)</v>
      </c>
      <c r="C28" s="75" t="str">
        <f>"   "&amp;TEXT('Table 8'!$G$88,"0.0%")&amp;" CCCT Energy Weighted Capacity Factor - "&amp;'Table 8'!$B$1&amp;" Page 3"</f>
        <v xml:space="preserve">   52.3% CCCT Energy Weighted Capacity Factor - Table 8 Page 3</v>
      </c>
      <c r="I28" s="73" t="str">
        <f>L8</f>
        <v>(c)</v>
      </c>
      <c r="J28" s="7" t="str">
        <f>"  "&amp;$B$1&amp;"  Column "&amp;$G$8</f>
        <v xml:space="preserve">  Table 3  Column (d)</v>
      </c>
      <c r="O28" s="234"/>
      <c r="P28" s="235"/>
      <c r="V28" s="73" t="str">
        <f>Y8</f>
        <v>(c)</v>
      </c>
      <c r="W28" s="7" t="str">
        <f>"  "&amp;$I$1&amp;"  Column "&amp;$M$8</f>
        <v xml:space="preserve">  Table 4  Column (d)</v>
      </c>
    </row>
    <row r="29" spans="2:27" x14ac:dyDescent="0.25">
      <c r="B29" s="73"/>
      <c r="C29" s="75"/>
      <c r="I29" s="21" t="str">
        <f>M8</f>
        <v>(d)</v>
      </c>
      <c r="J29" s="7" t="str">
        <f>"  For "&amp;I20&amp;"-"&amp;MAX(I20:I24)&amp;" - "&amp;'Table 2'!B1</f>
        <v xml:space="preserve">  For 2021-2024 - Table 2</v>
      </c>
      <c r="O29" s="234"/>
      <c r="P29" s="235"/>
      <c r="V29" s="73" t="s">
        <v>158</v>
      </c>
    </row>
    <row r="30" spans="2:27" x14ac:dyDescent="0.25">
      <c r="B30" s="73"/>
      <c r="C30" s="75"/>
      <c r="I30" s="73"/>
      <c r="O30" s="234"/>
      <c r="P30" s="235"/>
      <c r="V30" s="274" t="s">
        <v>155</v>
      </c>
      <c r="W30" s="7" t="s">
        <v>156</v>
      </c>
    </row>
    <row r="31" spans="2:27" x14ac:dyDescent="0.25">
      <c r="B31" s="73"/>
      <c r="C31" s="75"/>
      <c r="I31" s="73"/>
      <c r="O31" s="234"/>
      <c r="P31" s="235"/>
      <c r="W31" s="170" t="s">
        <v>157</v>
      </c>
    </row>
    <row r="32" spans="2:27" x14ac:dyDescent="0.25">
      <c r="B32" s="73"/>
      <c r="C32" s="75"/>
      <c r="I32" s="73"/>
      <c r="O32" s="234"/>
      <c r="P32" s="235"/>
      <c r="V32" s="73" t="s">
        <v>159</v>
      </c>
      <c r="W32" s="7" t="s">
        <v>161</v>
      </c>
    </row>
    <row r="33" spans="2:24" x14ac:dyDescent="0.25">
      <c r="B33" s="73"/>
      <c r="C33" s="75"/>
      <c r="I33" s="73"/>
      <c r="O33" s="234"/>
      <c r="P33" s="235"/>
      <c r="V33" s="73" t="s">
        <v>160</v>
      </c>
      <c r="W33" s="7" t="s">
        <v>162</v>
      </c>
    </row>
    <row r="34" spans="2:24" x14ac:dyDescent="0.25">
      <c r="B34" s="73"/>
      <c r="C34" s="75"/>
      <c r="I34" s="73"/>
      <c r="O34" s="234"/>
      <c r="P34" s="235"/>
      <c r="V34" s="73"/>
    </row>
    <row r="35" spans="2:24" x14ac:dyDescent="0.25">
      <c r="B35" s="73"/>
      <c r="C35" s="75"/>
      <c r="I35" s="73"/>
      <c r="O35" s="234"/>
      <c r="P35" s="235"/>
      <c r="V35" s="73"/>
    </row>
    <row r="36" spans="2:24" x14ac:dyDescent="0.25">
      <c r="B36" s="73"/>
      <c r="O36" s="73"/>
      <c r="P36" s="76"/>
      <c r="V36" s="73"/>
    </row>
    <row r="37" spans="2:24" x14ac:dyDescent="0.25">
      <c r="B37" s="73"/>
      <c r="C37" s="75"/>
      <c r="I37" s="21"/>
      <c r="O37" s="73"/>
      <c r="P37" s="76"/>
      <c r="V37" s="73"/>
      <c r="X37" s="248"/>
    </row>
    <row r="39" spans="2:24" x14ac:dyDescent="0.25">
      <c r="X39" s="249"/>
    </row>
    <row r="40" spans="2:24" x14ac:dyDescent="0.25">
      <c r="X40" s="249"/>
    </row>
    <row r="41" spans="2:24" x14ac:dyDescent="0.25">
      <c r="W41" s="170"/>
    </row>
  </sheetData>
  <phoneticPr fontId="7" type="noConversion"/>
  <printOptions horizontalCentered="1"/>
  <pageMargins left="0.25" right="0.25" top="0.75" bottom="0.75" header="0.3" footer="0.3"/>
  <pageSetup orientation="portrait" r:id="rId1"/>
  <headerFooter alignWithMargins="0">
    <oddFooter xml:space="preserve">&amp;C </oddFooter>
  </headerFooter>
  <colBreaks count="3" manualBreakCount="3">
    <brk id="7" max="55" man="1"/>
    <brk id="13" max="55" man="1"/>
    <brk id="20" max="5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B1:M35"/>
  <sheetViews>
    <sheetView zoomScaleNormal="100" workbookViewId="0">
      <selection activeCell="B1" sqref="B1"/>
    </sheetView>
  </sheetViews>
  <sheetFormatPr defaultColWidth="9.33203125" defaultRowHeight="13.2" x14ac:dyDescent="0.25"/>
  <cols>
    <col min="1" max="1" width="1.6640625" style="2" customWidth="1"/>
    <col min="2" max="2" width="8.6640625" style="2" customWidth="1"/>
    <col min="3" max="4" width="20.77734375" style="2" customWidth="1"/>
    <col min="5" max="5" width="37.44140625" style="2" customWidth="1"/>
    <col min="6" max="6" width="1.44140625" style="2" customWidth="1"/>
    <col min="7" max="16384" width="9.33203125" style="2"/>
  </cols>
  <sheetData>
    <row r="1" spans="2:10" s="17" customFormat="1" ht="15.6" x14ac:dyDescent="0.3">
      <c r="B1" s="1" t="s">
        <v>37</v>
      </c>
      <c r="C1" s="19"/>
      <c r="D1" s="19"/>
      <c r="E1" s="19"/>
    </row>
    <row r="2" spans="2:10" s="20" customFormat="1" ht="13.8" x14ac:dyDescent="0.25">
      <c r="B2" s="8" t="s">
        <v>129</v>
      </c>
      <c r="C2" s="8"/>
      <c r="D2" s="8"/>
      <c r="E2" s="8"/>
    </row>
    <row r="3" spans="2:10" s="20" customFormat="1" ht="13.8" x14ac:dyDescent="0.25">
      <c r="B3" s="8"/>
      <c r="C3" s="8"/>
      <c r="D3" s="8"/>
      <c r="E3" s="8"/>
    </row>
    <row r="4" spans="2:10" x14ac:dyDescent="0.25">
      <c r="B4" s="37"/>
      <c r="C4" s="209" t="s">
        <v>172</v>
      </c>
      <c r="D4" s="258"/>
      <c r="E4" s="258"/>
    </row>
    <row r="5" spans="2:10" x14ac:dyDescent="0.25">
      <c r="B5" s="45" t="s">
        <v>3</v>
      </c>
      <c r="C5" s="46" t="s">
        <v>130</v>
      </c>
      <c r="D5" s="16" t="s">
        <v>67</v>
      </c>
      <c r="E5" s="15" t="s">
        <v>31</v>
      </c>
    </row>
    <row r="6" spans="2:10" x14ac:dyDescent="0.25">
      <c r="B6" s="47"/>
      <c r="C6" s="48" t="s">
        <v>68</v>
      </c>
      <c r="D6" s="49" t="s">
        <v>68</v>
      </c>
      <c r="E6" s="15"/>
    </row>
    <row r="7" spans="2:10" x14ac:dyDescent="0.25">
      <c r="B7" s="50"/>
      <c r="C7" s="51" t="s">
        <v>104</v>
      </c>
      <c r="D7" s="53" t="s">
        <v>104</v>
      </c>
      <c r="E7" s="40" t="s">
        <v>104</v>
      </c>
    </row>
    <row r="8" spans="2:10" x14ac:dyDescent="0.25">
      <c r="C8" s="54" t="s">
        <v>22</v>
      </c>
      <c r="D8" s="41" t="s">
        <v>23</v>
      </c>
      <c r="E8" s="41" t="s">
        <v>24</v>
      </c>
    </row>
    <row r="9" spans="2:10" x14ac:dyDescent="0.25">
      <c r="C9" s="41"/>
      <c r="D9" s="41"/>
      <c r="E9" s="14" t="str">
        <f>C8&amp;" - "&amp;D8</f>
        <v>(a) - (b)</v>
      </c>
    </row>
    <row r="10" spans="2:10" x14ac:dyDescent="0.25">
      <c r="C10" s="41"/>
      <c r="D10" s="41"/>
      <c r="E10" s="14"/>
    </row>
    <row r="11" spans="2:10" x14ac:dyDescent="0.25">
      <c r="B11" s="65"/>
      <c r="C11" s="42"/>
      <c r="D11" s="42"/>
      <c r="E11" s="5"/>
      <c r="H11" s="260"/>
      <c r="I11" s="260"/>
    </row>
    <row r="12" spans="2:10" s="3" customFormat="1" x14ac:dyDescent="0.25">
      <c r="B12" s="65">
        <f>'Tables 3 to 6'!B12</f>
        <v>2015</v>
      </c>
      <c r="C12" s="42">
        <f>VLOOKUP(B12,'Tables 3 to 6'!$O$12:$S$23,5,FALSE)</f>
        <v>36.5</v>
      </c>
      <c r="D12" s="42">
        <v>35.926177813591195</v>
      </c>
      <c r="E12" s="5">
        <f t="shared" ref="E12:E20" si="0">C12-D12</f>
        <v>0.57382218640880467</v>
      </c>
      <c r="J12" s="261"/>
    </row>
    <row r="13" spans="2:10" x14ac:dyDescent="0.25">
      <c r="B13" s="65">
        <f t="shared" ref="B13:B21" si="1">B12+1</f>
        <v>2016</v>
      </c>
      <c r="C13" s="42">
        <f>VLOOKUP(B13,'Tables 3 to 6'!$O$12:$S$23,5,FALSE)</f>
        <v>38.200000000000003</v>
      </c>
      <c r="D13" s="42">
        <v>37.744335213537468</v>
      </c>
      <c r="E13" s="5">
        <f t="shared" si="0"/>
        <v>0.45566478646253472</v>
      </c>
      <c r="J13" s="260"/>
    </row>
    <row r="14" spans="2:10" x14ac:dyDescent="0.25">
      <c r="B14" s="65">
        <f t="shared" si="1"/>
        <v>2017</v>
      </c>
      <c r="C14" s="42">
        <f>VLOOKUP(B14,'Tables 3 to 6'!$O$12:$S$23,5,FALSE)</f>
        <v>40.56</v>
      </c>
      <c r="D14" s="42">
        <v>39.743499865699704</v>
      </c>
      <c r="E14" s="5">
        <f t="shared" si="0"/>
        <v>0.81650013430029844</v>
      </c>
      <c r="J14" s="260"/>
    </row>
    <row r="15" spans="2:10" x14ac:dyDescent="0.25">
      <c r="B15" s="65">
        <f t="shared" si="1"/>
        <v>2018</v>
      </c>
      <c r="C15" s="42">
        <f>VLOOKUP(B15,'Tables 3 to 6'!$O$12:$S$23,5,FALSE)</f>
        <v>43.34</v>
      </c>
      <c r="D15" s="42">
        <v>41.653671770077892</v>
      </c>
      <c r="E15" s="5">
        <f t="shared" si="0"/>
        <v>1.6863282299221112</v>
      </c>
      <c r="J15" s="260"/>
    </row>
    <row r="16" spans="2:10" x14ac:dyDescent="0.25">
      <c r="B16" s="65">
        <f t="shared" si="1"/>
        <v>2019</v>
      </c>
      <c r="C16" s="42">
        <f>VLOOKUP(B16,'Tables 3 to 6'!$O$12:$S$23,5,FALSE)</f>
        <v>46.01</v>
      </c>
      <c r="D16" s="42">
        <v>44.505858178887991</v>
      </c>
      <c r="E16" s="5">
        <f t="shared" si="0"/>
        <v>1.5041418211120074</v>
      </c>
      <c r="J16" s="260"/>
    </row>
    <row r="17" spans="2:13" x14ac:dyDescent="0.25">
      <c r="B17" s="65">
        <f t="shared" si="1"/>
        <v>2020</v>
      </c>
      <c r="C17" s="42">
        <f>VLOOKUP(B17,'Tables 3 to 6'!$O$12:$S$23,5,FALSE)</f>
        <v>48.53</v>
      </c>
      <c r="D17" s="42">
        <v>47.643080848777871</v>
      </c>
      <c r="E17" s="5">
        <f t="shared" si="0"/>
        <v>0.88691915122213061</v>
      </c>
      <c r="J17" s="260"/>
    </row>
    <row r="18" spans="2:13" x14ac:dyDescent="0.25">
      <c r="B18" s="65">
        <f t="shared" si="1"/>
        <v>2021</v>
      </c>
      <c r="C18" s="42">
        <f>VLOOKUP(B18,'Tables 3 to 6'!$O$12:$S$23,5,FALSE)</f>
        <v>51.72</v>
      </c>
      <c r="D18" s="42">
        <v>50.481310770883695</v>
      </c>
      <c r="E18" s="5">
        <f t="shared" si="0"/>
        <v>1.2386892291163036</v>
      </c>
      <c r="J18" s="260"/>
    </row>
    <row r="19" spans="2:13" x14ac:dyDescent="0.25">
      <c r="B19" s="65">
        <f t="shared" si="1"/>
        <v>2022</v>
      </c>
      <c r="C19" s="42">
        <f>VLOOKUP(B19,'Tables 3 to 6'!$O$12:$S$23,5,FALSE)</f>
        <v>54.97</v>
      </c>
      <c r="D19" s="42">
        <v>57.62591995702391</v>
      </c>
      <c r="E19" s="5">
        <f t="shared" si="0"/>
        <v>-2.6559199570239116</v>
      </c>
      <c r="J19" s="260"/>
    </row>
    <row r="20" spans="2:13" x14ac:dyDescent="0.25">
      <c r="B20" s="65">
        <f t="shared" si="1"/>
        <v>2023</v>
      </c>
      <c r="C20" s="42">
        <f>VLOOKUP(B20,'Tables 3 to 6'!$O$12:$S$23,5,FALSE)</f>
        <v>56.64</v>
      </c>
      <c r="D20" s="42">
        <v>62.062207896857373</v>
      </c>
      <c r="E20" s="5">
        <f t="shared" si="0"/>
        <v>-5.4222078968573726</v>
      </c>
      <c r="J20" s="260"/>
    </row>
    <row r="21" spans="2:13" x14ac:dyDescent="0.25">
      <c r="B21" s="65">
        <f t="shared" si="1"/>
        <v>2024</v>
      </c>
      <c r="C21" s="42">
        <f>VLOOKUP(B21,'Tables 3 to 6'!$O$12:$S$23,5,FALSE)</f>
        <v>58.41</v>
      </c>
      <c r="D21" s="42"/>
      <c r="E21" s="5"/>
      <c r="J21" s="260"/>
    </row>
    <row r="22" spans="2:13" s="130" customFormat="1" x14ac:dyDescent="0.25">
      <c r="B22" s="65"/>
      <c r="C22" s="42"/>
      <c r="D22" s="42"/>
      <c r="E22" s="42"/>
    </row>
    <row r="23" spans="2:13" s="130" customFormat="1" hidden="1" x14ac:dyDescent="0.25">
      <c r="B23" s="65"/>
      <c r="C23" s="42"/>
      <c r="D23" s="42"/>
      <c r="E23" s="42"/>
    </row>
    <row r="24" spans="2:13" s="130" customFormat="1" ht="0.75" customHeight="1" x14ac:dyDescent="0.25">
      <c r="B24" s="65"/>
      <c r="C24" s="42"/>
      <c r="D24" s="42"/>
      <c r="E24" s="42"/>
    </row>
    <row r="25" spans="2:13" x14ac:dyDescent="0.25">
      <c r="C25" s="6"/>
    </row>
    <row r="26" spans="2:13" s="130" customFormat="1" x14ac:dyDescent="0.25">
      <c r="B26" s="136" t="str">
        <f>"9 Year ("&amp;B12&amp;" to "&amp;B20&amp;") Levelized Prices (Nominal) @ "&amp;TEXT($G$27,"?.000%")&amp;" Discount Rate (2)"</f>
        <v>9 Year (2015 to 2023) Levelized Prices (Nominal) @ 6.882% Discount Rate (2)</v>
      </c>
      <c r="C26" s="131"/>
      <c r="F26" s="137"/>
      <c r="G26" s="170" t="s">
        <v>127</v>
      </c>
    </row>
    <row r="27" spans="2:13" s="130" customFormat="1" x14ac:dyDescent="0.25">
      <c r="B27" s="138" t="s">
        <v>43</v>
      </c>
      <c r="C27" s="42">
        <f>-PMT($G$27,COUNT(C12:C20),NPV($G$27,C12:C20))</f>
        <v>45.113668289102755</v>
      </c>
      <c r="D27" s="42">
        <f>-PMT($G$27,COUNT(D12:D20),NPV($G$27,D12:D20))</f>
        <v>44.990108937544058</v>
      </c>
      <c r="E27" s="5">
        <f>-PMT($G$27,COUNT(E12:E20),NPV($G$27,E12:E20))</f>
        <v>0.12355935155868505</v>
      </c>
      <c r="F27" s="139"/>
      <c r="G27" s="188">
        <v>6.8820000000000006E-2</v>
      </c>
    </row>
    <row r="28" spans="2:13" s="130" customFormat="1" x14ac:dyDescent="0.25">
      <c r="C28" s="140"/>
      <c r="D28" s="140"/>
      <c r="E28" s="140"/>
      <c r="F28" s="140"/>
      <c r="G28" s="140"/>
    </row>
    <row r="29" spans="2:13" s="130" customFormat="1" x14ac:dyDescent="0.25">
      <c r="B29" s="130" t="s">
        <v>21</v>
      </c>
    </row>
    <row r="30" spans="2:13" s="130" customFormat="1" x14ac:dyDescent="0.25">
      <c r="B30" s="138" t="str">
        <f>C8</f>
        <v>(a)</v>
      </c>
      <c r="C30" s="130" t="str">
        <f>"  "&amp;'Tables 3 to 6'!$O$1&amp;"  Column "&amp;'Tables 3 to 6'!$S$8</f>
        <v xml:space="preserve">  Table 5  Column (d)</v>
      </c>
    </row>
    <row r="31" spans="2:13" s="130" customFormat="1" x14ac:dyDescent="0.25">
      <c r="B31" s="138" t="str">
        <f>D8</f>
        <v>(b)</v>
      </c>
      <c r="C31" s="7" t="s">
        <v>171</v>
      </c>
    </row>
    <row r="32" spans="2:13" s="130" customFormat="1" x14ac:dyDescent="0.25">
      <c r="B32" s="141"/>
      <c r="C32" s="142"/>
      <c r="D32" s="140"/>
      <c r="E32" s="140"/>
      <c r="F32" s="140"/>
      <c r="G32" s="140"/>
      <c r="H32" s="140"/>
      <c r="I32" s="140"/>
      <c r="J32" s="143"/>
      <c r="K32" s="143"/>
      <c r="L32" s="143"/>
      <c r="M32" s="143"/>
    </row>
    <row r="33" spans="2:3" s="130" customFormat="1" x14ac:dyDescent="0.25">
      <c r="B33" s="138" t="s">
        <v>101</v>
      </c>
      <c r="C33" s="7" t="s">
        <v>179</v>
      </c>
    </row>
    <row r="34" spans="2:3" s="130" customFormat="1" x14ac:dyDescent="0.25">
      <c r="B34" s="138"/>
      <c r="C34" s="7" t="s">
        <v>180</v>
      </c>
    </row>
    <row r="35" spans="2:3" x14ac:dyDescent="0.25">
      <c r="B35" s="130"/>
      <c r="C35" s="170" t="s">
        <v>128</v>
      </c>
    </row>
  </sheetData>
  <phoneticPr fontId="7" type="noConversion"/>
  <printOptions horizontalCentered="1"/>
  <pageMargins left="0.25" right="0.25" top="0.75" bottom="0.75" header="0.3" footer="0.3"/>
  <pageSetup orientation="portrait" r:id="rId1"/>
  <headerFooter alignWithMargins="0">
    <oddFooter xml:space="preserve">&amp;C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O122"/>
  <sheetViews>
    <sheetView topLeftCell="A76" zoomScaleNormal="100" workbookViewId="0">
      <selection activeCell="B1" sqref="B1"/>
    </sheetView>
  </sheetViews>
  <sheetFormatPr defaultColWidth="9.33203125" defaultRowHeight="13.2" x14ac:dyDescent="0.25"/>
  <cols>
    <col min="1" max="1" width="1.33203125" style="173" customWidth="1"/>
    <col min="2" max="2" width="6.44140625" style="173" customWidth="1"/>
    <col min="3" max="3" width="9.77734375" style="173" customWidth="1"/>
    <col min="4" max="4" width="12.109375" style="173" customWidth="1"/>
    <col min="5" max="5" width="9.109375" style="173" customWidth="1"/>
    <col min="6" max="6" width="11.33203125" style="173" customWidth="1"/>
    <col min="7" max="7" width="10.109375" style="173" customWidth="1"/>
    <col min="8" max="8" width="11.44140625" style="173" customWidth="1"/>
    <col min="9" max="9" width="9" style="173" customWidth="1"/>
    <col min="10" max="10" width="10.33203125" style="173" customWidth="1"/>
    <col min="11" max="11" width="10.44140625" style="173" customWidth="1"/>
    <col min="12" max="13" width="9.33203125" style="173"/>
    <col min="14" max="15" width="0" style="173" hidden="1" customWidth="1"/>
    <col min="16" max="16384" width="9.33203125" style="173"/>
  </cols>
  <sheetData>
    <row r="1" spans="1:12" ht="15.6" x14ac:dyDescent="0.3">
      <c r="B1" s="95" t="s">
        <v>84</v>
      </c>
      <c r="C1" s="190"/>
      <c r="D1" s="190"/>
      <c r="E1" s="190"/>
      <c r="F1" s="190"/>
      <c r="G1" s="190"/>
      <c r="H1" s="190"/>
      <c r="I1" s="190"/>
      <c r="J1" s="190"/>
      <c r="K1" s="95"/>
    </row>
    <row r="2" spans="1:12" ht="15.6" x14ac:dyDescent="0.3">
      <c r="B2" s="95" t="s">
        <v>85</v>
      </c>
      <c r="C2" s="190"/>
      <c r="D2" s="190"/>
      <c r="E2" s="190"/>
      <c r="F2" s="190"/>
      <c r="G2" s="190"/>
      <c r="H2" s="190"/>
      <c r="I2" s="190"/>
      <c r="J2" s="190"/>
      <c r="K2" s="190"/>
    </row>
    <row r="3" spans="1:12" ht="15.6" x14ac:dyDescent="0.3">
      <c r="B3" s="95"/>
      <c r="C3" s="190"/>
      <c r="D3" s="190"/>
      <c r="E3" s="190"/>
      <c r="F3" s="190"/>
      <c r="G3" s="190"/>
      <c r="H3" s="190"/>
      <c r="I3" s="190"/>
      <c r="J3" s="190"/>
      <c r="K3" s="191" t="s">
        <v>114</v>
      </c>
    </row>
    <row r="4" spans="1:12" x14ac:dyDescent="0.25"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3"/>
    </row>
    <row r="5" spans="1:12" ht="51.75" customHeight="1" x14ac:dyDescent="0.25">
      <c r="A5" s="194"/>
      <c r="B5" s="96" t="s">
        <v>3</v>
      </c>
      <c r="C5" s="97" t="s">
        <v>45</v>
      </c>
      <c r="D5" s="97" t="s">
        <v>46</v>
      </c>
      <c r="E5" s="97" t="s">
        <v>47</v>
      </c>
      <c r="F5" s="97" t="s">
        <v>48</v>
      </c>
      <c r="G5" s="97" t="s">
        <v>49</v>
      </c>
      <c r="H5" s="97" t="s">
        <v>50</v>
      </c>
      <c r="I5" s="192"/>
      <c r="J5" s="192"/>
      <c r="K5" s="192"/>
      <c r="L5" s="193"/>
    </row>
    <row r="6" spans="1:12" ht="24.75" customHeight="1" x14ac:dyDescent="0.25">
      <c r="B6" s="98"/>
      <c r="C6" s="99" t="s">
        <v>41</v>
      </c>
      <c r="D6" s="100" t="s">
        <v>42</v>
      </c>
      <c r="E6" s="100" t="s">
        <v>42</v>
      </c>
      <c r="F6" s="100" t="s">
        <v>43</v>
      </c>
      <c r="G6" s="100" t="s">
        <v>42</v>
      </c>
      <c r="H6" s="100" t="s">
        <v>42</v>
      </c>
      <c r="I6" s="192"/>
      <c r="J6" s="192"/>
      <c r="K6" s="192"/>
      <c r="L6" s="193"/>
    </row>
    <row r="7" spans="1:12" x14ac:dyDescent="0.25">
      <c r="C7" s="101" t="s">
        <v>22</v>
      </c>
      <c r="D7" s="101" t="s">
        <v>23</v>
      </c>
      <c r="E7" s="101" t="s">
        <v>24</v>
      </c>
      <c r="F7" s="101" t="s">
        <v>25</v>
      </c>
      <c r="G7" s="101" t="s">
        <v>26</v>
      </c>
      <c r="H7" s="101" t="s">
        <v>32</v>
      </c>
      <c r="I7" s="192"/>
      <c r="J7" s="192"/>
      <c r="K7" s="192"/>
    </row>
    <row r="8" spans="1:12" ht="6" customHeight="1" x14ac:dyDescent="0.25">
      <c r="I8" s="192"/>
      <c r="J8" s="192"/>
      <c r="K8" s="192"/>
    </row>
    <row r="9" spans="1:12" ht="15.6" x14ac:dyDescent="0.3">
      <c r="B9" s="102" t="str">
        <f>C29</f>
        <v>SCCT Frame "F"x1 - West Side Options (1500')</v>
      </c>
      <c r="C9" s="193"/>
      <c r="E9" s="193"/>
      <c r="F9" s="193"/>
      <c r="G9" s="193"/>
      <c r="H9" s="193"/>
      <c r="I9" s="192"/>
      <c r="J9" s="192"/>
      <c r="K9" s="192"/>
      <c r="L9" s="193"/>
    </row>
    <row r="10" spans="1:12" x14ac:dyDescent="0.25">
      <c r="B10" s="195">
        <v>2012</v>
      </c>
      <c r="C10" s="196">
        <f>C31</f>
        <v>698.51646970077957</v>
      </c>
      <c r="D10" s="197">
        <f>ROUND(C10*C36,2)</f>
        <v>55.56</v>
      </c>
      <c r="E10" s="197">
        <f>C34</f>
        <v>41.29</v>
      </c>
      <c r="F10" s="197">
        <f>C35</f>
        <v>9.39</v>
      </c>
      <c r="G10" s="198">
        <f t="shared" ref="G10:G22" si="0">ROUND(F10*(8.76*$C$37)+E10,2)</f>
        <v>58.56</v>
      </c>
      <c r="H10" s="198">
        <f t="shared" ref="H10:H22" si="1">ROUND(D10+G10,2)</f>
        <v>114.12</v>
      </c>
      <c r="I10" s="192"/>
      <c r="J10" s="192"/>
      <c r="K10" s="192"/>
    </row>
    <row r="11" spans="1:12" x14ac:dyDescent="0.25">
      <c r="B11" s="195">
        <f t="shared" ref="B11:B22" si="2">B10+1</f>
        <v>2013</v>
      </c>
      <c r="C11" s="199"/>
      <c r="D11" s="197">
        <f>ROUND(D10*(1+$D$107),2)</f>
        <v>56.34</v>
      </c>
      <c r="E11" s="197">
        <f>ROUND(E10*(1+$D$107),2)</f>
        <v>41.87</v>
      </c>
      <c r="F11" s="197">
        <f>ROUND(F10*(1+$D$107),2)</f>
        <v>9.52</v>
      </c>
      <c r="G11" s="198">
        <f t="shared" si="0"/>
        <v>59.38</v>
      </c>
      <c r="H11" s="198">
        <f t="shared" si="1"/>
        <v>115.72</v>
      </c>
      <c r="I11" s="192"/>
      <c r="J11" s="192"/>
      <c r="K11" s="192"/>
    </row>
    <row r="12" spans="1:12" x14ac:dyDescent="0.25">
      <c r="B12" s="195">
        <f t="shared" si="2"/>
        <v>2014</v>
      </c>
      <c r="C12" s="199"/>
      <c r="D12" s="198">
        <f>ROUND(D11*(1+$D$108),2)</f>
        <v>57.3</v>
      </c>
      <c r="E12" s="198">
        <f>ROUND(E11*(1+$D$108),2)</f>
        <v>42.58</v>
      </c>
      <c r="F12" s="198">
        <f>ROUND(F11*(1+$D$108),2)</f>
        <v>9.68</v>
      </c>
      <c r="G12" s="198">
        <f t="shared" si="0"/>
        <v>60.39</v>
      </c>
      <c r="H12" s="198">
        <f t="shared" si="1"/>
        <v>117.69</v>
      </c>
      <c r="I12" s="200"/>
      <c r="J12" s="200"/>
      <c r="K12" s="201"/>
    </row>
    <row r="13" spans="1:12" x14ac:dyDescent="0.25">
      <c r="B13" s="195">
        <f t="shared" si="2"/>
        <v>2015</v>
      </c>
      <c r="C13" s="199"/>
      <c r="D13" s="198">
        <f>ROUND(D12*(1+$D$109),2)</f>
        <v>58.33</v>
      </c>
      <c r="E13" s="198">
        <f>ROUND(E12*(1+$D$109),2)</f>
        <v>43.35</v>
      </c>
      <c r="F13" s="198">
        <f>ROUND(F12*(1+$D$109),2)</f>
        <v>9.85</v>
      </c>
      <c r="G13" s="198">
        <f t="shared" si="0"/>
        <v>61.47</v>
      </c>
      <c r="H13" s="198">
        <f t="shared" si="1"/>
        <v>119.8</v>
      </c>
      <c r="I13" s="200"/>
      <c r="J13" s="200"/>
      <c r="K13" s="201"/>
    </row>
    <row r="14" spans="1:12" x14ac:dyDescent="0.25">
      <c r="B14" s="195">
        <f t="shared" si="2"/>
        <v>2016</v>
      </c>
      <c r="C14" s="199"/>
      <c r="D14" s="198">
        <f>ROUND(D13*(1+$D$110),2)</f>
        <v>59.2</v>
      </c>
      <c r="E14" s="198">
        <f>ROUND(E13*(1+$D$110),2)</f>
        <v>44</v>
      </c>
      <c r="F14" s="198">
        <f>ROUND(F13*(1+$D$110),2)</f>
        <v>10</v>
      </c>
      <c r="G14" s="198">
        <f t="shared" si="0"/>
        <v>62.4</v>
      </c>
      <c r="H14" s="198">
        <f t="shared" si="1"/>
        <v>121.6</v>
      </c>
      <c r="I14" s="200"/>
      <c r="J14" s="200"/>
      <c r="K14" s="201"/>
    </row>
    <row r="15" spans="1:12" x14ac:dyDescent="0.25">
      <c r="B15" s="195">
        <f t="shared" si="2"/>
        <v>2017</v>
      </c>
      <c r="C15" s="199"/>
      <c r="D15" s="198">
        <f>ROUND(D14*(1+$D$111),2)</f>
        <v>60.27</v>
      </c>
      <c r="E15" s="198">
        <f>ROUND(E14*(1+$D$111),2)</f>
        <v>44.79</v>
      </c>
      <c r="F15" s="198">
        <f>ROUND(F14*(1+$D$111),2)</f>
        <v>10.18</v>
      </c>
      <c r="G15" s="198">
        <f t="shared" si="0"/>
        <v>63.52</v>
      </c>
      <c r="H15" s="198">
        <f t="shared" si="1"/>
        <v>123.79</v>
      </c>
      <c r="I15" s="200"/>
      <c r="J15" s="200"/>
      <c r="K15" s="201"/>
    </row>
    <row r="16" spans="1:12" x14ac:dyDescent="0.25">
      <c r="B16" s="195">
        <f t="shared" si="2"/>
        <v>2018</v>
      </c>
      <c r="C16" s="199"/>
      <c r="D16" s="198">
        <f>ROUND(D15*(1+$D$112),2)</f>
        <v>61.42</v>
      </c>
      <c r="E16" s="198">
        <f>ROUND(E15*(1+$D$112),2)</f>
        <v>45.64</v>
      </c>
      <c r="F16" s="198">
        <f>ROUND(F15*(1+$D$112),2)</f>
        <v>10.37</v>
      </c>
      <c r="G16" s="198">
        <f t="shared" si="0"/>
        <v>64.72</v>
      </c>
      <c r="H16" s="198">
        <f t="shared" si="1"/>
        <v>126.14</v>
      </c>
      <c r="I16" s="200"/>
      <c r="J16" s="200"/>
      <c r="K16" s="201"/>
    </row>
    <row r="17" spans="2:12" x14ac:dyDescent="0.25">
      <c r="B17" s="195">
        <f t="shared" si="2"/>
        <v>2019</v>
      </c>
      <c r="C17" s="199"/>
      <c r="D17" s="202">
        <f>ROUND(D16*(1+$D$113),2)</f>
        <v>62.53</v>
      </c>
      <c r="E17" s="202">
        <f>ROUND(E16*(1+$D$113),2)</f>
        <v>46.46</v>
      </c>
      <c r="F17" s="202">
        <f>ROUND(F16*(1+$D$113),2)</f>
        <v>10.56</v>
      </c>
      <c r="G17" s="198">
        <f t="shared" si="0"/>
        <v>65.89</v>
      </c>
      <c r="H17" s="198">
        <f t="shared" si="1"/>
        <v>128.41999999999999</v>
      </c>
      <c r="I17" s="200"/>
      <c r="J17" s="200"/>
      <c r="K17" s="201"/>
    </row>
    <row r="18" spans="2:12" x14ac:dyDescent="0.25">
      <c r="B18" s="195">
        <f t="shared" si="2"/>
        <v>2020</v>
      </c>
      <c r="C18" s="199"/>
      <c r="D18" s="202">
        <f>ROUND(D17*(1+$D$114),2)</f>
        <v>63.72</v>
      </c>
      <c r="E18" s="202">
        <f>ROUND(E17*(1+$D$114),2)</f>
        <v>47.34</v>
      </c>
      <c r="F18" s="202">
        <f>ROUND(F17*(1+$D$114),2)</f>
        <v>10.76</v>
      </c>
      <c r="G18" s="198">
        <f t="shared" si="0"/>
        <v>67.13</v>
      </c>
      <c r="H18" s="198">
        <f t="shared" si="1"/>
        <v>130.85</v>
      </c>
      <c r="I18" s="200"/>
      <c r="J18" s="200"/>
      <c r="K18" s="201"/>
    </row>
    <row r="19" spans="2:12" x14ac:dyDescent="0.25">
      <c r="B19" s="195">
        <f t="shared" si="2"/>
        <v>2021</v>
      </c>
      <c r="C19" s="199"/>
      <c r="D19" s="202">
        <f>ROUND(D18*(1+$G$106),2)</f>
        <v>64.989999999999995</v>
      </c>
      <c r="E19" s="202">
        <f>ROUND(E18*(1+$G$106),2)</f>
        <v>48.29</v>
      </c>
      <c r="F19" s="202">
        <f>ROUND(F18*(1+$G$106),2)</f>
        <v>10.98</v>
      </c>
      <c r="G19" s="198">
        <f t="shared" si="0"/>
        <v>68.489999999999995</v>
      </c>
      <c r="H19" s="198">
        <f t="shared" si="1"/>
        <v>133.47999999999999</v>
      </c>
      <c r="I19" s="200"/>
      <c r="J19" s="200"/>
      <c r="K19" s="201"/>
    </row>
    <row r="20" spans="2:12" x14ac:dyDescent="0.25">
      <c r="B20" s="195">
        <f t="shared" si="2"/>
        <v>2022</v>
      </c>
      <c r="C20" s="199"/>
      <c r="D20" s="202">
        <f>ROUND(D19*(1+$G$107),2)</f>
        <v>66.290000000000006</v>
      </c>
      <c r="E20" s="202">
        <f>ROUND(E19*(1+$G$107),2)</f>
        <v>49.26</v>
      </c>
      <c r="F20" s="202">
        <f>ROUND(F19*(1+$G$107),2)</f>
        <v>11.2</v>
      </c>
      <c r="G20" s="198">
        <f t="shared" si="0"/>
        <v>69.86</v>
      </c>
      <c r="H20" s="198">
        <f t="shared" si="1"/>
        <v>136.15</v>
      </c>
      <c r="I20" s="200"/>
      <c r="J20" s="200"/>
      <c r="K20" s="201"/>
    </row>
    <row r="21" spans="2:12" x14ac:dyDescent="0.25">
      <c r="B21" s="195">
        <f t="shared" si="2"/>
        <v>2023</v>
      </c>
      <c r="C21" s="199"/>
      <c r="D21" s="202">
        <f>ROUND(D20*(1+$G$108),2)</f>
        <v>67.62</v>
      </c>
      <c r="E21" s="202">
        <f>ROUND(E20*(1+$G$108),2)</f>
        <v>50.25</v>
      </c>
      <c r="F21" s="202">
        <f>ROUND(F20*(1+$G$108),2)</f>
        <v>11.42</v>
      </c>
      <c r="G21" s="198">
        <f t="shared" si="0"/>
        <v>71.260000000000005</v>
      </c>
      <c r="H21" s="198">
        <f t="shared" si="1"/>
        <v>138.88</v>
      </c>
      <c r="I21" s="200"/>
      <c r="J21" s="200"/>
      <c r="K21" s="201"/>
    </row>
    <row r="22" spans="2:12" x14ac:dyDescent="0.25">
      <c r="B22" s="195">
        <f t="shared" si="2"/>
        <v>2024</v>
      </c>
      <c r="C22" s="199"/>
      <c r="D22" s="202">
        <f>ROUND(D21*(1+$G$109),2)</f>
        <v>69.040000000000006</v>
      </c>
      <c r="E22" s="202">
        <f>ROUND(E21*(1+$G$109),2)</f>
        <v>51.31</v>
      </c>
      <c r="F22" s="202">
        <f>ROUND(F21*(1+$G$109),2)</f>
        <v>11.66</v>
      </c>
      <c r="G22" s="198">
        <f t="shared" si="0"/>
        <v>72.760000000000005</v>
      </c>
      <c r="H22" s="198">
        <f t="shared" si="1"/>
        <v>141.80000000000001</v>
      </c>
      <c r="I22" s="200"/>
      <c r="J22" s="200"/>
      <c r="K22" s="201"/>
    </row>
    <row r="23" spans="2:12" ht="10.5" customHeight="1" x14ac:dyDescent="0.25">
      <c r="B23" s="203"/>
      <c r="C23" s="204"/>
      <c r="D23" s="205"/>
      <c r="E23" s="202"/>
      <c r="F23" s="202"/>
      <c r="G23" s="202"/>
      <c r="H23" s="202"/>
      <c r="I23" s="200"/>
      <c r="J23" s="200"/>
      <c r="K23" s="206"/>
    </row>
    <row r="24" spans="2:12" x14ac:dyDescent="0.25">
      <c r="B24" s="172" t="str">
        <f>B69</f>
        <v>Source: (a)(c)(d)</v>
      </c>
      <c r="C24" s="172"/>
      <c r="D24" s="172" t="str">
        <f>D69</f>
        <v>Plant Costs  - 2013 IRP - Table 6.1 &amp; 6.2</v>
      </c>
      <c r="E24" s="172"/>
      <c r="F24" s="172"/>
      <c r="G24" s="172"/>
      <c r="H24" s="172"/>
      <c r="I24" s="172"/>
      <c r="J24" s="172"/>
      <c r="K24" s="172"/>
      <c r="L24" s="172"/>
    </row>
    <row r="25" spans="2:12" x14ac:dyDescent="0.25">
      <c r="B25" s="172"/>
      <c r="C25" s="179" t="str">
        <f>D7</f>
        <v>(b)</v>
      </c>
      <c r="D25" s="180" t="str">
        <f>"= "&amp;C7&amp;" x "&amp;C36&amp;D36</f>
        <v>= (a) x 0.07954  Payment Factor</v>
      </c>
      <c r="E25" s="172"/>
      <c r="F25" s="172"/>
      <c r="G25" s="172"/>
      <c r="H25" s="172"/>
      <c r="I25" s="172"/>
      <c r="J25" s="172"/>
      <c r="K25" s="172"/>
      <c r="L25" s="172"/>
    </row>
    <row r="26" spans="2:12" x14ac:dyDescent="0.25">
      <c r="B26" s="172"/>
      <c r="C26" s="179" t="str">
        <f>G7</f>
        <v>(e)</v>
      </c>
      <c r="D26" s="180" t="str">
        <f>"= "&amp;$F$7&amp;" x  (8.76 x "&amp;TEXT(C37,"?%")&amp;" ) + "&amp;$E$7</f>
        <v>= (d) x  (8.76 x 21% ) + (c)</v>
      </c>
      <c r="E26" s="172"/>
      <c r="F26" s="172"/>
      <c r="G26" s="172"/>
      <c r="H26" s="172"/>
      <c r="I26" s="172"/>
      <c r="J26" s="172"/>
      <c r="K26" s="172"/>
      <c r="L26" s="172"/>
    </row>
    <row r="27" spans="2:12" x14ac:dyDescent="0.25">
      <c r="B27" s="172"/>
      <c r="C27" s="179" t="str">
        <f>H7</f>
        <v>(f)</v>
      </c>
      <c r="D27" s="180" t="str">
        <f>"= "&amp;D7&amp;" + "&amp;G7</f>
        <v>= (b) + (e)</v>
      </c>
      <c r="E27" s="172"/>
      <c r="F27" s="172"/>
      <c r="G27" s="172"/>
      <c r="H27" s="172"/>
      <c r="I27" s="172"/>
      <c r="J27" s="172"/>
      <c r="K27" s="172"/>
      <c r="L27" s="172"/>
    </row>
    <row r="28" spans="2:12" ht="6" customHeight="1" thickBot="1" x14ac:dyDescent="0.3">
      <c r="B28" s="172"/>
      <c r="C28" s="179"/>
      <c r="D28" s="180"/>
      <c r="E28" s="172"/>
      <c r="F28" s="172"/>
      <c r="G28" s="172"/>
      <c r="H28" s="172"/>
      <c r="I28" s="172"/>
      <c r="J28" s="172"/>
      <c r="K28" s="172"/>
      <c r="L28" s="172"/>
    </row>
    <row r="29" spans="2:12" ht="13.8" thickBot="1" x14ac:dyDescent="0.3">
      <c r="B29" s="172"/>
      <c r="C29" s="270" t="s">
        <v>153</v>
      </c>
      <c r="D29" s="104"/>
      <c r="E29" s="105"/>
      <c r="F29" s="104"/>
      <c r="G29" s="104"/>
      <c r="H29" s="104"/>
      <c r="I29" s="104"/>
      <c r="J29" s="106"/>
      <c r="K29" s="107"/>
    </row>
    <row r="30" spans="2:12" x14ac:dyDescent="0.25">
      <c r="B30" s="172"/>
      <c r="C30" s="172">
        <v>197</v>
      </c>
      <c r="D30" s="173" t="s">
        <v>86</v>
      </c>
      <c r="E30" s="172"/>
      <c r="J30" s="172"/>
      <c r="K30" s="172"/>
    </row>
    <row r="31" spans="2:12" x14ac:dyDescent="0.25">
      <c r="B31" s="172"/>
      <c r="C31" s="181">
        <v>698.51646970077957</v>
      </c>
      <c r="D31" s="173" t="s">
        <v>87</v>
      </c>
      <c r="E31" s="175"/>
      <c r="F31" s="63"/>
      <c r="G31" s="64"/>
      <c r="H31" s="172"/>
      <c r="I31" s="172"/>
      <c r="J31" s="172"/>
      <c r="K31" s="172"/>
    </row>
    <row r="32" spans="2:12" x14ac:dyDescent="0.25">
      <c r="B32" s="172"/>
      <c r="C32" s="176">
        <v>8.0799999999999983</v>
      </c>
      <c r="D32" s="170" t="s">
        <v>125</v>
      </c>
      <c r="E32" s="175"/>
      <c r="F32" s="63"/>
      <c r="G32" s="64"/>
      <c r="H32" s="172"/>
      <c r="I32" s="172"/>
      <c r="J32" s="172"/>
      <c r="K32" s="172"/>
    </row>
    <row r="33" spans="2:12" x14ac:dyDescent="0.25">
      <c r="B33" s="172"/>
      <c r="C33" s="115">
        <v>33.21</v>
      </c>
      <c r="D33" s="170" t="s">
        <v>111</v>
      </c>
      <c r="E33" s="175"/>
      <c r="F33" s="63"/>
      <c r="G33" s="64"/>
      <c r="H33" s="172"/>
      <c r="I33" s="172"/>
      <c r="J33" s="172"/>
      <c r="K33" s="172"/>
    </row>
    <row r="34" spans="2:12" x14ac:dyDescent="0.25">
      <c r="B34" s="172"/>
      <c r="C34" s="176">
        <f>C32+C33</f>
        <v>41.29</v>
      </c>
      <c r="D34" s="170" t="s">
        <v>123</v>
      </c>
      <c r="E34" s="175"/>
      <c r="F34" s="63"/>
      <c r="G34" s="64"/>
      <c r="H34" s="172"/>
      <c r="I34" s="172"/>
      <c r="J34" s="172"/>
      <c r="K34" s="172"/>
    </row>
    <row r="35" spans="2:12" x14ac:dyDescent="0.25">
      <c r="B35" s="172"/>
      <c r="C35" s="176">
        <f>8.71+0.68</f>
        <v>9.39</v>
      </c>
      <c r="D35" s="170" t="s">
        <v>152</v>
      </c>
      <c r="E35" s="175"/>
      <c r="F35" s="63"/>
      <c r="G35" s="64"/>
      <c r="H35" s="172"/>
      <c r="I35" s="172"/>
      <c r="J35" s="172"/>
      <c r="K35" s="172"/>
    </row>
    <row r="36" spans="2:12" x14ac:dyDescent="0.25">
      <c r="B36" s="172"/>
      <c r="C36" s="177">
        <v>7.954E-2</v>
      </c>
      <c r="D36" s="173" t="s">
        <v>88</v>
      </c>
      <c r="E36" s="172"/>
      <c r="F36" s="172"/>
      <c r="G36" s="172"/>
      <c r="H36" s="172"/>
      <c r="I36" s="172"/>
      <c r="J36" s="172"/>
      <c r="K36" s="172"/>
    </row>
    <row r="37" spans="2:12" x14ac:dyDescent="0.25">
      <c r="B37" s="172"/>
      <c r="C37" s="178">
        <v>0.21</v>
      </c>
      <c r="D37" s="173" t="s">
        <v>89</v>
      </c>
      <c r="E37" s="172"/>
      <c r="F37" s="172"/>
      <c r="G37" s="172"/>
      <c r="H37" s="172"/>
      <c r="I37" s="172"/>
      <c r="J37" s="172"/>
      <c r="K37" s="172"/>
    </row>
    <row r="38" spans="2:12" ht="13.5" customHeight="1" x14ac:dyDescent="0.25">
      <c r="B38" s="172"/>
      <c r="C38" s="184">
        <f>MIN(1,ROUND(C37/0.57,3))</f>
        <v>0.36799999999999999</v>
      </c>
      <c r="D38" s="228" t="str">
        <f>"  Capacity Factor - On-peak     "&amp;TEXT(C37,"0.0%")&amp;" / 57% (percent of hours on-peak) "</f>
        <v xml:space="preserve">  Capacity Factor - On-peak     21.0% / 57% (percent of hours on-peak) </v>
      </c>
      <c r="E38" s="207"/>
      <c r="F38" s="208"/>
      <c r="G38" s="172"/>
      <c r="H38" s="172"/>
      <c r="I38" s="172"/>
      <c r="J38" s="172"/>
      <c r="K38" s="172"/>
    </row>
    <row r="39" spans="2:12" ht="15.6" x14ac:dyDescent="0.3">
      <c r="B39" s="95" t="str">
        <f>$B$1</f>
        <v>Table 8</v>
      </c>
      <c r="C39" s="190"/>
      <c r="D39" s="190"/>
      <c r="E39" s="190"/>
      <c r="F39" s="190"/>
      <c r="G39" s="190"/>
      <c r="H39" s="190"/>
      <c r="I39" s="190"/>
      <c r="J39" s="190"/>
      <c r="K39" s="95"/>
    </row>
    <row r="40" spans="2:12" ht="15.6" x14ac:dyDescent="0.3">
      <c r="B40" s="95" t="str">
        <f>B2</f>
        <v>Total Cost of Displaceable Resources</v>
      </c>
      <c r="C40" s="95"/>
      <c r="D40" s="190"/>
      <c r="E40" s="190"/>
      <c r="F40" s="190"/>
      <c r="G40" s="190"/>
      <c r="H40" s="190"/>
      <c r="I40" s="190"/>
      <c r="J40" s="190"/>
      <c r="K40" s="190"/>
    </row>
    <row r="41" spans="2:12" ht="15.6" x14ac:dyDescent="0.3">
      <c r="B41" s="95"/>
      <c r="C41" s="190"/>
      <c r="D41" s="190"/>
      <c r="E41" s="190"/>
      <c r="F41" s="190"/>
      <c r="G41" s="190"/>
      <c r="H41" s="190"/>
      <c r="I41" s="190"/>
      <c r="J41" s="190"/>
      <c r="K41" s="191" t="s">
        <v>115</v>
      </c>
    </row>
    <row r="42" spans="2:12" ht="7.5" customHeight="1" x14ac:dyDescent="0.25">
      <c r="B42" s="192"/>
      <c r="C42" s="192"/>
      <c r="D42" s="192"/>
      <c r="E42" s="192"/>
      <c r="F42" s="192"/>
      <c r="G42" s="192"/>
      <c r="H42" s="192"/>
      <c r="I42" s="192"/>
      <c r="J42" s="192"/>
      <c r="K42" s="192"/>
      <c r="L42" s="193"/>
    </row>
    <row r="43" spans="2:12" ht="51.75" customHeight="1" x14ac:dyDescent="0.25">
      <c r="B43" s="96" t="s">
        <v>3</v>
      </c>
      <c r="C43" s="97" t="s">
        <v>45</v>
      </c>
      <c r="D43" s="97" t="s">
        <v>46</v>
      </c>
      <c r="E43" s="97" t="s">
        <v>47</v>
      </c>
      <c r="F43" s="97" t="s">
        <v>48</v>
      </c>
      <c r="G43" s="97" t="s">
        <v>49</v>
      </c>
      <c r="H43" s="97" t="s">
        <v>50</v>
      </c>
      <c r="I43" s="209" t="s">
        <v>33</v>
      </c>
      <c r="J43" s="209" t="s">
        <v>116</v>
      </c>
      <c r="K43" s="210" t="s">
        <v>117</v>
      </c>
      <c r="L43" s="193"/>
    </row>
    <row r="44" spans="2:12" ht="18.75" customHeight="1" x14ac:dyDescent="0.25">
      <c r="B44" s="98"/>
      <c r="C44" s="99" t="s">
        <v>41</v>
      </c>
      <c r="D44" s="100" t="s">
        <v>42</v>
      </c>
      <c r="E44" s="100" t="s">
        <v>42</v>
      </c>
      <c r="F44" s="100" t="s">
        <v>43</v>
      </c>
      <c r="G44" s="100" t="s">
        <v>42</v>
      </c>
      <c r="H44" s="100" t="s">
        <v>42</v>
      </c>
      <c r="I44" s="211" t="s">
        <v>44</v>
      </c>
      <c r="J44" s="212" t="s">
        <v>118</v>
      </c>
      <c r="K44" s="212" t="s">
        <v>118</v>
      </c>
      <c r="L44" s="193"/>
    </row>
    <row r="45" spans="2:12" x14ac:dyDescent="0.25">
      <c r="C45" s="101" t="s">
        <v>22</v>
      </c>
      <c r="D45" s="101" t="s">
        <v>23</v>
      </c>
      <c r="E45" s="101" t="s">
        <v>24</v>
      </c>
      <c r="F45" s="101" t="s">
        <v>25</v>
      </c>
      <c r="G45" s="101" t="s">
        <v>26</v>
      </c>
      <c r="H45" s="101" t="s">
        <v>32</v>
      </c>
      <c r="I45" s="89" t="s">
        <v>38</v>
      </c>
      <c r="J45" s="89" t="s">
        <v>39</v>
      </c>
      <c r="K45" s="89" t="s">
        <v>40</v>
      </c>
    </row>
    <row r="46" spans="2:12" ht="6" customHeight="1" x14ac:dyDescent="0.25">
      <c r="I46" s="192"/>
      <c r="J46" s="192"/>
      <c r="K46" s="192"/>
    </row>
    <row r="47" spans="2:12" ht="15.6" x14ac:dyDescent="0.3">
      <c r="B47" s="102" t="str">
        <f>C77</f>
        <v>CCCT (Dry "J" Adv 1x1)  - West Side Options (1500')</v>
      </c>
      <c r="C47" s="193"/>
      <c r="E47" s="193"/>
      <c r="F47" s="193"/>
      <c r="G47" s="193"/>
      <c r="H47" s="193"/>
      <c r="I47" s="192"/>
      <c r="J47" s="192"/>
      <c r="K47" s="192"/>
      <c r="L47" s="193"/>
    </row>
    <row r="48" spans="2:12" x14ac:dyDescent="0.25">
      <c r="B48" s="195">
        <v>2012</v>
      </c>
      <c r="C48" s="196">
        <f>H83</f>
        <v>918</v>
      </c>
      <c r="D48" s="197">
        <f>C48*$C$99</f>
        <v>72.393479999999997</v>
      </c>
      <c r="E48" s="213">
        <f>I83</f>
        <v>31.06</v>
      </c>
      <c r="F48" s="213">
        <f>J88</f>
        <v>2.36</v>
      </c>
      <c r="G48" s="202">
        <f t="shared" ref="G48:G60" si="3">ROUND(F48*(8.76*$G$88)+E48,2)</f>
        <v>41.87</v>
      </c>
      <c r="H48" s="202">
        <f t="shared" ref="H48:H60" si="4">ROUND(D48+G48,2)</f>
        <v>114.26</v>
      </c>
      <c r="I48" s="192"/>
      <c r="J48" s="192"/>
      <c r="K48" s="192"/>
    </row>
    <row r="49" spans="2:15" x14ac:dyDescent="0.25">
      <c r="B49" s="195">
        <f t="shared" ref="B49:B60" si="5">B48+1</f>
        <v>2013</v>
      </c>
      <c r="C49" s="199"/>
      <c r="D49" s="197">
        <f>ROUND(D48*(1+$D$107),2)</f>
        <v>73.41</v>
      </c>
      <c r="E49" s="197">
        <f>ROUND(E48*(1+$D$107),2)</f>
        <v>31.49</v>
      </c>
      <c r="F49" s="197">
        <f>ROUND(F48*(1+$D$107),2)</f>
        <v>2.39</v>
      </c>
      <c r="G49" s="198">
        <f t="shared" si="3"/>
        <v>42.44</v>
      </c>
      <c r="H49" s="202">
        <f t="shared" si="4"/>
        <v>115.85</v>
      </c>
      <c r="I49" s="192"/>
      <c r="J49" s="192"/>
      <c r="K49" s="192"/>
    </row>
    <row r="50" spans="2:15" s="193" customFormat="1" x14ac:dyDescent="0.25">
      <c r="B50" s="203">
        <f t="shared" si="5"/>
        <v>2014</v>
      </c>
      <c r="C50" s="204"/>
      <c r="D50" s="198">
        <f>ROUND(D49*(1+$D$108),2)</f>
        <v>74.66</v>
      </c>
      <c r="E50" s="198">
        <f>ROUND(E49*(1+$D$108),2)</f>
        <v>32.03</v>
      </c>
      <c r="F50" s="198">
        <f>ROUND(F49*(1+$D$108),2)</f>
        <v>2.4300000000000002</v>
      </c>
      <c r="G50" s="202">
        <f t="shared" si="3"/>
        <v>43.16</v>
      </c>
      <c r="H50" s="198">
        <f t="shared" si="4"/>
        <v>117.82</v>
      </c>
      <c r="I50" s="192"/>
      <c r="J50" s="192"/>
      <c r="K50" s="192"/>
    </row>
    <row r="51" spans="2:15" s="193" customFormat="1" x14ac:dyDescent="0.25">
      <c r="B51" s="203">
        <f t="shared" si="5"/>
        <v>2015</v>
      </c>
      <c r="C51" s="204"/>
      <c r="D51" s="198">
        <f>ROUND(D50*(1+$D$109),2)</f>
        <v>76</v>
      </c>
      <c r="E51" s="198">
        <f>ROUND(E50*(1+$D$109),2)</f>
        <v>32.61</v>
      </c>
      <c r="F51" s="198">
        <f>ROUND(F50*(1+$D$109),2)</f>
        <v>2.4700000000000002</v>
      </c>
      <c r="G51" s="202">
        <f t="shared" si="3"/>
        <v>43.93</v>
      </c>
      <c r="H51" s="202">
        <f t="shared" si="4"/>
        <v>119.93</v>
      </c>
      <c r="I51" s="192"/>
      <c r="J51" s="192"/>
      <c r="K51" s="192"/>
    </row>
    <row r="52" spans="2:15" s="193" customFormat="1" x14ac:dyDescent="0.25">
      <c r="B52" s="203">
        <f t="shared" si="5"/>
        <v>2016</v>
      </c>
      <c r="C52" s="204"/>
      <c r="D52" s="198">
        <f>ROUND(D51*(1+$D$110),2)</f>
        <v>77.14</v>
      </c>
      <c r="E52" s="198">
        <f>ROUND(E51*(1+$D$110),2)</f>
        <v>33.1</v>
      </c>
      <c r="F52" s="198">
        <f>ROUND(F51*(1+$D$110),2)</f>
        <v>2.5099999999999998</v>
      </c>
      <c r="G52" s="202">
        <f t="shared" si="3"/>
        <v>44.6</v>
      </c>
      <c r="H52" s="202">
        <f t="shared" si="4"/>
        <v>121.74</v>
      </c>
      <c r="I52" s="192"/>
      <c r="J52" s="192"/>
      <c r="K52" s="192"/>
    </row>
    <row r="53" spans="2:15" s="193" customFormat="1" x14ac:dyDescent="0.25">
      <c r="B53" s="203">
        <f t="shared" si="5"/>
        <v>2017</v>
      </c>
      <c r="C53" s="204"/>
      <c r="D53" s="198">
        <f>ROUND(D52*(1+$D$111),2)</f>
        <v>78.53</v>
      </c>
      <c r="E53" s="198">
        <f>ROUND(E52*(1+$D$111),2)</f>
        <v>33.700000000000003</v>
      </c>
      <c r="F53" s="198">
        <f>ROUND(F52*(1+$D$111),2)</f>
        <v>2.56</v>
      </c>
      <c r="G53" s="202">
        <f t="shared" si="3"/>
        <v>45.43</v>
      </c>
      <c r="H53" s="202">
        <f t="shared" si="4"/>
        <v>123.96</v>
      </c>
      <c r="I53" s="192"/>
      <c r="J53" s="192"/>
      <c r="K53" s="192"/>
    </row>
    <row r="54" spans="2:15" x14ac:dyDescent="0.25">
      <c r="B54" s="195">
        <f t="shared" si="5"/>
        <v>2018</v>
      </c>
      <c r="C54" s="199"/>
      <c r="D54" s="197">
        <f>ROUND(D53*(1+$D$112),2)</f>
        <v>80.02</v>
      </c>
      <c r="E54" s="197">
        <f>ROUND(E53*(1+$D$112),2)</f>
        <v>34.340000000000003</v>
      </c>
      <c r="F54" s="197">
        <f>ROUND(F53*(1+$D$112),2)</f>
        <v>2.61</v>
      </c>
      <c r="G54" s="202">
        <f t="shared" si="3"/>
        <v>46.3</v>
      </c>
      <c r="H54" s="202">
        <f t="shared" si="4"/>
        <v>126.32</v>
      </c>
      <c r="I54" s="192"/>
      <c r="J54" s="192"/>
      <c r="K54" s="192"/>
    </row>
    <row r="55" spans="2:15" x14ac:dyDescent="0.25">
      <c r="B55" s="195">
        <f t="shared" si="5"/>
        <v>2019</v>
      </c>
      <c r="C55" s="199"/>
      <c r="D55" s="202">
        <f>ROUND(D54*(1+$D$113),2)</f>
        <v>81.459999999999994</v>
      </c>
      <c r="E55" s="202">
        <f>ROUND(E54*(1+$D$113),2)</f>
        <v>34.96</v>
      </c>
      <c r="F55" s="202">
        <f>ROUND(F54*(1+$D$113),2)</f>
        <v>2.66</v>
      </c>
      <c r="G55" s="202">
        <f t="shared" si="3"/>
        <v>47.15</v>
      </c>
      <c r="H55" s="202">
        <f t="shared" si="4"/>
        <v>128.61000000000001</v>
      </c>
      <c r="I55" s="192"/>
      <c r="J55" s="192"/>
      <c r="K55" s="192"/>
    </row>
    <row r="56" spans="2:15" x14ac:dyDescent="0.25">
      <c r="B56" s="195">
        <f t="shared" si="5"/>
        <v>2020</v>
      </c>
      <c r="C56" s="199"/>
      <c r="D56" s="202">
        <f>ROUND(D55*(1+$D$114),2)</f>
        <v>83.01</v>
      </c>
      <c r="E56" s="202">
        <f>ROUND(E55*(1+$D$114),2)</f>
        <v>35.619999999999997</v>
      </c>
      <c r="F56" s="202">
        <f>ROUND(F55*(1+$D$114),2)</f>
        <v>2.71</v>
      </c>
      <c r="G56" s="202">
        <f t="shared" si="3"/>
        <v>48.04</v>
      </c>
      <c r="H56" s="202">
        <f t="shared" si="4"/>
        <v>131.05000000000001</v>
      </c>
      <c r="I56" s="192"/>
      <c r="J56" s="192"/>
      <c r="K56" s="192"/>
    </row>
    <row r="57" spans="2:15" x14ac:dyDescent="0.25">
      <c r="B57" s="195">
        <f t="shared" si="5"/>
        <v>2021</v>
      </c>
      <c r="C57" s="199"/>
      <c r="D57" s="202">
        <f>ROUND(D56*(1+$G$106),2)</f>
        <v>84.67</v>
      </c>
      <c r="E57" s="202">
        <f>ROUND(E56*(1+$G$106),2)</f>
        <v>36.33</v>
      </c>
      <c r="F57" s="202">
        <f>ROUND(F56*(1+$G$106),2)</f>
        <v>2.76</v>
      </c>
      <c r="G57" s="202">
        <f t="shared" si="3"/>
        <v>48.97</v>
      </c>
      <c r="H57" s="202">
        <f t="shared" si="4"/>
        <v>133.63999999999999</v>
      </c>
      <c r="I57" s="214">
        <f>VLOOKUP(B57,'Table 9'!$B$10:$C$14,2,FALSE)</f>
        <v>5.16</v>
      </c>
      <c r="J57" s="214">
        <f>ROUND($K$88*I57/1000,2)</f>
        <v>33.799999999999997</v>
      </c>
      <c r="K57" s="214">
        <f>ROUND(H57*1000/8760/$G$88+J57,2)</f>
        <v>62.97</v>
      </c>
    </row>
    <row r="58" spans="2:15" x14ac:dyDescent="0.25">
      <c r="B58" s="195">
        <f t="shared" si="5"/>
        <v>2022</v>
      </c>
      <c r="C58" s="199"/>
      <c r="D58" s="202">
        <f>ROUND(D57*(1+$G$107),2)</f>
        <v>86.36</v>
      </c>
      <c r="E58" s="202">
        <f>ROUND(E57*(1+$G$107),2)</f>
        <v>37.06</v>
      </c>
      <c r="F58" s="202">
        <f>ROUND(F57*(1+$G$107),2)</f>
        <v>2.82</v>
      </c>
      <c r="G58" s="202">
        <f t="shared" si="3"/>
        <v>49.98</v>
      </c>
      <c r="H58" s="202">
        <f t="shared" si="4"/>
        <v>136.34</v>
      </c>
      <c r="I58" s="214">
        <f>VLOOKUP(B58,'Table 9'!$B$10:$C$14,2,FALSE)</f>
        <v>5.6</v>
      </c>
      <c r="J58" s="214">
        <f>ROUND($K$88*I58/1000,2)</f>
        <v>36.68</v>
      </c>
      <c r="K58" s="214">
        <f>ROUND(H58*1000/8760/$G$88+J58,2)</f>
        <v>66.44</v>
      </c>
    </row>
    <row r="59" spans="2:15" x14ac:dyDescent="0.25">
      <c r="B59" s="203">
        <f t="shared" si="5"/>
        <v>2023</v>
      </c>
      <c r="C59" s="204"/>
      <c r="D59" s="202">
        <f>ROUND(D58*(1+$G$108),2)</f>
        <v>88.09</v>
      </c>
      <c r="E59" s="202">
        <f>ROUND(E58*(1+$G$108),2)</f>
        <v>37.799999999999997</v>
      </c>
      <c r="F59" s="202">
        <f>ROUND(F58*(1+$G$108),2)</f>
        <v>2.88</v>
      </c>
      <c r="G59" s="202">
        <f t="shared" si="3"/>
        <v>50.99</v>
      </c>
      <c r="H59" s="202">
        <f t="shared" si="4"/>
        <v>139.08000000000001</v>
      </c>
      <c r="I59" s="214">
        <f>VLOOKUP(B59,'Table 9'!$B$10:$C$14,2,FALSE)</f>
        <v>5.8</v>
      </c>
      <c r="J59" s="214">
        <f>ROUND($K$88*I59/1000,2)</f>
        <v>37.99</v>
      </c>
      <c r="K59" s="214">
        <f>ROUND(H59*1000/8760/$G$88+J59,2)</f>
        <v>68.349999999999994</v>
      </c>
    </row>
    <row r="60" spans="2:15" x14ac:dyDescent="0.25">
      <c r="B60" s="203">
        <f t="shared" si="5"/>
        <v>2024</v>
      </c>
      <c r="C60" s="204"/>
      <c r="D60" s="202">
        <f>ROUND(D59*(1+$G$109),2)</f>
        <v>89.94</v>
      </c>
      <c r="E60" s="202">
        <f>ROUND(E59*(1+$G$109),2)</f>
        <v>38.590000000000003</v>
      </c>
      <c r="F60" s="202">
        <f>ROUND(F59*(1+$G$109),2)</f>
        <v>2.94</v>
      </c>
      <c r="G60" s="202">
        <f t="shared" si="3"/>
        <v>52.06</v>
      </c>
      <c r="H60" s="202">
        <f t="shared" si="4"/>
        <v>142</v>
      </c>
      <c r="I60" s="214">
        <f>VLOOKUP(B60,'Table 9'!$B$10:$C$14,2,FALSE)</f>
        <v>6.01</v>
      </c>
      <c r="J60" s="214">
        <f>ROUND($K$88*I60/1000,2)</f>
        <v>39.369999999999997</v>
      </c>
      <c r="K60" s="214">
        <f>ROUND(H60*1000/8760/$G$88+J60,2)</f>
        <v>70.36</v>
      </c>
    </row>
    <row r="61" spans="2:15" x14ac:dyDescent="0.25">
      <c r="B61" s="195"/>
      <c r="C61" s="199"/>
      <c r="D61" s="202"/>
      <c r="E61" s="202"/>
      <c r="F61" s="202"/>
      <c r="G61" s="202"/>
      <c r="H61" s="202"/>
      <c r="I61" s="214"/>
      <c r="J61" s="214"/>
      <c r="K61" s="214"/>
    </row>
    <row r="62" spans="2:15" x14ac:dyDescent="0.25">
      <c r="M62" s="195"/>
      <c r="O62" s="215"/>
    </row>
    <row r="63" spans="2:15" ht="15.6" x14ac:dyDescent="0.3">
      <c r="B63" s="95" t="str">
        <f>$B$39</f>
        <v>Table 8</v>
      </c>
      <c r="C63" s="190"/>
      <c r="D63" s="190"/>
      <c r="E63" s="190"/>
      <c r="F63" s="190"/>
      <c r="G63" s="190"/>
      <c r="H63" s="190"/>
      <c r="I63" s="190"/>
      <c r="J63" s="190"/>
      <c r="K63" s="95"/>
      <c r="M63" s="195"/>
      <c r="N63" s="215"/>
      <c r="O63" s="215"/>
    </row>
    <row r="64" spans="2:15" ht="15.6" x14ac:dyDescent="0.3">
      <c r="B64" s="95" t="str">
        <f>B2</f>
        <v>Total Cost of Displaceable Resources</v>
      </c>
      <c r="C64" s="108"/>
      <c r="D64" s="190"/>
      <c r="E64" s="190"/>
      <c r="F64" s="190"/>
      <c r="G64" s="190"/>
      <c r="H64" s="190"/>
      <c r="I64" s="190"/>
      <c r="J64" s="190"/>
      <c r="K64" s="190"/>
      <c r="M64" s="195"/>
      <c r="N64" s="215"/>
      <c r="O64" s="215"/>
    </row>
    <row r="65" spans="2:15" ht="15.6" x14ac:dyDescent="0.3">
      <c r="B65" s="95"/>
      <c r="C65" s="190"/>
      <c r="D65" s="190"/>
      <c r="E65" s="190"/>
      <c r="F65" s="190"/>
      <c r="G65" s="190"/>
      <c r="H65" s="190"/>
      <c r="I65" s="190"/>
      <c r="J65" s="190"/>
      <c r="K65" s="191" t="s">
        <v>119</v>
      </c>
      <c r="M65" s="195"/>
      <c r="N65" s="215"/>
      <c r="O65" s="215"/>
    </row>
    <row r="66" spans="2:15" ht="5.25" customHeight="1" x14ac:dyDescent="0.25">
      <c r="B66" s="192"/>
      <c r="C66" s="192"/>
      <c r="D66" s="192"/>
      <c r="E66" s="192"/>
      <c r="F66" s="192"/>
      <c r="G66" s="192"/>
      <c r="H66" s="192"/>
      <c r="I66" s="192"/>
      <c r="J66" s="192"/>
      <c r="K66" s="192"/>
      <c r="L66" s="193"/>
      <c r="M66" s="195"/>
      <c r="N66" s="215"/>
      <c r="O66" s="215"/>
    </row>
    <row r="67" spans="2:15" ht="13.8" x14ac:dyDescent="0.25">
      <c r="B67" s="108" t="s">
        <v>90</v>
      </c>
      <c r="C67" s="109"/>
      <c r="D67" s="109"/>
      <c r="E67" s="109"/>
      <c r="F67" s="109"/>
      <c r="G67" s="109"/>
      <c r="H67" s="109"/>
      <c r="I67" s="109"/>
      <c r="J67" s="109"/>
      <c r="K67" s="109"/>
      <c r="M67" s="195"/>
      <c r="N67" s="215"/>
      <c r="O67" s="215"/>
    </row>
    <row r="69" spans="2:15" x14ac:dyDescent="0.25">
      <c r="B69" s="170" t="s">
        <v>65</v>
      </c>
      <c r="C69" s="170"/>
      <c r="D69" s="172" t="s">
        <v>124</v>
      </c>
      <c r="E69" s="170"/>
      <c r="F69" s="170"/>
      <c r="G69" s="170"/>
      <c r="H69" s="170"/>
      <c r="I69" s="170"/>
    </row>
    <row r="70" spans="2:15" x14ac:dyDescent="0.25">
      <c r="C70" s="216" t="str">
        <f>D45</f>
        <v>(b)</v>
      </c>
      <c r="D70" s="202" t="str">
        <f>"= "&amp;C45&amp;" x "&amp;C99&amp;E99</f>
        <v>= (a) x 0.07886  Payment Factor</v>
      </c>
    </row>
    <row r="71" spans="2:15" x14ac:dyDescent="0.25">
      <c r="C71" s="216" t="str">
        <f>G45</f>
        <v>(e)</v>
      </c>
      <c r="D71" s="202" t="str">
        <f>"= "&amp;$F$45&amp;" x  (8.76 x "&amp;TEXT(G88,"0.0%")&amp;") + "&amp;$E$45</f>
        <v>= (d) x  (8.76 x 52.3%) + (c)</v>
      </c>
    </row>
    <row r="72" spans="2:15" x14ac:dyDescent="0.25">
      <c r="C72" s="216" t="str">
        <f>H45</f>
        <v>(f)</v>
      </c>
      <c r="D72" s="202" t="str">
        <f>"= "&amp;D45&amp;" + "&amp;G45</f>
        <v>= (b) + (e)</v>
      </c>
    </row>
    <row r="73" spans="2:15" x14ac:dyDescent="0.25">
      <c r="C73" s="216" t="str">
        <f>I45</f>
        <v>(g)</v>
      </c>
      <c r="D73" s="217" t="str">
        <f>'Table 9'!C1&amp;" - "&amp;'Table 9'!C2</f>
        <v xml:space="preserve"> - </v>
      </c>
    </row>
    <row r="74" spans="2:15" x14ac:dyDescent="0.25">
      <c r="C74" s="216" t="str">
        <f>J45</f>
        <v>(h)</v>
      </c>
      <c r="D74" s="202" t="str">
        <f>"= "&amp;TEXT(K88,"?,0")&amp;" MMBtu/MWH x "&amp;I45</f>
        <v>= 6,550 MMBtu/MWH x (g)</v>
      </c>
    </row>
    <row r="75" spans="2:15" x14ac:dyDescent="0.25">
      <c r="C75" s="216" t="str">
        <f>K45</f>
        <v>(i)</v>
      </c>
      <c r="D75" s="218" t="str">
        <f>"= "&amp;H45&amp;" / (8.76 x 'Capacity Factor' ) + "&amp;J45</f>
        <v>= (f) / (8.76 x 'Capacity Factor' ) + (h)</v>
      </c>
    </row>
    <row r="76" spans="2:15" ht="13.8" thickBot="1" x14ac:dyDescent="0.3"/>
    <row r="77" spans="2:15" ht="13.8" thickBot="1" x14ac:dyDescent="0.3">
      <c r="C77" s="103" t="s">
        <v>154</v>
      </c>
      <c r="D77" s="219"/>
      <c r="E77" s="219"/>
      <c r="F77" s="219"/>
      <c r="G77" s="219"/>
      <c r="H77" s="219"/>
      <c r="I77" s="219"/>
      <c r="J77" s="220"/>
      <c r="K77" s="221"/>
    </row>
    <row r="78" spans="2:15" ht="5.25" customHeight="1" x14ac:dyDescent="0.25"/>
    <row r="79" spans="2:15" ht="5.25" customHeight="1" x14ac:dyDescent="0.25"/>
    <row r="80" spans="2:15" x14ac:dyDescent="0.25">
      <c r="C80" s="110" t="s">
        <v>79</v>
      </c>
      <c r="D80" s="111"/>
      <c r="E80" s="110"/>
      <c r="F80" s="112" t="s">
        <v>76</v>
      </c>
      <c r="G80" s="112" t="s">
        <v>78</v>
      </c>
      <c r="H80" s="112" t="s">
        <v>73</v>
      </c>
      <c r="I80" s="112" t="s">
        <v>74</v>
      </c>
    </row>
    <row r="81" spans="3:11" x14ac:dyDescent="0.25">
      <c r="C81" s="173" t="s">
        <v>133</v>
      </c>
      <c r="F81" s="189">
        <f>C92</f>
        <v>425</v>
      </c>
      <c r="G81" s="183">
        <f>F81/F83</f>
        <v>0.90811965811965811</v>
      </c>
      <c r="H81" s="181">
        <f>C93</f>
        <v>962</v>
      </c>
      <c r="I81" s="176">
        <f>C96</f>
        <v>31.29</v>
      </c>
    </row>
    <row r="82" spans="3:11" x14ac:dyDescent="0.25">
      <c r="C82" s="173" t="s">
        <v>134</v>
      </c>
      <c r="F82" s="113">
        <f>D92</f>
        <v>43</v>
      </c>
      <c r="G82" s="62">
        <f>1-G81</f>
        <v>9.1880341880341887E-2</v>
      </c>
      <c r="H82" s="114">
        <f>D93</f>
        <v>486</v>
      </c>
      <c r="I82" s="115">
        <f>D96</f>
        <v>28.74</v>
      </c>
    </row>
    <row r="83" spans="3:11" x14ac:dyDescent="0.25">
      <c r="C83" s="173" t="s">
        <v>80</v>
      </c>
      <c r="F83" s="189">
        <f>F81+F82</f>
        <v>468</v>
      </c>
      <c r="G83" s="183">
        <f>G81+G82</f>
        <v>1</v>
      </c>
      <c r="H83" s="181">
        <f>ROUND(((F81*H81)+(F82*H82))/F83,0)</f>
        <v>918</v>
      </c>
      <c r="I83" s="176">
        <f>ROUND(((F81*I81)+(F82*I82))/F83,2)</f>
        <v>31.06</v>
      </c>
    </row>
    <row r="84" spans="3:11" x14ac:dyDescent="0.25">
      <c r="F84" s="189"/>
      <c r="G84" s="183"/>
      <c r="H84" s="181"/>
      <c r="I84" s="176"/>
    </row>
    <row r="85" spans="3:11" x14ac:dyDescent="0.25">
      <c r="C85" s="110" t="s">
        <v>79</v>
      </c>
      <c r="D85" s="111"/>
      <c r="E85" s="110"/>
      <c r="F85" s="112" t="s">
        <v>76</v>
      </c>
      <c r="G85" s="112" t="s">
        <v>81</v>
      </c>
      <c r="H85" s="112" t="s">
        <v>66</v>
      </c>
      <c r="I85" s="112" t="s">
        <v>78</v>
      </c>
      <c r="J85" s="112" t="s">
        <v>91</v>
      </c>
      <c r="K85" s="112" t="s">
        <v>75</v>
      </c>
    </row>
    <row r="86" spans="3:11" x14ac:dyDescent="0.25">
      <c r="C86" s="222" t="str">
        <f>C81</f>
        <v>CCCT (Dry "J" 1x1)</v>
      </c>
      <c r="D86" s="222"/>
      <c r="E86" s="222"/>
      <c r="F86" s="173">
        <f>C92</f>
        <v>425</v>
      </c>
      <c r="G86" s="183">
        <f>C100</f>
        <v>0.56000000000000005</v>
      </c>
      <c r="H86" s="173">
        <f>G86*F86</f>
        <v>238.00000000000003</v>
      </c>
      <c r="I86" s="183">
        <f>H86/H88</f>
        <v>0.97190460633779807</v>
      </c>
      <c r="J86" s="176">
        <f>C97</f>
        <v>2.4300000000000002</v>
      </c>
      <c r="K86" s="223">
        <f>C98</f>
        <v>6495</v>
      </c>
    </row>
    <row r="87" spans="3:11" x14ac:dyDescent="0.25">
      <c r="C87" s="222" t="str">
        <f>C82</f>
        <v>CCCT Duct Firing (Dry "J" 1x1)</v>
      </c>
      <c r="D87" s="222"/>
      <c r="E87" s="222"/>
      <c r="F87" s="116">
        <f>D92</f>
        <v>43</v>
      </c>
      <c r="G87" s="62">
        <f>D100</f>
        <v>0.16</v>
      </c>
      <c r="H87" s="116">
        <f>G87*F87</f>
        <v>6.88</v>
      </c>
      <c r="I87" s="62">
        <f>1-I86</f>
        <v>2.8095393662201928E-2</v>
      </c>
      <c r="J87" s="224">
        <f>D97</f>
        <v>0.08</v>
      </c>
      <c r="K87" s="187">
        <f>D98</f>
        <v>8611</v>
      </c>
    </row>
    <row r="88" spans="3:11" x14ac:dyDescent="0.25">
      <c r="C88" s="173" t="s">
        <v>82</v>
      </c>
      <c r="F88" s="173">
        <f>F86+F87</f>
        <v>468</v>
      </c>
      <c r="G88" s="225">
        <f>ROUND(H88/F88,3)</f>
        <v>0.52300000000000002</v>
      </c>
      <c r="H88" s="173">
        <f>SUM(H86:H87)</f>
        <v>244.88000000000002</v>
      </c>
      <c r="I88" s="183">
        <f>I86+I87</f>
        <v>1</v>
      </c>
      <c r="J88" s="176">
        <f>ROUND(($I86*J86)+($I87*J87),2)</f>
        <v>2.36</v>
      </c>
      <c r="K88" s="189">
        <f>ROUND(($I86*K86)+($I87*K87),-1)</f>
        <v>6550</v>
      </c>
    </row>
    <row r="89" spans="3:11" x14ac:dyDescent="0.25">
      <c r="G89" s="225"/>
      <c r="I89" s="183"/>
      <c r="J89" s="176"/>
      <c r="K89" s="117" t="s">
        <v>92</v>
      </c>
    </row>
    <row r="91" spans="3:11" x14ac:dyDescent="0.25">
      <c r="C91" s="129" t="s">
        <v>93</v>
      </c>
      <c r="D91" s="129" t="s">
        <v>94</v>
      </c>
      <c r="E91" s="118" t="str">
        <f>D69</f>
        <v>Plant Costs  - 2013 IRP - Table 6.1 &amp; 6.2</v>
      </c>
      <c r="F91" s="226"/>
      <c r="G91" s="226"/>
      <c r="H91" s="226"/>
      <c r="I91" s="226"/>
      <c r="J91" s="226"/>
      <c r="K91" s="227"/>
    </row>
    <row r="92" spans="3:11" x14ac:dyDescent="0.25">
      <c r="C92" s="170">
        <v>425</v>
      </c>
      <c r="D92" s="170">
        <v>43</v>
      </c>
      <c r="E92" s="170" t="s">
        <v>86</v>
      </c>
      <c r="F92" s="170"/>
      <c r="G92" s="170"/>
      <c r="H92" s="174"/>
      <c r="I92" s="170"/>
      <c r="J92" s="170"/>
      <c r="K92" s="170"/>
    </row>
    <row r="93" spans="3:11" x14ac:dyDescent="0.25">
      <c r="C93" s="181">
        <v>962</v>
      </c>
      <c r="D93" s="181">
        <v>486</v>
      </c>
      <c r="E93" s="170" t="s">
        <v>110</v>
      </c>
      <c r="F93" s="170"/>
      <c r="G93" s="170"/>
      <c r="H93" s="170"/>
      <c r="I93" s="170"/>
      <c r="J93" s="170"/>
      <c r="K93" s="170"/>
    </row>
    <row r="94" spans="3:11" x14ac:dyDescent="0.25">
      <c r="C94" s="176">
        <v>9.61</v>
      </c>
      <c r="D94" s="176">
        <v>0</v>
      </c>
      <c r="E94" s="170" t="s">
        <v>125</v>
      </c>
      <c r="F94" s="170"/>
      <c r="G94" s="170"/>
      <c r="H94" s="170"/>
      <c r="I94" s="170"/>
      <c r="J94" s="170"/>
      <c r="K94" s="170"/>
    </row>
    <row r="95" spans="3:11" x14ac:dyDescent="0.25">
      <c r="C95" s="115">
        <v>21.68</v>
      </c>
      <c r="D95" s="115">
        <v>28.74</v>
      </c>
      <c r="E95" s="170" t="s">
        <v>111</v>
      </c>
      <c r="F95" s="170"/>
      <c r="G95" s="170"/>
      <c r="H95" s="170"/>
      <c r="I95" s="170"/>
      <c r="J95" s="170"/>
      <c r="K95" s="170"/>
    </row>
    <row r="96" spans="3:11" x14ac:dyDescent="0.25">
      <c r="C96" s="176">
        <f>C94+C95</f>
        <v>31.29</v>
      </c>
      <c r="D96" s="176">
        <f>D94+D95</f>
        <v>28.74</v>
      </c>
      <c r="E96" s="170" t="s">
        <v>109</v>
      </c>
      <c r="F96" s="170"/>
      <c r="G96" s="170"/>
      <c r="H96" s="170"/>
      <c r="I96" s="170"/>
      <c r="J96" s="170"/>
      <c r="K96" s="170"/>
    </row>
    <row r="97" spans="3:15" x14ac:dyDescent="0.25">
      <c r="C97" s="271">
        <f>2.27+0.16</f>
        <v>2.4300000000000002</v>
      </c>
      <c r="D97" s="271">
        <f>0.08</f>
        <v>0.08</v>
      </c>
      <c r="E97" s="170" t="s">
        <v>126</v>
      </c>
      <c r="F97" s="170"/>
      <c r="G97" s="170"/>
      <c r="H97" s="170"/>
      <c r="I97" s="170"/>
      <c r="J97" s="170"/>
      <c r="K97" s="170"/>
    </row>
    <row r="98" spans="3:15" x14ac:dyDescent="0.25">
      <c r="C98" s="272">
        <v>6495</v>
      </c>
      <c r="D98" s="272">
        <v>8611</v>
      </c>
      <c r="E98" s="170" t="s">
        <v>112</v>
      </c>
      <c r="F98" s="170"/>
      <c r="G98" s="170"/>
      <c r="H98" s="170"/>
      <c r="I98" s="170"/>
      <c r="J98" s="170"/>
      <c r="K98" s="170"/>
    </row>
    <row r="99" spans="3:15" x14ac:dyDescent="0.25">
      <c r="C99" s="247">
        <v>7.886E-2</v>
      </c>
      <c r="D99" s="247">
        <v>7.886E-2</v>
      </c>
      <c r="E99" s="170" t="s">
        <v>88</v>
      </c>
      <c r="F99" s="170"/>
      <c r="G99" s="170"/>
      <c r="H99" s="170"/>
      <c r="I99" s="170"/>
      <c r="J99" s="170"/>
      <c r="K99" s="170"/>
    </row>
    <row r="100" spans="3:15" x14ac:dyDescent="0.25">
      <c r="C100" s="182">
        <v>0.56000000000000005</v>
      </c>
      <c r="D100" s="182">
        <v>0.16</v>
      </c>
      <c r="E100" s="170" t="s">
        <v>89</v>
      </c>
      <c r="F100" s="170"/>
      <c r="G100" s="170"/>
      <c r="H100" s="170"/>
      <c r="I100" s="170"/>
      <c r="J100" s="170"/>
      <c r="K100" s="170"/>
    </row>
    <row r="101" spans="3:15" x14ac:dyDescent="0.25">
      <c r="C101" s="170"/>
      <c r="D101" s="183">
        <f>ROUND(H88/F88,3)</f>
        <v>0.52300000000000002</v>
      </c>
      <c r="E101" s="170" t="s">
        <v>108</v>
      </c>
      <c r="F101" s="170"/>
      <c r="G101" s="170"/>
      <c r="H101" s="170"/>
      <c r="I101" s="170"/>
      <c r="J101" s="170"/>
      <c r="K101" s="170"/>
    </row>
    <row r="102" spans="3:15" x14ac:dyDescent="0.25">
      <c r="C102" s="170"/>
      <c r="D102" s="184">
        <f>MIN(1,ROUND(D101/0.57,3))</f>
        <v>0.91800000000000004</v>
      </c>
      <c r="E102" s="228" t="str">
        <f>"  Capacity Factor - On-peak     "&amp;TEXT(D101,"0.0%")&amp;" / 57% (percent of hours on-peak) "</f>
        <v xml:space="preserve">  Capacity Factor - On-peak     52.3% / 57% (percent of hours on-peak) </v>
      </c>
      <c r="F102" s="170"/>
      <c r="G102" s="170"/>
      <c r="H102" s="170"/>
      <c r="I102" s="170"/>
      <c r="J102" s="170"/>
      <c r="K102" s="170"/>
    </row>
    <row r="103" spans="3:15" hidden="1" x14ac:dyDescent="0.25">
      <c r="C103" s="178"/>
      <c r="D103" s="178"/>
    </row>
    <row r="104" spans="3:15" ht="13.8" thickBot="1" x14ac:dyDescent="0.3"/>
    <row r="105" spans="3:15" ht="13.8" thickBot="1" x14ac:dyDescent="0.3">
      <c r="C105" s="229" t="s">
        <v>182</v>
      </c>
      <c r="D105" s="219"/>
      <c r="E105" s="219"/>
      <c r="F105" s="219"/>
      <c r="G105" s="219"/>
      <c r="H105" s="219"/>
      <c r="I105" s="219"/>
      <c r="J105" s="220"/>
      <c r="K105" s="221"/>
      <c r="N105" s="173" t="s">
        <v>120</v>
      </c>
    </row>
    <row r="106" spans="3:15" x14ac:dyDescent="0.25">
      <c r="C106" s="230">
        <v>2012</v>
      </c>
      <c r="D106" s="183"/>
      <c r="E106" s="170"/>
      <c r="F106" s="230">
        <f>C114+1</f>
        <v>2021</v>
      </c>
      <c r="G106" s="183">
        <v>0.02</v>
      </c>
      <c r="H106" s="170"/>
      <c r="I106" s="230">
        <f>F114+1</f>
        <v>2030</v>
      </c>
      <c r="J106" s="183">
        <v>1.9E-2</v>
      </c>
      <c r="K106" s="170"/>
      <c r="N106" s="230">
        <v>2009</v>
      </c>
      <c r="O106" s="183">
        <v>4.0000000000000001E-3</v>
      </c>
    </row>
    <row r="107" spans="3:15" x14ac:dyDescent="0.25">
      <c r="C107" s="230">
        <v>2013</v>
      </c>
      <c r="D107" s="183">
        <v>1.4E-2</v>
      </c>
      <c r="E107" s="170"/>
      <c r="F107" s="230">
        <f t="shared" ref="F107:F114" si="6">F106+1</f>
        <v>2022</v>
      </c>
      <c r="G107" s="183">
        <v>0.02</v>
      </c>
      <c r="H107" s="170"/>
      <c r="I107" s="230">
        <f t="shared" ref="I107:I114" si="7">I106+1</f>
        <v>2031</v>
      </c>
      <c r="J107" s="183">
        <v>1.9E-2</v>
      </c>
      <c r="K107" s="170"/>
      <c r="N107" s="230">
        <f t="shared" ref="N107:N122" si="8">N106+1</f>
        <v>2010</v>
      </c>
      <c r="O107" s="183">
        <v>1.2999999999999999E-2</v>
      </c>
    </row>
    <row r="108" spans="3:15" x14ac:dyDescent="0.25">
      <c r="C108" s="230">
        <v>2014</v>
      </c>
      <c r="D108" s="183">
        <v>1.7000000000000001E-2</v>
      </c>
      <c r="E108" s="170"/>
      <c r="F108" s="230">
        <f t="shared" si="6"/>
        <v>2023</v>
      </c>
      <c r="G108" s="183">
        <v>0.02</v>
      </c>
      <c r="H108" s="170"/>
      <c r="I108" s="230">
        <f t="shared" si="7"/>
        <v>2032</v>
      </c>
      <c r="J108" s="183">
        <v>1.9E-2</v>
      </c>
      <c r="K108" s="170"/>
      <c r="N108" s="230">
        <f t="shared" si="8"/>
        <v>2011</v>
      </c>
      <c r="O108" s="183">
        <v>1.7000000000000001E-2</v>
      </c>
    </row>
    <row r="109" spans="3:15" x14ac:dyDescent="0.25">
      <c r="C109" s="230">
        <v>2015</v>
      </c>
      <c r="D109" s="183">
        <v>1.7999999999999999E-2</v>
      </c>
      <c r="E109" s="170"/>
      <c r="F109" s="230">
        <f t="shared" si="6"/>
        <v>2024</v>
      </c>
      <c r="G109" s="183">
        <v>2.1000000000000001E-2</v>
      </c>
      <c r="H109" s="170"/>
      <c r="I109" s="230">
        <f t="shared" si="7"/>
        <v>2033</v>
      </c>
      <c r="J109" s="183">
        <v>0.02</v>
      </c>
      <c r="K109" s="170"/>
      <c r="N109" s="230">
        <f t="shared" si="8"/>
        <v>2012</v>
      </c>
      <c r="O109" s="183">
        <v>0.02</v>
      </c>
    </row>
    <row r="110" spans="3:15" x14ac:dyDescent="0.25">
      <c r="C110" s="230">
        <v>2016</v>
      </c>
      <c r="D110" s="183">
        <v>1.4999999999999999E-2</v>
      </c>
      <c r="E110" s="170"/>
      <c r="F110" s="230">
        <f t="shared" si="6"/>
        <v>2025</v>
      </c>
      <c r="G110" s="183">
        <v>0.02</v>
      </c>
      <c r="H110" s="170"/>
      <c r="I110" s="230">
        <f t="shared" si="7"/>
        <v>2034</v>
      </c>
      <c r="J110" s="183">
        <v>1.9E-2</v>
      </c>
      <c r="K110" s="170"/>
      <c r="N110" s="230">
        <f t="shared" si="8"/>
        <v>2013</v>
      </c>
      <c r="O110" s="183">
        <v>0.02</v>
      </c>
    </row>
    <row r="111" spans="3:15" x14ac:dyDescent="0.25">
      <c r="C111" s="230">
        <v>2017</v>
      </c>
      <c r="D111" s="183">
        <v>1.7999999999999999E-2</v>
      </c>
      <c r="E111" s="170"/>
      <c r="F111" s="230">
        <f t="shared" si="6"/>
        <v>2026</v>
      </c>
      <c r="G111" s="183">
        <v>0.02</v>
      </c>
      <c r="H111" s="170"/>
      <c r="I111" s="230">
        <f t="shared" si="7"/>
        <v>2035</v>
      </c>
      <c r="J111" s="183">
        <v>0.02</v>
      </c>
      <c r="K111" s="170"/>
      <c r="N111" s="230">
        <f t="shared" si="8"/>
        <v>2014</v>
      </c>
      <c r="O111" s="183">
        <v>1.9E-2</v>
      </c>
    </row>
    <row r="112" spans="3:15" s="193" customFormat="1" x14ac:dyDescent="0.25">
      <c r="C112" s="230">
        <v>2018</v>
      </c>
      <c r="D112" s="183">
        <v>1.9E-2</v>
      </c>
      <c r="E112" s="231"/>
      <c r="F112" s="230">
        <f t="shared" si="6"/>
        <v>2027</v>
      </c>
      <c r="G112" s="183">
        <v>0.02</v>
      </c>
      <c r="H112" s="231"/>
      <c r="I112" s="230">
        <f t="shared" si="7"/>
        <v>2036</v>
      </c>
      <c r="J112" s="183">
        <v>0.02</v>
      </c>
      <c r="K112" s="231"/>
      <c r="N112" s="230">
        <f t="shared" si="8"/>
        <v>2015</v>
      </c>
      <c r="O112" s="183">
        <v>1.9E-2</v>
      </c>
    </row>
    <row r="113" spans="3:15" s="193" customFormat="1" x14ac:dyDescent="0.25">
      <c r="C113" s="230">
        <v>2019</v>
      </c>
      <c r="D113" s="183">
        <v>1.7999999999999999E-2</v>
      </c>
      <c r="E113" s="231"/>
      <c r="F113" s="230">
        <f t="shared" si="6"/>
        <v>2028</v>
      </c>
      <c r="G113" s="183">
        <v>1.9E-2</v>
      </c>
      <c r="H113" s="231"/>
      <c r="I113" s="230">
        <f t="shared" si="7"/>
        <v>2037</v>
      </c>
      <c r="J113" s="183">
        <v>0.02</v>
      </c>
      <c r="K113" s="231"/>
      <c r="N113" s="230">
        <f t="shared" si="8"/>
        <v>2016</v>
      </c>
      <c r="O113" s="183">
        <v>1.9E-2</v>
      </c>
    </row>
    <row r="114" spans="3:15" s="193" customFormat="1" x14ac:dyDescent="0.25">
      <c r="C114" s="230">
        <v>2020</v>
      </c>
      <c r="D114" s="183">
        <v>1.9E-2</v>
      </c>
      <c r="E114" s="231"/>
      <c r="F114" s="230">
        <f t="shared" si="6"/>
        <v>2029</v>
      </c>
      <c r="G114" s="183">
        <v>1.9E-2</v>
      </c>
      <c r="H114" s="231"/>
      <c r="I114" s="230">
        <f t="shared" si="7"/>
        <v>2038</v>
      </c>
      <c r="J114" s="183">
        <v>0.02</v>
      </c>
      <c r="K114" s="231"/>
      <c r="N114" s="230">
        <f t="shared" si="8"/>
        <v>2017</v>
      </c>
      <c r="O114" s="183">
        <v>1.9E-2</v>
      </c>
    </row>
    <row r="115" spans="3:15" s="193" customFormat="1" x14ac:dyDescent="0.25">
      <c r="C115" s="232"/>
      <c r="D115" s="233"/>
      <c r="N115" s="230">
        <f t="shared" si="8"/>
        <v>2018</v>
      </c>
      <c r="O115" s="183">
        <v>1.9E-2</v>
      </c>
    </row>
    <row r="116" spans="3:15" s="193" customFormat="1" x14ac:dyDescent="0.25">
      <c r="C116" s="232"/>
      <c r="D116" s="233"/>
      <c r="N116" s="230">
        <f t="shared" si="8"/>
        <v>2019</v>
      </c>
      <c r="O116" s="183">
        <v>1.7999999999999999E-2</v>
      </c>
    </row>
    <row r="117" spans="3:15" x14ac:dyDescent="0.25">
      <c r="C117" s="232"/>
      <c r="D117" s="233"/>
      <c r="N117" s="230">
        <f t="shared" si="8"/>
        <v>2020</v>
      </c>
      <c r="O117" s="183">
        <v>1.7000000000000001E-2</v>
      </c>
    </row>
    <row r="118" spans="3:15" x14ac:dyDescent="0.25">
      <c r="C118" s="232"/>
      <c r="D118" s="233"/>
      <c r="N118" s="230">
        <f t="shared" si="8"/>
        <v>2021</v>
      </c>
      <c r="O118" s="183">
        <v>1.6E-2</v>
      </c>
    </row>
    <row r="119" spans="3:15" x14ac:dyDescent="0.25">
      <c r="C119" s="232"/>
      <c r="D119" s="233"/>
      <c r="N119" s="230">
        <f t="shared" si="8"/>
        <v>2022</v>
      </c>
      <c r="O119" s="183">
        <v>1.6E-2</v>
      </c>
    </row>
    <row r="120" spans="3:15" x14ac:dyDescent="0.25">
      <c r="C120" s="232"/>
      <c r="D120" s="233"/>
      <c r="N120" s="230">
        <f t="shared" si="8"/>
        <v>2023</v>
      </c>
      <c r="O120" s="183">
        <v>1.6E-2</v>
      </c>
    </row>
    <row r="121" spans="3:15" x14ac:dyDescent="0.25">
      <c r="C121" s="232"/>
      <c r="D121" s="233"/>
      <c r="N121" s="230">
        <f t="shared" si="8"/>
        <v>2024</v>
      </c>
      <c r="O121" s="183">
        <v>1.7000000000000001E-2</v>
      </c>
    </row>
    <row r="122" spans="3:15" x14ac:dyDescent="0.25">
      <c r="C122" s="232"/>
      <c r="D122" s="233"/>
      <c r="N122" s="230">
        <f t="shared" si="8"/>
        <v>2025</v>
      </c>
      <c r="O122" s="183">
        <v>1.7000000000000001E-2</v>
      </c>
    </row>
  </sheetData>
  <phoneticPr fontId="7" type="noConversion"/>
  <printOptions horizontalCentered="1"/>
  <pageMargins left="0.25" right="0.25" top="0.75" bottom="0.75" header="0.3" footer="0.3"/>
  <pageSetup scale="95" orientation="portrait" r:id="rId1"/>
  <headerFooter alignWithMargins="0">
    <oddFooter xml:space="preserve">&amp;C </oddFooter>
  </headerFooter>
  <rowBreaks count="2" manualBreakCount="2">
    <brk id="38" max="16383" man="1"/>
    <brk id="62" min="1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E21"/>
  <sheetViews>
    <sheetView zoomScaleNormal="100" workbookViewId="0">
      <selection activeCell="B1" sqref="B1"/>
    </sheetView>
  </sheetViews>
  <sheetFormatPr defaultColWidth="9.33203125" defaultRowHeight="13.2" x14ac:dyDescent="0.25"/>
  <cols>
    <col min="1" max="1" width="2.33203125" style="134" customWidth="1"/>
    <col min="2" max="3" width="31.44140625" style="134" customWidth="1"/>
    <col min="4" max="4" width="9.33203125" style="134"/>
    <col min="5" max="5" width="9.33203125" style="256"/>
    <col min="6" max="16384" width="9.33203125" style="134"/>
  </cols>
  <sheetData>
    <row r="1" spans="2:5" s="132" customFormat="1" ht="15.6" x14ac:dyDescent="0.3">
      <c r="B1" s="95" t="s">
        <v>95</v>
      </c>
      <c r="C1" s="108"/>
      <c r="E1" s="254"/>
    </row>
    <row r="2" spans="2:5" s="132" customFormat="1" ht="15.6" x14ac:dyDescent="0.3">
      <c r="B2" s="95" t="s">
        <v>103</v>
      </c>
      <c r="C2" s="108"/>
      <c r="E2" s="254"/>
    </row>
    <row r="3" spans="2:5" s="132" customFormat="1" ht="15.6" x14ac:dyDescent="0.3">
      <c r="B3" s="95" t="s">
        <v>44</v>
      </c>
      <c r="C3" s="133"/>
      <c r="E3" s="254"/>
    </row>
    <row r="4" spans="2:5" s="132" customFormat="1" ht="15.6" x14ac:dyDescent="0.3">
      <c r="B4" s="95"/>
      <c r="C4" s="133"/>
      <c r="E4" s="254"/>
    </row>
    <row r="5" spans="2:5" s="94" customFormat="1" x14ac:dyDescent="0.25">
      <c r="B5" s="96"/>
      <c r="C5" s="96" t="s">
        <v>96</v>
      </c>
      <c r="E5" s="252"/>
    </row>
    <row r="6" spans="2:5" s="94" customFormat="1" x14ac:dyDescent="0.25">
      <c r="B6" s="119" t="s">
        <v>3</v>
      </c>
      <c r="C6" s="119" t="s">
        <v>102</v>
      </c>
      <c r="E6" s="252"/>
    </row>
    <row r="7" spans="2:5" s="94" customFormat="1" x14ac:dyDescent="0.25">
      <c r="B7" s="120"/>
      <c r="C7" s="121" t="s">
        <v>33</v>
      </c>
      <c r="E7" s="252"/>
    </row>
    <row r="8" spans="2:5" s="94" customFormat="1" x14ac:dyDescent="0.25">
      <c r="C8" s="122" t="s">
        <v>22</v>
      </c>
      <c r="E8" s="252"/>
    </row>
    <row r="9" spans="2:5" s="94" customFormat="1" x14ac:dyDescent="0.25">
      <c r="C9" s="123"/>
      <c r="E9" s="252"/>
    </row>
    <row r="10" spans="2:5" s="94" customFormat="1" x14ac:dyDescent="0.25">
      <c r="B10" s="273">
        <v>2021</v>
      </c>
      <c r="C10" s="125">
        <v>5.16</v>
      </c>
      <c r="D10" s="253"/>
      <c r="E10" s="255"/>
    </row>
    <row r="11" spans="2:5" s="94" customFormat="1" x14ac:dyDescent="0.25">
      <c r="B11" s="124">
        <f t="shared" ref="B11:B13" si="0">B10+1</f>
        <v>2022</v>
      </c>
      <c r="C11" s="125">
        <v>5.6</v>
      </c>
      <c r="D11" s="253"/>
      <c r="E11" s="255"/>
    </row>
    <row r="12" spans="2:5" s="94" customFormat="1" x14ac:dyDescent="0.25">
      <c r="B12" s="124">
        <f t="shared" si="0"/>
        <v>2023</v>
      </c>
      <c r="C12" s="125">
        <v>5.8</v>
      </c>
      <c r="D12" s="253"/>
      <c r="E12" s="255"/>
    </row>
    <row r="13" spans="2:5" s="94" customFormat="1" x14ac:dyDescent="0.25">
      <c r="B13" s="124">
        <f t="shared" si="0"/>
        <v>2024</v>
      </c>
      <c r="C13" s="125">
        <v>6.01</v>
      </c>
      <c r="D13" s="253"/>
      <c r="E13" s="255"/>
    </row>
    <row r="14" spans="2:5" s="94" customFormat="1" x14ac:dyDescent="0.25">
      <c r="B14" s="124"/>
      <c r="C14" s="125"/>
      <c r="D14" s="253"/>
      <c r="E14" s="255"/>
    </row>
    <row r="15" spans="2:5" s="94" customFormat="1" x14ac:dyDescent="0.25">
      <c r="E15" s="252"/>
    </row>
    <row r="16" spans="2:5" x14ac:dyDescent="0.25">
      <c r="B16" s="126" t="s">
        <v>97</v>
      </c>
    </row>
    <row r="17" spans="2:5" x14ac:dyDescent="0.25">
      <c r="B17" s="134" t="s">
        <v>181</v>
      </c>
      <c r="E17" s="257"/>
    </row>
    <row r="20" spans="2:5" x14ac:dyDescent="0.25">
      <c r="B20" s="135"/>
    </row>
    <row r="21" spans="2:5" x14ac:dyDescent="0.25">
      <c r="B21" s="135"/>
    </row>
  </sheetData>
  <phoneticPr fontId="7" type="noConversion"/>
  <printOptions horizontalCentered="1"/>
  <pageMargins left="0.25" right="0.25" top="0.75" bottom="0.75" header="0.3" footer="0.3"/>
  <pageSetup orientation="portrait" r:id="rId1"/>
  <headerFooter alignWithMargins="0">
    <oddFooter xml:space="preserve">&amp;C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"/>
  <sheetViews>
    <sheetView workbookViewId="0">
      <selection activeCell="E37" sqref="E37"/>
    </sheetView>
  </sheetViews>
  <sheetFormatPr defaultRowHeight="13.2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3"/>
  <sheetViews>
    <sheetView showGridLines="0" zoomScale="80" zoomScaleNormal="80" workbookViewId="0">
      <selection activeCell="A24" sqref="A24"/>
    </sheetView>
  </sheetViews>
  <sheetFormatPr defaultColWidth="9.33203125" defaultRowHeight="15" x14ac:dyDescent="0.25"/>
  <cols>
    <col min="1" max="1" width="34.109375" style="238" customWidth="1"/>
    <col min="2" max="3" width="18.6640625" style="238" customWidth="1"/>
    <col min="4" max="4" width="9.33203125" style="238"/>
    <col min="5" max="5" width="3.33203125" style="238" customWidth="1"/>
    <col min="6" max="6" width="15.33203125" style="238" hidden="1" customWidth="1"/>
    <col min="7" max="7" width="6.77734375" style="238" customWidth="1"/>
    <col min="8" max="8" width="9.33203125" style="238" customWidth="1"/>
    <col min="9" max="11" width="9.33203125" style="238"/>
    <col min="12" max="13" width="11" style="238" customWidth="1"/>
    <col min="14" max="16384" width="9.33203125" style="238"/>
  </cols>
  <sheetData>
    <row r="1" spans="1:13" ht="15.6" x14ac:dyDescent="0.3">
      <c r="A1" s="275"/>
      <c r="B1" s="275"/>
      <c r="C1" s="275"/>
      <c r="F1" s="275"/>
    </row>
    <row r="2" spans="1:13" ht="15.6" x14ac:dyDescent="0.3">
      <c r="A2" s="275" t="s">
        <v>164</v>
      </c>
      <c r="B2" s="275"/>
      <c r="C2" s="275"/>
      <c r="F2" s="275"/>
    </row>
    <row r="3" spans="1:13" ht="15.6" x14ac:dyDescent="0.3">
      <c r="A3" s="275" t="s">
        <v>105</v>
      </c>
      <c r="B3" s="275"/>
      <c r="C3" s="275"/>
      <c r="F3" s="275"/>
    </row>
    <row r="4" spans="1:13" x14ac:dyDescent="0.25">
      <c r="B4" s="276" t="s">
        <v>69</v>
      </c>
      <c r="F4" s="276"/>
    </row>
    <row r="5" spans="1:13" ht="15.6" x14ac:dyDescent="0.3">
      <c r="A5" s="281" t="s">
        <v>169</v>
      </c>
      <c r="C5" s="240"/>
    </row>
    <row r="6" spans="1:13" x14ac:dyDescent="0.25">
      <c r="A6" s="241"/>
      <c r="B6" s="241"/>
      <c r="C6" s="241"/>
      <c r="F6" s="241" t="s">
        <v>28</v>
      </c>
    </row>
    <row r="7" spans="1:13" x14ac:dyDescent="0.25">
      <c r="A7" s="241" t="s">
        <v>165</v>
      </c>
      <c r="B7" s="241" t="s">
        <v>28</v>
      </c>
      <c r="C7" s="241" t="s">
        <v>121</v>
      </c>
      <c r="F7" s="241" t="s">
        <v>28</v>
      </c>
      <c r="J7" s="239"/>
      <c r="K7" s="239"/>
      <c r="L7" s="239"/>
      <c r="M7" s="239"/>
    </row>
    <row r="8" spans="1:13" ht="17.25" customHeight="1" x14ac:dyDescent="0.25">
      <c r="A8" s="277" t="s">
        <v>166</v>
      </c>
      <c r="B8" s="277" t="s">
        <v>70</v>
      </c>
      <c r="C8" s="277" t="s">
        <v>167</v>
      </c>
      <c r="F8" s="277" t="s">
        <v>70</v>
      </c>
      <c r="J8" s="240"/>
      <c r="K8" s="240"/>
      <c r="L8" s="240"/>
      <c r="M8" s="240"/>
    </row>
    <row r="9" spans="1:13" x14ac:dyDescent="0.25">
      <c r="A9" s="242" t="s">
        <v>122</v>
      </c>
      <c r="B9" s="242" t="s">
        <v>168</v>
      </c>
      <c r="C9" s="242" t="s">
        <v>43</v>
      </c>
      <c r="F9" s="242" t="s">
        <v>77</v>
      </c>
      <c r="G9" s="240"/>
      <c r="J9" s="240"/>
      <c r="K9" s="240"/>
      <c r="L9" s="240"/>
      <c r="M9" s="240"/>
    </row>
    <row r="10" spans="1:13" x14ac:dyDescent="0.25">
      <c r="A10" s="280"/>
      <c r="B10" s="278"/>
      <c r="C10" s="279"/>
      <c r="F10" s="278"/>
    </row>
    <row r="11" spans="1:13" x14ac:dyDescent="0.25">
      <c r="A11" s="237">
        <v>2015</v>
      </c>
      <c r="B11" s="278">
        <f t="shared" ref="B11:B20" si="0">ROUND(F11/12,2)</f>
        <v>2.5</v>
      </c>
      <c r="C11" s="278">
        <f>ROUND(INDEX('Tables 3 to 6'!$Y:$Y,MATCH($A11,'Tables 3 to 6'!$V:$V,0),1),2)</f>
        <v>32.479999999999997</v>
      </c>
      <c r="F11" s="278">
        <f>VLOOKUP(A11,'Tables 3 to 6'!$O$12:$P$24,2,FALSE)</f>
        <v>29.95</v>
      </c>
      <c r="G11" s="237"/>
      <c r="J11" s="243"/>
      <c r="K11" s="243"/>
      <c r="L11" s="243"/>
      <c r="M11" s="243"/>
    </row>
    <row r="12" spans="1:13" x14ac:dyDescent="0.25">
      <c r="A12" s="280">
        <f t="shared" ref="A12:A20" si="1">A11+1</f>
        <v>2016</v>
      </c>
      <c r="B12" s="278">
        <f t="shared" si="0"/>
        <v>2.5299999999999998</v>
      </c>
      <c r="C12" s="278">
        <f>ROUND(INDEX('Tables 3 to 6'!$Y:$Y,MATCH($A12,'Tables 3 to 6'!$V:$V,0),1),2)</f>
        <v>34.119999999999997</v>
      </c>
      <c r="F12" s="278">
        <f>VLOOKUP(A12,'Tables 3 to 6'!$O$12:$P$24,2,FALSE)</f>
        <v>30.399999999999995</v>
      </c>
      <c r="G12" s="237"/>
      <c r="J12" s="243"/>
      <c r="K12" s="243"/>
      <c r="L12" s="243"/>
      <c r="M12" s="243"/>
    </row>
    <row r="13" spans="1:13" x14ac:dyDescent="0.25">
      <c r="A13" s="280">
        <f t="shared" si="1"/>
        <v>2017</v>
      </c>
      <c r="B13" s="278">
        <f t="shared" si="0"/>
        <v>2.58</v>
      </c>
      <c r="C13" s="278">
        <f>ROUND(INDEX('Tables 3 to 6'!$Y:$Y,MATCH($A13,'Tables 3 to 6'!$V:$V,0),1),2)</f>
        <v>36.4</v>
      </c>
      <c r="F13" s="278">
        <f>VLOOKUP(A13,'Tables 3 to 6'!$O$12:$P$24,2,FALSE)</f>
        <v>30.947500000000002</v>
      </c>
      <c r="G13" s="237"/>
      <c r="J13" s="243"/>
      <c r="K13" s="243"/>
      <c r="L13" s="243"/>
      <c r="M13" s="243"/>
    </row>
    <row r="14" spans="1:13" x14ac:dyDescent="0.25">
      <c r="A14" s="280">
        <f t="shared" si="1"/>
        <v>2018</v>
      </c>
      <c r="B14" s="278">
        <f t="shared" si="0"/>
        <v>2.63</v>
      </c>
      <c r="C14" s="278">
        <f>ROUND(INDEX('Tables 3 to 6'!$Y:$Y,MATCH($A14,'Tables 3 to 6'!$V:$V,0),1),2)</f>
        <v>39.1</v>
      </c>
      <c r="F14" s="278">
        <f>VLOOKUP(A14,'Tables 3 to 6'!$O$12:$P$24,2,FALSE)</f>
        <v>31.535</v>
      </c>
      <c r="G14" s="237"/>
      <c r="J14" s="243"/>
      <c r="K14" s="243"/>
      <c r="L14" s="243"/>
      <c r="M14" s="243"/>
    </row>
    <row r="15" spans="1:13" x14ac:dyDescent="0.25">
      <c r="A15" s="280">
        <f t="shared" si="1"/>
        <v>2019</v>
      </c>
      <c r="B15" s="278">
        <f t="shared" si="0"/>
        <v>2.68</v>
      </c>
      <c r="C15" s="278">
        <f>ROUND(INDEX('Tables 3 to 6'!$Y:$Y,MATCH($A15,'Tables 3 to 6'!$V:$V,0),1),2)</f>
        <v>41.7</v>
      </c>
      <c r="F15" s="278">
        <f>VLOOKUP(A15,'Tables 3 to 6'!$O$12:$P$24,2,FALSE)</f>
        <v>32.104999999999997</v>
      </c>
      <c r="J15" s="243"/>
      <c r="K15" s="243"/>
      <c r="L15" s="243"/>
      <c r="M15" s="243"/>
    </row>
    <row r="16" spans="1:13" x14ac:dyDescent="0.25">
      <c r="A16" s="280">
        <f t="shared" si="1"/>
        <v>2020</v>
      </c>
      <c r="B16" s="278">
        <f t="shared" si="0"/>
        <v>2.73</v>
      </c>
      <c r="C16" s="278">
        <f>ROUND(INDEX('Tables 3 to 6'!$Y:$Y,MATCH($A16,'Tables 3 to 6'!$V:$V,0),1),2)</f>
        <v>44.14</v>
      </c>
      <c r="F16" s="278">
        <f>VLOOKUP(A16,'Tables 3 to 6'!$O$12:$P$24,2,FALSE)</f>
        <v>32.712499999999999</v>
      </c>
      <c r="J16" s="243"/>
      <c r="K16" s="243"/>
      <c r="L16" s="243"/>
      <c r="M16" s="243"/>
    </row>
    <row r="17" spans="1:13" x14ac:dyDescent="0.25">
      <c r="A17" s="280">
        <f t="shared" si="1"/>
        <v>2021</v>
      </c>
      <c r="B17" s="278">
        <f t="shared" si="0"/>
        <v>11.12</v>
      </c>
      <c r="C17" s="278">
        <f>ROUND(INDEX('Tables 3 to 6'!$Y:$Y,MATCH($A17,'Tables 3 to 6'!$V:$V,0),1),2)</f>
        <v>33.799999999999997</v>
      </c>
      <c r="F17" s="278">
        <f>VLOOKUP(A17,'Tables 3 to 6'!$O$12:$P$24,2,FALSE)</f>
        <v>133.47999999999999</v>
      </c>
      <c r="J17" s="243"/>
      <c r="K17" s="243"/>
      <c r="L17" s="243"/>
      <c r="M17" s="243"/>
    </row>
    <row r="18" spans="1:13" x14ac:dyDescent="0.25">
      <c r="A18" s="280">
        <f t="shared" si="1"/>
        <v>2022</v>
      </c>
      <c r="B18" s="278">
        <f t="shared" si="0"/>
        <v>11.35</v>
      </c>
      <c r="C18" s="278">
        <f>ROUND(INDEX('Tables 3 to 6'!$Y:$Y,MATCH($A18,'Tables 3 to 6'!$V:$V,0),1),2)</f>
        <v>36.68</v>
      </c>
      <c r="F18" s="278">
        <f>VLOOKUP(A18,'Tables 3 to 6'!$O$12:$P$24,2,FALSE)</f>
        <v>136.15</v>
      </c>
      <c r="J18" s="243"/>
      <c r="K18" s="243"/>
      <c r="L18" s="243"/>
      <c r="M18" s="243"/>
    </row>
    <row r="19" spans="1:13" x14ac:dyDescent="0.25">
      <c r="A19" s="280">
        <f t="shared" si="1"/>
        <v>2023</v>
      </c>
      <c r="B19" s="278">
        <f t="shared" si="0"/>
        <v>11.57</v>
      </c>
      <c r="C19" s="278">
        <f>ROUND(INDEX('Tables 3 to 6'!$Y:$Y,MATCH($A19,'Tables 3 to 6'!$V:$V,0),1),2)</f>
        <v>37.99</v>
      </c>
      <c r="F19" s="278">
        <f>VLOOKUP(A19,'Tables 3 to 6'!$O$12:$P$24,2,FALSE)</f>
        <v>138.88</v>
      </c>
      <c r="J19" s="243"/>
      <c r="K19" s="243"/>
      <c r="L19" s="243"/>
      <c r="M19" s="243"/>
    </row>
    <row r="20" spans="1:13" x14ac:dyDescent="0.25">
      <c r="A20" s="280">
        <f t="shared" si="1"/>
        <v>2024</v>
      </c>
      <c r="B20" s="278">
        <f t="shared" si="0"/>
        <v>11.82</v>
      </c>
      <c r="C20" s="278">
        <f>ROUND(INDEX('Tables 3 to 6'!$Y:$Y,MATCH($A20,'Tables 3 to 6'!$V:$V,0),1),2)</f>
        <v>39.369999999999997</v>
      </c>
      <c r="F20" s="278">
        <f>VLOOKUP(A20,'Tables 3 to 6'!$O$12:$P$24,2,FALSE)</f>
        <v>141.80000000000001</v>
      </c>
      <c r="J20" s="243"/>
      <c r="K20" s="243"/>
      <c r="L20" s="243"/>
      <c r="M20" s="243"/>
    </row>
    <row r="21" spans="1:13" x14ac:dyDescent="0.25">
      <c r="A21" s="280"/>
      <c r="B21" s="278"/>
      <c r="C21" s="279"/>
      <c r="F21" s="278"/>
    </row>
    <row r="22" spans="1:13" x14ac:dyDescent="0.25">
      <c r="A22" s="280"/>
      <c r="B22" s="278"/>
      <c r="C22" s="279"/>
      <c r="F22" s="278"/>
    </row>
    <row r="23" spans="1:13" x14ac:dyDescent="0.25">
      <c r="A23" s="240" t="s">
        <v>170</v>
      </c>
      <c r="B23" s="278">
        <f>-PMT($B$33,COUNT(B11:B20),NPV($B$33,B11:B20))</f>
        <v>5.4529650636710247</v>
      </c>
      <c r="C23" s="279"/>
      <c r="F23" s="278"/>
    </row>
    <row r="24" spans="1:13" x14ac:dyDescent="0.25">
      <c r="A24" s="240" t="s">
        <v>118</v>
      </c>
      <c r="B24" s="245"/>
      <c r="C24" s="278">
        <f>-PMT($B$33,COUNT(C10:C19),NPV($B$33,C10:C19))</f>
        <v>37.133524036395279</v>
      </c>
    </row>
    <row r="25" spans="1:13" x14ac:dyDescent="0.25">
      <c r="J25" s="243"/>
      <c r="K25" s="243"/>
      <c r="L25" s="243"/>
      <c r="M25" s="243"/>
    </row>
    <row r="32" spans="1:13" x14ac:dyDescent="0.25">
      <c r="B32" s="244" t="str">
        <f>'Tables 7'!G26</f>
        <v>Discount Rate - 2013 IRP Update Page 39</v>
      </c>
    </row>
    <row r="33" spans="2:2" x14ac:dyDescent="0.25">
      <c r="B33" s="246">
        <f>'Tables 7'!G27</f>
        <v>6.8820000000000006E-2</v>
      </c>
    </row>
  </sheetData>
  <phoneticPr fontId="7" type="noConversion"/>
  <printOptions horizontalCentered="1"/>
  <pageMargins left="0.3" right="0.3" top="0.72" bottom="0.4" header="0.4" footer="0.2"/>
  <pageSetup scale="98" orientation="landscape" copies="3" r:id="rId1"/>
  <headerFooter alignWithMargins="0">
    <oddFooter>&amp;L&amp;8Net Power Cost  -  &amp;F   ( &amp;A ) &amp;C &amp;R &amp;8&amp;D  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0A92E28D1EC4D42B4C180CD69469D63" ma:contentTypeVersion="175" ma:contentTypeDescription="" ma:contentTypeScope="" ma:versionID="6238f879754da7de37a34ef938e76ef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ed1c147dc0c9d0fdb5693b298af91b6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2014-12-29T08:00:00+00:00</OpenedDate>
    <Date1 xmlns="dc463f71-b30c-4ab2-9473-d307f9d35888">2015-11-25T08:00:00+00:00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144160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5780657A-451A-4055-A70D-45275031C334}"/>
</file>

<file path=customXml/itemProps2.xml><?xml version="1.0" encoding="utf-8"?>
<ds:datastoreItem xmlns:ds="http://schemas.openxmlformats.org/officeDocument/2006/customXml" ds:itemID="{63C04888-44B1-4CD9-A237-8652F651F6EB}"/>
</file>

<file path=customXml/itemProps3.xml><?xml version="1.0" encoding="utf-8"?>
<ds:datastoreItem xmlns:ds="http://schemas.openxmlformats.org/officeDocument/2006/customXml" ds:itemID="{A115D08D-B536-4DA6-8FBD-0C247CB16AE1}"/>
</file>

<file path=customXml/itemProps4.xml><?xml version="1.0" encoding="utf-8"?>
<ds:datastoreItem xmlns:ds="http://schemas.openxmlformats.org/officeDocument/2006/customXml" ds:itemID="{864299E1-0443-4159-8BB1-D6EB3E4281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Table 1</vt:lpstr>
      <vt:lpstr>Table 2</vt:lpstr>
      <vt:lpstr>Tables 3 to 6</vt:lpstr>
      <vt:lpstr>Tables 7</vt:lpstr>
      <vt:lpstr>Table 8</vt:lpstr>
      <vt:lpstr>Table 9</vt:lpstr>
      <vt:lpstr>&gt;&gt;&gt;  Do Not Print</vt:lpstr>
      <vt:lpstr>Tariff Page</vt:lpstr>
      <vt:lpstr>'Table 2'!Print_Area</vt:lpstr>
      <vt:lpstr>'Table 8'!Print_Area</vt:lpstr>
      <vt:lpstr>'Table 9'!Print_Area</vt:lpstr>
      <vt:lpstr>'Tables 7'!Print_Area</vt:lpstr>
      <vt:lpstr>'Tariff Page'!Print_Area</vt:lpstr>
      <vt:lpstr>'Table 2'!Print_Titles</vt:lpstr>
    </vt:vector>
  </TitlesOfParts>
  <Company>PacifiCorp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PacifiCorp</dc:creator>
  <cp:lastModifiedBy>Elhardt, Linda (UTC)</cp:lastModifiedBy>
  <cp:lastPrinted>2015-11-23T16:39:14Z</cp:lastPrinted>
  <dcterms:created xsi:type="dcterms:W3CDTF">2001-03-19T15:45:46Z</dcterms:created>
  <dcterms:modified xsi:type="dcterms:W3CDTF">2015-11-25T22:23:50Z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0x0101006E56B4D1795A2E4DB2F0B01679ED314A00F0A92E28D1EC4D42B4C180CD69469D63</vt:lpwstr>
  </property>
  <property fmtid="{D5CDD505-2E9C-101B-9397-08002B2CF9AE}" pid="3" name="_docset_NoMedatataSyncRequired">
    <vt:lpwstr>False</vt:lpwstr>
  </property>
</Properties>
</file>