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-105" yWindow="-105" windowWidth="23250" windowHeight="12570"/>
  </bookViews>
  <sheets>
    <sheet name="AHADC Sch 2.1 " sheetId="1" r:id="rId1"/>
    <sheet name="Hist. Info. BPC  Sch 2.2" sheetId="4" r:id="rId2"/>
    <sheet name="Calc. Adj. Hist. Dist Sch 2.3" sheetId="5" r:id="rId3"/>
    <sheet name="Hist VEAT Report Sch 2.4" sheetId="2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'AHADC Sch 2.1 '!$A$1:$G$28</definedName>
    <definedName name="_xlnm.Print_Area" localSheetId="1">'Hist. Info. BPC  Sch 2.2'!$A$1:$O$22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0" i="1"/>
  <c r="J17" i="4" l="1"/>
  <c r="J24" i="5"/>
  <c r="J23" i="5"/>
  <c r="J22" i="5"/>
  <c r="J20" i="5"/>
  <c r="J19" i="5"/>
  <c r="J18" i="5"/>
  <c r="J16" i="5"/>
  <c r="J15" i="5"/>
  <c r="J12" i="5"/>
  <c r="J16" i="4" l="1"/>
  <c r="I16" i="4"/>
  <c r="I17" i="4" s="1"/>
  <c r="H16" i="4"/>
  <c r="H17" i="4" s="1"/>
  <c r="G16" i="4"/>
  <c r="G17" i="4" s="1"/>
  <c r="F16" i="4"/>
  <c r="F17" i="4" s="1"/>
  <c r="E15" i="1" l="1"/>
  <c r="D14" i="1"/>
  <c r="F17" i="5" l="1"/>
  <c r="G17" i="5"/>
  <c r="H17" i="5"/>
  <c r="I17" i="5"/>
  <c r="J17" i="5"/>
  <c r="D17" i="5"/>
  <c r="F14" i="5"/>
  <c r="G14" i="5"/>
  <c r="H14" i="5"/>
  <c r="I14" i="5"/>
  <c r="J14" i="5"/>
  <c r="D14" i="5"/>
  <c r="F11" i="5"/>
  <c r="G11" i="5"/>
  <c r="H11" i="5"/>
  <c r="I11" i="5"/>
  <c r="J11" i="5"/>
  <c r="D11" i="5"/>
  <c r="F10" i="5"/>
  <c r="G10" i="5"/>
  <c r="H10" i="5"/>
  <c r="I10" i="5"/>
  <c r="J10" i="5"/>
  <c r="F9" i="5"/>
  <c r="G9" i="5"/>
  <c r="H9" i="5"/>
  <c r="I9" i="5"/>
  <c r="J9" i="5"/>
  <c r="D9" i="5"/>
  <c r="D10" i="5"/>
  <c r="F12" i="5" l="1"/>
  <c r="F16" i="5" s="1"/>
  <c r="G12" i="5"/>
  <c r="G16" i="5" s="1"/>
  <c r="I12" i="5"/>
  <c r="I22" i="5" s="1"/>
  <c r="I23" i="5" s="1"/>
  <c r="I24" i="5" s="1"/>
  <c r="H12" i="5"/>
  <c r="G22" i="5" l="1"/>
  <c r="G23" i="5" s="1"/>
  <c r="G24" i="5" s="1"/>
  <c r="H22" i="5"/>
  <c r="H23" i="5" s="1"/>
  <c r="H24" i="5" s="1"/>
  <c r="F22" i="5"/>
  <c r="F23" i="5" s="1"/>
  <c r="F24" i="5" s="1"/>
  <c r="I16" i="5"/>
  <c r="H16" i="5"/>
  <c r="F12" i="2" l="1"/>
  <c r="G12" i="2"/>
  <c r="H12" i="2"/>
  <c r="H15" i="2" s="1"/>
  <c r="I12" i="2"/>
  <c r="J12" i="2"/>
  <c r="K12" i="2"/>
  <c r="K15" i="2" l="1"/>
  <c r="K14" i="2"/>
  <c r="E11" i="1" s="1"/>
  <c r="J15" i="2"/>
  <c r="I15" i="2"/>
  <c r="G14" i="2"/>
  <c r="G15" i="2"/>
  <c r="J14" i="2"/>
  <c r="I14" i="2"/>
  <c r="H14" i="2"/>
  <c r="M15" i="2" l="1"/>
  <c r="M14" i="2" s="1"/>
  <c r="E12" i="1"/>
  <c r="E14" i="1" s="1"/>
  <c r="E16" i="1" s="1"/>
  <c r="E18" i="1" s="1"/>
  <c r="E21" i="1" s="1"/>
  <c r="G13" i="5"/>
  <c r="F18" i="5"/>
  <c r="F19" i="5"/>
  <c r="F20" i="5" s="1"/>
  <c r="F15" i="5"/>
  <c r="H13" i="5" l="1"/>
  <c r="G19" i="5"/>
  <c r="G20" i="5" s="1"/>
  <c r="G18" i="5"/>
  <c r="G15" i="5"/>
  <c r="I13" i="5" l="1"/>
  <c r="H19" i="5"/>
  <c r="H20" i="5" s="1"/>
  <c r="H18" i="5"/>
  <c r="H15" i="5"/>
  <c r="J13" i="5" l="1"/>
  <c r="I19" i="5"/>
  <c r="I20" i="5" s="1"/>
  <c r="I18" i="5"/>
  <c r="I15" i="5"/>
</calcChain>
</file>

<file path=xl/sharedStrings.xml><?xml version="1.0" encoding="utf-8"?>
<sst xmlns="http://schemas.openxmlformats.org/spreadsheetml/2006/main" count="151" uniqueCount="107">
  <si>
    <t>Year</t>
  </si>
  <si>
    <t>Cargo &amp; Passenger entries into Puget Sound</t>
  </si>
  <si>
    <t>Note: only ships larger than 300 gross tons are counted</t>
  </si>
  <si>
    <t>Tank Ships and ATB's entries into Puget Sound</t>
  </si>
  <si>
    <t># Difference</t>
  </si>
  <si>
    <t>Totals</t>
  </si>
  <si>
    <t>Historical Period Assignments</t>
  </si>
  <si>
    <t>Assignment Adjustment Factor</t>
  </si>
  <si>
    <t>Projected Assignments</t>
  </si>
  <si>
    <t>*Note: All the above information came from the Wa Board of Pilotage "Annual Report" for each of the years given. Except the # of Pilot Licenses approved 7/18/19 that came from BPC meeting minutes.</t>
  </si>
  <si>
    <t>Avererage assignments per duty day</t>
  </si>
  <si>
    <t>Avg Number of Duty Days Per Year</t>
  </si>
  <si>
    <t>Average Assignment Per Pilot</t>
  </si>
  <si>
    <t>Yearly Assignments</t>
  </si>
  <si>
    <t>Tariff funded Pilots</t>
  </si>
  <si>
    <t>56 (7/18/19)</t>
  </si>
  <si>
    <t>53(2/19/15), 52(8/1/15)</t>
  </si>
  <si>
    <t>55(6/19/14), 54(11/18/14)</t>
  </si>
  <si>
    <t># of Pilot License Approved</t>
  </si>
  <si>
    <t># of working Pilots</t>
  </si>
  <si>
    <t># of admin Pilots</t>
  </si>
  <si>
    <t>Source: https://fortress.wa.gov/ecy/publications/documents/2008004.pdf</t>
  </si>
  <si>
    <t>Historical TAL from MOU</t>
  </si>
  <si>
    <t>% of capacity used</t>
  </si>
  <si>
    <t>https://data.bls.gov/cgi-bin/cpicalc.pl?cost1=390247.46&amp;year1=201401&amp;year2=202001</t>
  </si>
  <si>
    <t>https://data.bls.gov/cgi-bin/cpicalc.pl?cost1=379010.12&amp;year1=201501&amp;year2=202001</t>
  </si>
  <si>
    <t>https://data.bls.gov/cgi-bin/cpicalc.pl?cost1=404537.15&amp;year1=201601&amp;year2=202001</t>
  </si>
  <si>
    <t>https://data.bls.gov/cgi-bin/cpicalc.pl?cost1=378069.17&amp;year1=201701&amp;year2=202001</t>
  </si>
  <si>
    <t>https://data.bls.gov/cgi-bin/cpicalc.pl?cost1=343195.7&amp;year1=201801&amp;year2=202001</t>
  </si>
  <si>
    <t>Docket TP-190976</t>
  </si>
  <si>
    <t>Line No.</t>
  </si>
  <si>
    <t>added</t>
  </si>
  <si>
    <t>Puget Sound Pilots</t>
  </si>
  <si>
    <t>(Sch 2.4)</t>
  </si>
  <si>
    <t>Source:</t>
  </si>
  <si>
    <t>Average Historical Assignments and Distribution Calculation</t>
  </si>
  <si>
    <t>Schedule 2.1</t>
  </si>
  <si>
    <t>Schedule 2.2</t>
  </si>
  <si>
    <t>Historical Information from Board of Pilotage Commission Annual Reports</t>
  </si>
  <si>
    <t>Schedule 2.3</t>
  </si>
  <si>
    <t>Schedule 2.4</t>
  </si>
  <si>
    <t>Historical Vessel Entry and Transit Report</t>
  </si>
  <si>
    <t>(Sch 3.6)</t>
  </si>
  <si>
    <t>(Sch 2.3)</t>
  </si>
  <si>
    <t>year to year % change</t>
  </si>
  <si>
    <t>PMSA DR 208-232 - PilotAnalysis -110419_datarequest</t>
  </si>
  <si>
    <t>Sch. 2.2</t>
  </si>
  <si>
    <t>Exh WT-2</t>
  </si>
  <si>
    <t># of Pilots Per MOU</t>
  </si>
  <si>
    <t>Capacity for moves per MOU</t>
  </si>
  <si>
    <t>Line 4 + Line 5</t>
  </si>
  <si>
    <t>Line 6 Current year / Line 6 Previous year - 1</t>
  </si>
  <si>
    <t>Line 6 Current year - Line 6 Previous year</t>
  </si>
  <si>
    <t>Line 9 / Line 10</t>
  </si>
  <si>
    <t>BPC Annual Report</t>
  </si>
  <si>
    <t>365/(15+13)*15 per IC-1T page 5</t>
  </si>
  <si>
    <t>Actual Distributable Net Income</t>
  </si>
  <si>
    <t>Total Distributable Net Income</t>
  </si>
  <si>
    <t>Target Distributable Net Income</t>
  </si>
  <si>
    <t>Distributable Net Income Per TAL</t>
  </si>
  <si>
    <t>Distributable Net Income Per Average Assignment</t>
  </si>
  <si>
    <t>Distributable Net Income per assignment</t>
  </si>
  <si>
    <t>Adjusted Distributable Net Income</t>
  </si>
  <si>
    <t>Adjusted Distributable Net Income Adjusted for Inflation</t>
  </si>
  <si>
    <t>Adjusted Total Distributable Net Income</t>
  </si>
  <si>
    <t>Value of Callback</t>
  </si>
  <si>
    <t># Callback days</t>
  </si>
  <si>
    <t>Description</t>
  </si>
  <si>
    <t>(a)</t>
  </si>
  <si>
    <t>(b)</t>
  </si>
  <si>
    <t>(c)</t>
  </si>
  <si>
    <t>(d)</t>
  </si>
  <si>
    <t>(e)</t>
  </si>
  <si>
    <t>(f)</t>
  </si>
  <si>
    <t>(g)</t>
  </si>
  <si>
    <t>(h)</t>
  </si>
  <si>
    <t>Total</t>
  </si>
  <si>
    <t>Total Pilots to Fund</t>
  </si>
  <si>
    <t xml:space="preserve"> to: AMCL-2 Schedule 1.1</t>
  </si>
  <si>
    <t>Calculation Adjusting Historical Distributions</t>
  </si>
  <si>
    <t>Distributable Net Income</t>
  </si>
  <si>
    <t>TAL</t>
  </si>
  <si>
    <t>Exh.  SS-2</t>
  </si>
  <si>
    <t>Exh. SS-2</t>
  </si>
  <si>
    <t>Page 1 of 4</t>
  </si>
  <si>
    <t>Page 3 of 4</t>
  </si>
  <si>
    <t>Page 4 of 4</t>
  </si>
  <si>
    <t>Page 2 of 4</t>
  </si>
  <si>
    <t>(Sch 2.2)</t>
  </si>
  <si>
    <t>SS-4 Sum of Table 1, items 1 &amp; 2</t>
  </si>
  <si>
    <t>SS-4 Sum of Table 1, items 10 &amp; 11; and Table 2, item 2</t>
  </si>
  <si>
    <t>Average # of Pilots</t>
  </si>
  <si>
    <t>Line 4 / Line 5</t>
  </si>
  <si>
    <t>Line  6 * Line 7</t>
  </si>
  <si>
    <t>Line  6 * Line 8</t>
  </si>
  <si>
    <t>Line 5 / Line 7 +1</t>
  </si>
  <si>
    <t>(Line 11 -1) * Line 7</t>
  </si>
  <si>
    <t>Line 5 / Line 13</t>
  </si>
  <si>
    <t>Line 6 * Line 15</t>
  </si>
  <si>
    <t>Line 4 - Line 16</t>
  </si>
  <si>
    <t>Line 17 / Line 11</t>
  </si>
  <si>
    <t>Line 17 adjusted for inflation using calculator in source</t>
  </si>
  <si>
    <t>(L3 * L4)</t>
  </si>
  <si>
    <t>(L5)</t>
  </si>
  <si>
    <t>(L7 / L8)</t>
  </si>
  <si>
    <t>(L9+L10)</t>
  </si>
  <si>
    <t>(L11)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</si>
</sst>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"/>
    <numFmt numFmtId="168" formatCode="#,###_);\(#,###\)\,\ "/>
    <numFmt numFmtId="169" formatCode="&quot;$&quot;#,##0"/>
    <numFmt numFmtId="170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A7D00"/>
      <name val="Calibri"/>
      <family val="2"/>
    </font>
    <font>
      <sz val="10"/>
      <name val="Geneva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2" borderId="1" applyNumberFormat="0" applyAlignment="0" applyProtection="0"/>
    <xf numFmtId="168" fontId="4" fillId="0" borderId="0"/>
  </cellStyleXfs>
  <cellXfs count="63">
    <xf numFmtId="0" fontId="0" fillId="0" borderId="0" xfId="0"/>
    <xf numFmtId="168" fontId="5" fillId="0" borderId="0" xfId="6" applyFont="1"/>
    <xf numFmtId="0" fontId="6" fillId="0" borderId="0" xfId="0" applyFont="1"/>
    <xf numFmtId="168" fontId="7" fillId="0" borderId="0" xfId="6" applyFont="1"/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165" fontId="6" fillId="0" borderId="0" xfId="0" quotePrefix="1" applyNumberFormat="1" applyFont="1"/>
    <xf numFmtId="165" fontId="6" fillId="0" borderId="0" xfId="0" quotePrefix="1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0" xfId="1" applyNumberFormat="1" applyFont="1" applyBorder="1"/>
    <xf numFmtId="167" fontId="6" fillId="0" borderId="0" xfId="0" applyNumberFormat="1" applyFont="1"/>
    <xf numFmtId="43" fontId="6" fillId="0" borderId="0" xfId="0" applyNumberFormat="1" applyFont="1"/>
    <xf numFmtId="170" fontId="6" fillId="0" borderId="2" xfId="1" applyNumberFormat="1" applyFont="1" applyBorder="1" applyAlignment="1">
      <alignment horizontal="right"/>
    </xf>
    <xf numFmtId="43" fontId="6" fillId="0" borderId="0" xfId="1" applyFont="1" applyAlignment="1">
      <alignment horizontal="right"/>
    </xf>
    <xf numFmtId="166" fontId="6" fillId="0" borderId="0" xfId="2" applyNumberFormat="1" applyFont="1" applyBorder="1"/>
    <xf numFmtId="164" fontId="6" fillId="0" borderId="0" xfId="0" applyNumberFormat="1" applyFont="1"/>
    <xf numFmtId="43" fontId="6" fillId="0" borderId="4" xfId="1" applyFont="1" applyBorder="1" applyAlignment="1">
      <alignment horizontal="right"/>
    </xf>
    <xf numFmtId="43" fontId="6" fillId="0" borderId="0" xfId="1" applyFont="1" applyBorder="1"/>
    <xf numFmtId="0" fontId="6" fillId="0" borderId="0" xfId="0" applyFont="1" applyAlignment="1">
      <alignment horizontal="right"/>
    </xf>
    <xf numFmtId="0" fontId="6" fillId="0" borderId="0" xfId="0" applyFont="1" applyFill="1"/>
    <xf numFmtId="44" fontId="6" fillId="0" borderId="0" xfId="1" applyNumberFormat="1" applyFont="1" applyAlignment="1">
      <alignment horizontal="right"/>
    </xf>
    <xf numFmtId="166" fontId="6" fillId="0" borderId="0" xfId="0" applyNumberFormat="1" applyFont="1"/>
    <xf numFmtId="43" fontId="6" fillId="0" borderId="2" xfId="1" applyFont="1" applyBorder="1" applyAlignment="1">
      <alignment horizontal="right"/>
    </xf>
    <xf numFmtId="44" fontId="6" fillId="0" borderId="3" xfId="2" applyNumberFormat="1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170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166" fontId="6" fillId="0" borderId="0" xfId="2" applyNumberFormat="1" applyFont="1" applyFill="1" applyAlignment="1">
      <alignment horizontal="right"/>
    </xf>
    <xf numFmtId="169" fontId="6" fillId="0" borderId="0" xfId="2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0" xfId="0" applyFont="1"/>
    <xf numFmtId="166" fontId="6" fillId="0" borderId="0" xfId="2" applyNumberFormat="1" applyFont="1"/>
    <xf numFmtId="169" fontId="6" fillId="0" borderId="0" xfId="2" applyNumberFormat="1" applyFont="1"/>
    <xf numFmtId="0" fontId="6" fillId="0" borderId="0" xfId="0" applyFont="1" applyAlignment="1">
      <alignment horizontal="left"/>
    </xf>
    <xf numFmtId="1" fontId="6" fillId="0" borderId="0" xfId="1" applyNumberFormat="1" applyFont="1"/>
    <xf numFmtId="170" fontId="6" fillId="0" borderId="0" xfId="1" applyNumberFormat="1" applyFont="1"/>
    <xf numFmtId="9" fontId="6" fillId="0" borderId="0" xfId="3" applyFont="1"/>
    <xf numFmtId="169" fontId="6" fillId="0" borderId="0" xfId="0" applyNumberFormat="1" applyFont="1"/>
    <xf numFmtId="0" fontId="6" fillId="0" borderId="0" xfId="0" applyFont="1" applyAlignment="1">
      <alignment wrapText="1"/>
    </xf>
    <xf numFmtId="168" fontId="7" fillId="0" borderId="0" xfId="6" applyFont="1" applyAlignment="1"/>
    <xf numFmtId="168" fontId="5" fillId="0" borderId="0" xfId="6" applyFont="1" applyBorder="1"/>
    <xf numFmtId="0" fontId="6" fillId="0" borderId="5" xfId="0" applyFont="1" applyBorder="1" applyAlignment="1">
      <alignment horizontal="center"/>
    </xf>
    <xf numFmtId="0" fontId="8" fillId="0" borderId="2" xfId="0" applyFont="1" applyBorder="1"/>
    <xf numFmtId="164" fontId="6" fillId="0" borderId="2" xfId="1" applyNumberFormat="1" applyFont="1" applyBorder="1"/>
    <xf numFmtId="164" fontId="6" fillId="0" borderId="4" xfId="1" applyNumberFormat="1" applyFont="1" applyBorder="1"/>
    <xf numFmtId="10" fontId="6" fillId="0" borderId="0" xfId="3" applyNumberFormat="1" applyFont="1" applyBorder="1"/>
    <xf numFmtId="10" fontId="6" fillId="0" borderId="0" xfId="3" applyNumberFormat="1" applyFont="1"/>
    <xf numFmtId="0" fontId="6" fillId="0" borderId="0" xfId="0" applyFont="1" applyAlignment="1"/>
    <xf numFmtId="43" fontId="6" fillId="0" borderId="0" xfId="1" applyNumberFormat="1" applyFont="1"/>
    <xf numFmtId="0" fontId="6" fillId="0" borderId="0" xfId="0" applyFont="1" applyAlignment="1">
      <alignment horizontal="left"/>
    </xf>
    <xf numFmtId="168" fontId="7" fillId="0" borderId="0" xfId="6" applyFont="1" applyAlignment="1">
      <alignment horizontal="left"/>
    </xf>
  </cellXfs>
  <cellStyles count="7">
    <cellStyle name="Calculation 2" xfId="5"/>
    <cellStyle name="Comma" xfId="1" builtinId="3"/>
    <cellStyle name="Currency" xfId="2" builtinId="4"/>
    <cellStyle name="Normal" xfId="0" builtinId="0"/>
    <cellStyle name="Normal 2" xfId="4"/>
    <cellStyle name="Normal_WAGas6_97_Avista WA GAS TY2006 Staff Rebuttal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showGridLines="0" tabSelected="1" view="pageBreakPreview" zoomScale="80" zoomScaleNormal="100" zoomScaleSheetLayoutView="80" workbookViewId="0">
      <selection activeCell="E22" sqref="E22"/>
    </sheetView>
  </sheetViews>
  <sheetFormatPr defaultColWidth="9.140625" defaultRowHeight="12.75"/>
  <cols>
    <col min="1" max="1" width="2.28515625" style="2" customWidth="1"/>
    <col min="2" max="2" width="10.7109375" style="2" customWidth="1"/>
    <col min="3" max="3" width="2.28515625" style="2" customWidth="1"/>
    <col min="4" max="4" width="40.7109375" style="2" customWidth="1"/>
    <col min="5" max="5" width="21.42578125" style="2" customWidth="1"/>
    <col min="6" max="6" width="2.5703125" style="2" customWidth="1"/>
    <col min="7" max="7" width="29" style="2" customWidth="1"/>
    <col min="8" max="8" width="39.42578125" style="2" customWidth="1"/>
    <col min="9" max="9" width="35.42578125" style="2" customWidth="1"/>
    <col min="10" max="10" width="23.85546875" style="2" customWidth="1"/>
    <col min="11" max="11" width="21.85546875" style="2" customWidth="1"/>
    <col min="12" max="12" width="21.42578125" style="2" customWidth="1"/>
    <col min="13" max="16384" width="9.140625" style="2"/>
  </cols>
  <sheetData>
    <row r="2" spans="2:12">
      <c r="B2" s="1"/>
      <c r="C2" s="1"/>
      <c r="K2" s="1"/>
    </row>
    <row r="3" spans="2:12">
      <c r="B3" s="3" t="s">
        <v>32</v>
      </c>
      <c r="C3" s="1"/>
      <c r="E3" s="1"/>
      <c r="F3" s="1"/>
      <c r="G3" s="3" t="s">
        <v>82</v>
      </c>
      <c r="K3" s="1"/>
    </row>
    <row r="4" spans="2:12">
      <c r="B4" s="3" t="s">
        <v>35</v>
      </c>
      <c r="C4" s="1"/>
      <c r="E4" s="1"/>
      <c r="F4" s="1"/>
      <c r="G4" s="3" t="s">
        <v>29</v>
      </c>
    </row>
    <row r="5" spans="2:12">
      <c r="B5" s="3" t="s">
        <v>36</v>
      </c>
      <c r="C5" s="1"/>
      <c r="E5" s="1"/>
      <c r="F5" s="1"/>
      <c r="G5" s="3" t="s">
        <v>84</v>
      </c>
    </row>
    <row r="6" spans="2:12">
      <c r="B6" s="1"/>
      <c r="C6" s="1"/>
      <c r="E6" s="1"/>
      <c r="F6" s="1"/>
      <c r="G6" s="1"/>
    </row>
    <row r="7" spans="2:12">
      <c r="B7" s="4" t="s">
        <v>30</v>
      </c>
      <c r="C7" s="5"/>
      <c r="D7" s="4" t="s">
        <v>67</v>
      </c>
      <c r="E7" s="4" t="s">
        <v>68</v>
      </c>
      <c r="F7" s="4"/>
      <c r="G7" s="4" t="s">
        <v>69</v>
      </c>
    </row>
    <row r="8" spans="2:12">
      <c r="B8" s="6">
        <v>1</v>
      </c>
      <c r="C8" s="5"/>
      <c r="D8" s="5"/>
      <c r="E8" s="6"/>
      <c r="F8" s="6"/>
      <c r="G8" s="6"/>
    </row>
    <row r="9" spans="2:12">
      <c r="B9" s="6">
        <v>2</v>
      </c>
      <c r="C9" s="6"/>
      <c r="D9" s="28"/>
      <c r="E9" s="28"/>
      <c r="F9" s="28"/>
      <c r="G9" s="41" t="s">
        <v>34</v>
      </c>
    </row>
    <row r="10" spans="2:12">
      <c r="B10" s="6">
        <v>3</v>
      </c>
      <c r="C10" s="6"/>
      <c r="D10" s="2" t="s">
        <v>6</v>
      </c>
      <c r="E10" s="8">
        <v>7334</v>
      </c>
      <c r="F10" s="9"/>
      <c r="G10" s="2" t="s">
        <v>42</v>
      </c>
      <c r="H10" s="10"/>
      <c r="I10" s="9"/>
    </row>
    <row r="11" spans="2:12">
      <c r="B11" s="6">
        <v>4</v>
      </c>
      <c r="C11" s="6"/>
      <c r="D11" s="2" t="s">
        <v>7</v>
      </c>
      <c r="E11" s="11">
        <f>'Hist VEAT Report Sch 2.4'!K14</f>
        <v>-3.2142857142857251E-3</v>
      </c>
      <c r="F11" s="10"/>
      <c r="G11" s="2" t="s">
        <v>33</v>
      </c>
    </row>
    <row r="12" spans="2:12" ht="13.5" thickBot="1">
      <c r="B12" s="6">
        <v>5</v>
      </c>
      <c r="C12" s="6"/>
      <c r="D12" s="2" t="s">
        <v>8</v>
      </c>
      <c r="E12" s="12">
        <f>E10*(1+E11)</f>
        <v>7310.4264285714289</v>
      </c>
      <c r="F12" s="13"/>
      <c r="G12" s="2" t="s">
        <v>102</v>
      </c>
    </row>
    <row r="13" spans="2:12" ht="13.5" thickTop="1">
      <c r="B13" s="6">
        <v>6</v>
      </c>
      <c r="C13" s="6"/>
      <c r="E13" s="8"/>
      <c r="F13" s="9"/>
      <c r="H13" s="14"/>
      <c r="J13" s="15"/>
      <c r="L13" s="15"/>
    </row>
    <row r="14" spans="2:12">
      <c r="B14" s="6">
        <v>7</v>
      </c>
      <c r="C14" s="6"/>
      <c r="D14" s="2" t="str">
        <f>D12</f>
        <v>Projected Assignments</v>
      </c>
      <c r="E14" s="8">
        <f>E12</f>
        <v>7310.4264285714289</v>
      </c>
      <c r="F14" s="9"/>
      <c r="G14" s="2" t="s">
        <v>103</v>
      </c>
    </row>
    <row r="15" spans="2:12">
      <c r="B15" s="6">
        <v>8</v>
      </c>
      <c r="C15" s="6"/>
      <c r="D15" s="2" t="s">
        <v>81</v>
      </c>
      <c r="E15" s="16">
        <f>AVERAGE('Hist. Info. BPC  Sch 2.2'!F15:J15)</f>
        <v>143.4</v>
      </c>
      <c r="F15" s="5"/>
      <c r="G15" s="2" t="s">
        <v>88</v>
      </c>
    </row>
    <row r="16" spans="2:12">
      <c r="B16" s="6">
        <v>9</v>
      </c>
      <c r="C16" s="6"/>
      <c r="D16" s="2" t="s">
        <v>19</v>
      </c>
      <c r="E16" s="17">
        <f>E14/E15</f>
        <v>50.979263797569239</v>
      </c>
      <c r="F16" s="15"/>
      <c r="G16" s="2" t="s">
        <v>104</v>
      </c>
      <c r="H16" s="15"/>
      <c r="J16" s="18"/>
    </row>
    <row r="17" spans="2:7">
      <c r="B17" s="6">
        <v>10</v>
      </c>
      <c r="C17" s="6"/>
      <c r="D17" s="2" t="s">
        <v>20</v>
      </c>
      <c r="E17" s="8">
        <v>2</v>
      </c>
      <c r="F17" s="19"/>
      <c r="G17" s="2" t="s">
        <v>31</v>
      </c>
    </row>
    <row r="18" spans="2:7" ht="13.5" thickBot="1">
      <c r="B18" s="6">
        <v>11</v>
      </c>
      <c r="C18" s="6"/>
      <c r="D18" s="2" t="s">
        <v>77</v>
      </c>
      <c r="E18" s="20">
        <f>E17+E16</f>
        <v>52.979263797569239</v>
      </c>
      <c r="F18" s="21"/>
      <c r="G18" s="2" t="s">
        <v>105</v>
      </c>
    </row>
    <row r="19" spans="2:7" ht="13.5" thickTop="1">
      <c r="B19" s="6">
        <v>12</v>
      </c>
      <c r="C19" s="6"/>
      <c r="E19" s="22"/>
    </row>
    <row r="20" spans="2:7">
      <c r="B20" s="6">
        <v>13</v>
      </c>
      <c r="C20" s="6"/>
      <c r="D20" s="23" t="s">
        <v>80</v>
      </c>
      <c r="E20" s="24">
        <f>AVERAGE('Calc. Adj. Hist. Dist Sch 2.3'!F25:J25)</f>
        <v>409608.21</v>
      </c>
      <c r="F20" s="25"/>
      <c r="G20" s="2" t="s">
        <v>43</v>
      </c>
    </row>
    <row r="21" spans="2:7">
      <c r="B21" s="6">
        <v>14</v>
      </c>
      <c r="C21" s="6"/>
      <c r="D21" s="2" t="s">
        <v>77</v>
      </c>
      <c r="E21" s="26">
        <f>E18</f>
        <v>52.979263797569239</v>
      </c>
      <c r="F21" s="21"/>
      <c r="G21" s="2" t="s">
        <v>106</v>
      </c>
    </row>
    <row r="22" spans="2:7" ht="13.5" thickBot="1">
      <c r="B22" s="6">
        <v>15</v>
      </c>
      <c r="C22" s="6"/>
      <c r="D22" s="23" t="s">
        <v>57</v>
      </c>
      <c r="E22" s="27">
        <f>E21*E20</f>
        <v>21700741.411240138</v>
      </c>
      <c r="F22" s="18"/>
      <c r="G22" s="1" t="s">
        <v>78</v>
      </c>
    </row>
    <row r="23" spans="2:7" ht="13.5" thickTop="1"/>
  </sheetData>
  <pageMargins left="0.7" right="0.7" top="0.75" bottom="0.75" header="0.3" footer="0.3"/>
  <pageSetup scale="74" orientation="portrait" r:id="rId1"/>
  <colBreaks count="1" manualBreakCount="1">
    <brk id="7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showGridLines="0" view="pageBreakPreview" zoomScale="80" zoomScaleNormal="100" zoomScaleSheetLayoutView="80" workbookViewId="0">
      <selection activeCell="J18" sqref="J18"/>
    </sheetView>
  </sheetViews>
  <sheetFormatPr defaultColWidth="9.140625" defaultRowHeight="12.75"/>
  <cols>
    <col min="1" max="1" width="2.42578125" style="2" customWidth="1"/>
    <col min="2" max="2" width="9.140625" style="2"/>
    <col min="3" max="3" width="1.7109375" style="2" customWidth="1"/>
    <col min="4" max="4" width="35.28515625" style="2" customWidth="1"/>
    <col min="5" max="5" width="2.7109375" style="2" customWidth="1"/>
    <col min="6" max="6" width="24.85546875" style="2" bestFit="1" customWidth="1"/>
    <col min="7" max="7" width="22.5703125" style="2" bestFit="1" customWidth="1"/>
    <col min="8" max="8" width="15.28515625" style="2" customWidth="1"/>
    <col min="9" max="9" width="17.28515625" style="2" customWidth="1"/>
    <col min="10" max="10" width="16.7109375" style="2" customWidth="1"/>
    <col min="11" max="11" width="12.140625" style="2" bestFit="1" customWidth="1"/>
    <col min="12" max="12" width="3.5703125" style="2" customWidth="1"/>
    <col min="13" max="14" width="16.85546875" style="2" bestFit="1" customWidth="1"/>
    <col min="15" max="15" width="22.85546875" style="2" bestFit="1" customWidth="1"/>
    <col min="16" max="18" width="16.85546875" style="2" bestFit="1" customWidth="1"/>
    <col min="19" max="19" width="25" style="2" bestFit="1" customWidth="1"/>
    <col min="20" max="20" width="22.7109375" style="2" bestFit="1" customWidth="1"/>
    <col min="21" max="21" width="16.85546875" style="2" bestFit="1" customWidth="1"/>
    <col min="22" max="22" width="18.7109375" style="2" bestFit="1" customWidth="1"/>
    <col min="23" max="23" width="16.85546875" style="2" bestFit="1" customWidth="1"/>
    <col min="24" max="24" width="12.140625" style="2" bestFit="1" customWidth="1"/>
    <col min="25" max="25" width="32.42578125" style="2" bestFit="1" customWidth="1"/>
    <col min="26" max="16384" width="9.140625" style="2"/>
  </cols>
  <sheetData>
    <row r="1" spans="2:30">
      <c r="B1" s="1"/>
      <c r="C1" s="1"/>
    </row>
    <row r="2" spans="2:30">
      <c r="B2" s="3" t="s">
        <v>32</v>
      </c>
      <c r="C2" s="3"/>
      <c r="I2" s="1"/>
      <c r="K2" s="1"/>
      <c r="L2" s="1"/>
      <c r="M2" s="3" t="s">
        <v>82</v>
      </c>
      <c r="N2" s="3"/>
      <c r="V2" s="1"/>
      <c r="Y2" s="1"/>
    </row>
    <row r="3" spans="2:30">
      <c r="B3" s="3" t="s">
        <v>38</v>
      </c>
      <c r="C3" s="3"/>
      <c r="I3" s="1"/>
      <c r="K3" s="1"/>
      <c r="L3" s="1"/>
      <c r="M3" s="3" t="s">
        <v>29</v>
      </c>
      <c r="N3" s="3"/>
      <c r="V3" s="1"/>
      <c r="Y3" s="1"/>
    </row>
    <row r="4" spans="2:30">
      <c r="B4" s="3" t="s">
        <v>37</v>
      </c>
      <c r="C4" s="3"/>
      <c r="I4" s="1"/>
      <c r="K4" s="1"/>
      <c r="L4" s="1"/>
      <c r="M4" s="3" t="s">
        <v>87</v>
      </c>
      <c r="N4" s="3"/>
      <c r="V4" s="1"/>
      <c r="Y4" s="1"/>
    </row>
    <row r="5" spans="2:30">
      <c r="B5" s="1"/>
      <c r="C5" s="1"/>
      <c r="I5" s="1"/>
    </row>
    <row r="6" spans="2:30">
      <c r="B6" s="28" t="s">
        <v>30</v>
      </c>
      <c r="C6" s="5"/>
      <c r="D6" s="4" t="s">
        <v>67</v>
      </c>
      <c r="E6" s="4"/>
      <c r="F6" s="29" t="s">
        <v>68</v>
      </c>
      <c r="G6" s="29" t="s">
        <v>69</v>
      </c>
      <c r="H6" s="29" t="s">
        <v>70</v>
      </c>
      <c r="I6" s="29" t="s">
        <v>71</v>
      </c>
      <c r="J6" s="29" t="s">
        <v>72</v>
      </c>
      <c r="K6" s="29" t="s">
        <v>73</v>
      </c>
      <c r="L6" s="29"/>
      <c r="M6" s="29" t="s">
        <v>74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6"/>
      <c r="Z6" s="5"/>
      <c r="AA6" s="5"/>
      <c r="AB6" s="5"/>
      <c r="AC6" s="5"/>
      <c r="AD6" s="5"/>
    </row>
    <row r="7" spans="2:30">
      <c r="B7" s="6">
        <v>1</v>
      </c>
      <c r="C7" s="6"/>
      <c r="D7" s="6"/>
      <c r="E7" s="6"/>
      <c r="F7" s="30"/>
      <c r="G7" s="30"/>
      <c r="H7" s="30"/>
      <c r="I7" s="30"/>
      <c r="J7" s="30"/>
      <c r="K7" s="30"/>
      <c r="L7" s="30"/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5"/>
      <c r="Z7" s="5"/>
      <c r="AA7" s="5"/>
      <c r="AB7" s="5"/>
      <c r="AC7" s="5"/>
      <c r="AD7" s="5"/>
    </row>
    <row r="8" spans="2:30">
      <c r="B8" s="6">
        <v>2</v>
      </c>
      <c r="C8" s="6"/>
      <c r="D8" s="23"/>
      <c r="F8" s="23"/>
      <c r="G8" s="23"/>
      <c r="H8" s="23"/>
      <c r="I8" s="23"/>
      <c r="J8" s="23"/>
      <c r="K8" s="23"/>
      <c r="L8" s="23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>
      <c r="B9" s="6">
        <v>3</v>
      </c>
      <c r="C9" s="6"/>
      <c r="D9" s="32" t="s">
        <v>0</v>
      </c>
      <c r="E9" s="33"/>
      <c r="F9" s="32">
        <v>2014</v>
      </c>
      <c r="G9" s="32">
        <v>2015</v>
      </c>
      <c r="H9" s="32">
        <v>2016</v>
      </c>
      <c r="I9" s="32">
        <v>2017</v>
      </c>
      <c r="J9" s="32">
        <v>2018</v>
      </c>
      <c r="K9" s="32">
        <v>2019</v>
      </c>
      <c r="L9" s="34"/>
      <c r="M9" s="7" t="s">
        <v>34</v>
      </c>
    </row>
    <row r="10" spans="2:30">
      <c r="B10" s="6">
        <v>4</v>
      </c>
      <c r="C10" s="6"/>
      <c r="D10" s="23" t="s">
        <v>18</v>
      </c>
      <c r="F10" s="35" t="s">
        <v>17</v>
      </c>
      <c r="G10" s="35" t="s">
        <v>16</v>
      </c>
      <c r="H10" s="36">
        <v>52</v>
      </c>
      <c r="I10" s="36">
        <v>52</v>
      </c>
      <c r="J10" s="36">
        <v>52</v>
      </c>
      <c r="K10" s="35" t="s">
        <v>15</v>
      </c>
      <c r="L10" s="35"/>
      <c r="M10" s="2" t="s">
        <v>54</v>
      </c>
    </row>
    <row r="11" spans="2:30">
      <c r="B11" s="6">
        <v>5</v>
      </c>
      <c r="C11" s="6"/>
      <c r="D11" s="23" t="s">
        <v>91</v>
      </c>
      <c r="F11" s="37">
        <v>54.2</v>
      </c>
      <c r="G11" s="37">
        <v>53.2</v>
      </c>
      <c r="H11" s="36">
        <v>52</v>
      </c>
      <c r="I11" s="36">
        <v>52</v>
      </c>
      <c r="J11" s="37">
        <v>50.3</v>
      </c>
      <c r="K11" s="35"/>
      <c r="L11" s="35"/>
      <c r="M11" s="2" t="s">
        <v>54</v>
      </c>
    </row>
    <row r="12" spans="2:30">
      <c r="B12" s="6">
        <v>6</v>
      </c>
      <c r="C12" s="6"/>
      <c r="D12" s="23" t="s">
        <v>14</v>
      </c>
      <c r="F12" s="38"/>
      <c r="G12" s="38"/>
      <c r="H12" s="38"/>
      <c r="I12" s="38"/>
      <c r="J12" s="38"/>
      <c r="K12" s="35"/>
      <c r="L12" s="35"/>
    </row>
    <row r="13" spans="2:30">
      <c r="B13" s="6">
        <v>7</v>
      </c>
      <c r="C13" s="6"/>
      <c r="D13" s="23" t="s">
        <v>58</v>
      </c>
      <c r="F13" s="38"/>
      <c r="G13" s="38"/>
      <c r="H13" s="38"/>
      <c r="I13" s="38"/>
      <c r="J13" s="38"/>
      <c r="K13" s="39"/>
      <c r="L13" s="39"/>
    </row>
    <row r="14" spans="2:30">
      <c r="B14" s="6">
        <v>8</v>
      </c>
      <c r="C14" s="6"/>
      <c r="D14" s="23" t="s">
        <v>13</v>
      </c>
      <c r="F14" s="36">
        <v>7616</v>
      </c>
      <c r="G14" s="36">
        <v>7627</v>
      </c>
      <c r="H14" s="36">
        <v>7660</v>
      </c>
      <c r="I14" s="36">
        <v>7250</v>
      </c>
      <c r="J14" s="36">
        <v>7324</v>
      </c>
      <c r="K14" s="39"/>
      <c r="L14" s="39"/>
      <c r="M14" s="2" t="s">
        <v>54</v>
      </c>
    </row>
    <row r="15" spans="2:30">
      <c r="B15" s="6">
        <v>9</v>
      </c>
      <c r="C15" s="6"/>
      <c r="D15" s="23" t="s">
        <v>12</v>
      </c>
      <c r="F15" s="36">
        <v>140</v>
      </c>
      <c r="G15" s="36">
        <v>146</v>
      </c>
      <c r="H15" s="36">
        <v>147</v>
      </c>
      <c r="I15" s="36">
        <v>139</v>
      </c>
      <c r="J15" s="36">
        <v>145</v>
      </c>
      <c r="K15" s="35"/>
      <c r="L15" s="35"/>
      <c r="M15" s="2" t="s">
        <v>54</v>
      </c>
    </row>
    <row r="16" spans="2:30">
      <c r="B16" s="6">
        <v>10</v>
      </c>
      <c r="C16" s="6"/>
      <c r="D16" s="23" t="s">
        <v>11</v>
      </c>
      <c r="F16" s="37">
        <f t="shared" ref="F16:I16" si="0">365/(15+13)*15</f>
        <v>195.53571428571431</v>
      </c>
      <c r="G16" s="37">
        <f t="shared" si="0"/>
        <v>195.53571428571431</v>
      </c>
      <c r="H16" s="37">
        <f t="shared" si="0"/>
        <v>195.53571428571431</v>
      </c>
      <c r="I16" s="37">
        <f t="shared" si="0"/>
        <v>195.53571428571431</v>
      </c>
      <c r="J16" s="37">
        <f>365/(15+13)*15</f>
        <v>195.53571428571431</v>
      </c>
      <c r="K16" s="35"/>
      <c r="L16" s="35"/>
      <c r="M16" s="2" t="s">
        <v>55</v>
      </c>
    </row>
    <row r="17" spans="2:13">
      <c r="B17" s="6">
        <v>11</v>
      </c>
      <c r="C17" s="6"/>
      <c r="D17" s="23" t="s">
        <v>10</v>
      </c>
      <c r="F17" s="38">
        <f t="shared" ref="F17:I17" si="1">F15/F16</f>
        <v>0.71598173515981722</v>
      </c>
      <c r="G17" s="38">
        <f t="shared" si="1"/>
        <v>0.74666666666666659</v>
      </c>
      <c r="H17" s="38">
        <f t="shared" si="1"/>
        <v>0.75178082191780815</v>
      </c>
      <c r="I17" s="38">
        <f t="shared" si="1"/>
        <v>0.71086757990867577</v>
      </c>
      <c r="J17" s="38">
        <f>J15/J16</f>
        <v>0.74155251141552503</v>
      </c>
      <c r="K17" s="35"/>
      <c r="L17" s="35"/>
      <c r="M17" s="2" t="s">
        <v>53</v>
      </c>
    </row>
    <row r="18" spans="2:13">
      <c r="B18" s="6">
        <v>12</v>
      </c>
      <c r="C18" s="6"/>
      <c r="D18" s="23" t="s">
        <v>57</v>
      </c>
      <c r="F18" s="39">
        <v>22063985</v>
      </c>
      <c r="G18" s="39">
        <v>22297489</v>
      </c>
      <c r="H18" s="39">
        <v>23581917</v>
      </c>
      <c r="I18" s="39">
        <v>22002482</v>
      </c>
      <c r="J18" s="39">
        <v>20245370</v>
      </c>
      <c r="K18" s="36"/>
      <c r="L18" s="36"/>
      <c r="M18" s="2" t="s">
        <v>54</v>
      </c>
    </row>
    <row r="19" spans="2:13">
      <c r="B19" s="6">
        <v>13</v>
      </c>
      <c r="C19" s="6"/>
      <c r="D19" s="23" t="s">
        <v>56</v>
      </c>
      <c r="F19" s="39">
        <v>407237</v>
      </c>
      <c r="G19" s="39">
        <v>419126</v>
      </c>
      <c r="H19" s="39">
        <v>423486</v>
      </c>
      <c r="I19" s="39">
        <v>419574</v>
      </c>
      <c r="J19" s="39">
        <v>402219</v>
      </c>
      <c r="K19" s="39"/>
      <c r="L19" s="39"/>
      <c r="M19" s="2" t="s">
        <v>54</v>
      </c>
    </row>
    <row r="20" spans="2:13">
      <c r="B20" s="6"/>
      <c r="C20" s="6"/>
      <c r="D20" s="23"/>
      <c r="F20" s="40"/>
      <c r="G20" s="40"/>
      <c r="H20" s="40"/>
      <c r="I20" s="40"/>
      <c r="J20" s="40"/>
      <c r="K20" s="39"/>
      <c r="L20" s="39"/>
    </row>
    <row r="21" spans="2:13">
      <c r="B21" s="6"/>
      <c r="C21" s="6"/>
    </row>
    <row r="22" spans="2:13">
      <c r="B22" s="2" t="s">
        <v>9</v>
      </c>
    </row>
  </sheetData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showGridLines="0" view="pageBreakPreview" topLeftCell="A5" zoomScale="80" zoomScaleNormal="100" zoomScaleSheetLayoutView="80" workbookViewId="0">
      <selection activeCell="J25" sqref="F25:J25"/>
    </sheetView>
  </sheetViews>
  <sheetFormatPr defaultColWidth="9.140625" defaultRowHeight="12.75"/>
  <cols>
    <col min="1" max="1" width="2.5703125" style="2" customWidth="1"/>
    <col min="2" max="2" width="9.28515625" style="2" bestFit="1" customWidth="1"/>
    <col min="3" max="3" width="1.5703125" style="2" customWidth="1"/>
    <col min="4" max="4" width="51.42578125" style="2" bestFit="1" customWidth="1"/>
    <col min="5" max="5" width="1.7109375" style="2" customWidth="1"/>
    <col min="6" max="6" width="18.28515625" style="2" customWidth="1"/>
    <col min="7" max="7" width="18.42578125" style="2" customWidth="1"/>
    <col min="8" max="8" width="18.5703125" style="2" customWidth="1"/>
    <col min="9" max="9" width="18.42578125" style="2" customWidth="1"/>
    <col min="10" max="10" width="18.28515625" style="2" customWidth="1"/>
    <col min="11" max="11" width="2" style="2" customWidth="1"/>
    <col min="12" max="12" width="52.85546875" style="2" bestFit="1" customWidth="1"/>
    <col min="13" max="14" width="15.28515625" style="2" bestFit="1" customWidth="1"/>
    <col min="15" max="16384" width="9.140625" style="2"/>
  </cols>
  <sheetData>
    <row r="2" spans="2:12">
      <c r="B2" s="3" t="s">
        <v>32</v>
      </c>
      <c r="C2" s="3"/>
      <c r="D2" s="1"/>
      <c r="E2" s="1"/>
      <c r="G2" s="1"/>
      <c r="H2" s="1"/>
      <c r="J2" s="1"/>
      <c r="K2" s="1"/>
      <c r="L2" s="3" t="s">
        <v>82</v>
      </c>
    </row>
    <row r="3" spans="2:12">
      <c r="B3" s="3" t="s">
        <v>79</v>
      </c>
      <c r="C3" s="3"/>
      <c r="D3" s="1"/>
      <c r="E3" s="1"/>
      <c r="G3" s="1"/>
      <c r="H3" s="1"/>
      <c r="J3" s="1"/>
      <c r="K3" s="1"/>
      <c r="L3" s="3" t="s">
        <v>29</v>
      </c>
    </row>
    <row r="4" spans="2:12">
      <c r="B4" s="3" t="s">
        <v>39</v>
      </c>
      <c r="C4" s="3"/>
      <c r="D4" s="1"/>
      <c r="E4" s="1"/>
      <c r="G4" s="1"/>
      <c r="H4" s="1"/>
      <c r="J4" s="1"/>
      <c r="K4" s="1"/>
      <c r="L4" s="3" t="s">
        <v>85</v>
      </c>
    </row>
    <row r="5" spans="2:12">
      <c r="B5" s="1"/>
      <c r="C5" s="1"/>
      <c r="D5" s="1"/>
      <c r="E5" s="1"/>
      <c r="H5" s="1"/>
    </row>
    <row r="6" spans="2:12">
      <c r="B6" s="28" t="s">
        <v>30</v>
      </c>
      <c r="C6" s="5"/>
      <c r="D6" s="4" t="s">
        <v>67</v>
      </c>
      <c r="E6" s="4"/>
      <c r="F6" s="29" t="s">
        <v>68</v>
      </c>
      <c r="G6" s="29" t="s">
        <v>69</v>
      </c>
      <c r="H6" s="29" t="s">
        <v>70</v>
      </c>
      <c r="I6" s="29" t="s">
        <v>71</v>
      </c>
      <c r="J6" s="29" t="s">
        <v>72</v>
      </c>
      <c r="K6" s="29"/>
      <c r="L6" s="29" t="s">
        <v>73</v>
      </c>
    </row>
    <row r="7" spans="2:12">
      <c r="B7" s="6">
        <v>1</v>
      </c>
      <c r="C7" s="6"/>
      <c r="D7" s="6"/>
      <c r="E7" s="6"/>
      <c r="F7" s="30"/>
      <c r="G7" s="30"/>
      <c r="H7" s="30"/>
      <c r="I7" s="30"/>
      <c r="J7" s="30"/>
      <c r="K7" s="30"/>
      <c r="L7" s="30"/>
    </row>
    <row r="8" spans="2:12">
      <c r="B8" s="6">
        <v>2</v>
      </c>
      <c r="C8" s="6"/>
      <c r="D8" s="6"/>
      <c r="E8" s="6"/>
      <c r="F8" s="30"/>
      <c r="G8" s="30"/>
      <c r="H8" s="30"/>
      <c r="I8" s="30"/>
      <c r="J8" s="30"/>
      <c r="K8" s="30"/>
      <c r="L8" s="30"/>
    </row>
    <row r="9" spans="2:12">
      <c r="B9" s="6">
        <v>3</v>
      </c>
      <c r="C9" s="6"/>
      <c r="D9" s="41" t="str">
        <f>'Hist. Info. BPC  Sch 2.2'!D9</f>
        <v>Year</v>
      </c>
      <c r="E9" s="42"/>
      <c r="F9" s="41">
        <f>'Hist. Info. BPC  Sch 2.2'!F9</f>
        <v>2014</v>
      </c>
      <c r="G9" s="41">
        <f>'Hist. Info. BPC  Sch 2.2'!G9</f>
        <v>2015</v>
      </c>
      <c r="H9" s="41">
        <f>'Hist. Info. BPC  Sch 2.2'!H9</f>
        <v>2016</v>
      </c>
      <c r="I9" s="41">
        <f>'Hist. Info. BPC  Sch 2.2'!I9</f>
        <v>2017</v>
      </c>
      <c r="J9" s="41">
        <f>'Hist. Info. BPC  Sch 2.2'!J9</f>
        <v>2018</v>
      </c>
      <c r="K9" s="7"/>
      <c r="L9" s="7" t="s">
        <v>34</v>
      </c>
    </row>
    <row r="10" spans="2:12">
      <c r="B10" s="6">
        <v>4</v>
      </c>
      <c r="C10" s="6"/>
      <c r="D10" s="2" t="str">
        <f>'Hist. Info. BPC  Sch 2.2'!D18</f>
        <v>Total Distributable Net Income</v>
      </c>
      <c r="F10" s="43">
        <f>'Hist. Info. BPC  Sch 2.2'!F18</f>
        <v>22063985</v>
      </c>
      <c r="G10" s="43">
        <f>'Hist. Info. BPC  Sch 2.2'!G18</f>
        <v>22297489</v>
      </c>
      <c r="H10" s="43">
        <f>'Hist. Info. BPC  Sch 2.2'!H18</f>
        <v>23581917</v>
      </c>
      <c r="I10" s="43">
        <f>'Hist. Info. BPC  Sch 2.2'!I18</f>
        <v>22002482</v>
      </c>
      <c r="J10" s="43">
        <f>'Hist. Info. BPC  Sch 2.2'!J18</f>
        <v>20245370</v>
      </c>
      <c r="K10" s="44"/>
      <c r="L10" s="45" t="s">
        <v>46</v>
      </c>
    </row>
    <row r="11" spans="2:12">
      <c r="B11" s="6">
        <v>5</v>
      </c>
      <c r="C11" s="6"/>
      <c r="D11" s="2" t="str">
        <f>'Hist. Info. BPC  Sch 2.2'!D14</f>
        <v>Yearly Assignments</v>
      </c>
      <c r="F11" s="9">
        <f>'Hist. Info. BPC  Sch 2.2'!F14</f>
        <v>7616</v>
      </c>
      <c r="G11" s="9">
        <f>'Hist. Info. BPC  Sch 2.2'!G14</f>
        <v>7627</v>
      </c>
      <c r="H11" s="9">
        <f>'Hist. Info. BPC  Sch 2.2'!H14</f>
        <v>7660</v>
      </c>
      <c r="I11" s="9">
        <f>'Hist. Info. BPC  Sch 2.2'!I14</f>
        <v>7250</v>
      </c>
      <c r="J11" s="9">
        <f>'Hist. Info. BPC  Sch 2.2'!J14</f>
        <v>7324</v>
      </c>
      <c r="K11" s="46"/>
      <c r="L11" s="45" t="s">
        <v>46</v>
      </c>
    </row>
    <row r="12" spans="2:12">
      <c r="B12" s="6">
        <v>6</v>
      </c>
      <c r="C12" s="6"/>
      <c r="D12" s="2" t="s">
        <v>61</v>
      </c>
      <c r="F12" s="43">
        <f t="shared" ref="F12:I12" si="0">F10/F11</f>
        <v>2897.0568539915967</v>
      </c>
      <c r="G12" s="43">
        <f t="shared" si="0"/>
        <v>2923.4940343516455</v>
      </c>
      <c r="H12" s="43">
        <f t="shared" si="0"/>
        <v>3078.5792428198433</v>
      </c>
      <c r="I12" s="43">
        <f t="shared" si="0"/>
        <v>3034.825103448276</v>
      </c>
      <c r="J12" s="43">
        <f>J10/J11</f>
        <v>2764.2504096122339</v>
      </c>
      <c r="K12" s="44"/>
      <c r="L12" s="45" t="s">
        <v>92</v>
      </c>
    </row>
    <row r="13" spans="2:12">
      <c r="B13" s="6">
        <v>7</v>
      </c>
      <c r="C13" s="6"/>
      <c r="D13" s="2" t="s">
        <v>22</v>
      </c>
      <c r="F13" s="9">
        <v>149</v>
      </c>
      <c r="G13" s="9">
        <f t="shared" ref="G13:J13" si="1">F13</f>
        <v>149</v>
      </c>
      <c r="H13" s="9">
        <f t="shared" si="1"/>
        <v>149</v>
      </c>
      <c r="I13" s="9">
        <f t="shared" si="1"/>
        <v>149</v>
      </c>
      <c r="J13" s="9">
        <f t="shared" si="1"/>
        <v>149</v>
      </c>
      <c r="L13" s="45" t="s">
        <v>47</v>
      </c>
    </row>
    <row r="14" spans="2:12">
      <c r="B14" s="6">
        <v>8</v>
      </c>
      <c r="C14" s="6"/>
      <c r="D14" s="2" t="str">
        <f>'Hist. Info. BPC  Sch 2.2'!D15</f>
        <v>Average Assignment Per Pilot</v>
      </c>
      <c r="F14" s="9">
        <f>'Hist. Info. BPC  Sch 2.2'!F15</f>
        <v>140</v>
      </c>
      <c r="G14" s="9">
        <f>'Hist. Info. BPC  Sch 2.2'!G15</f>
        <v>146</v>
      </c>
      <c r="H14" s="9">
        <f>'Hist. Info. BPC  Sch 2.2'!H15</f>
        <v>147</v>
      </c>
      <c r="I14" s="9">
        <f>'Hist. Info. BPC  Sch 2.2'!I15</f>
        <v>139</v>
      </c>
      <c r="J14" s="9">
        <f>'Hist. Info. BPC  Sch 2.2'!J15</f>
        <v>145</v>
      </c>
      <c r="L14" s="45" t="s">
        <v>46</v>
      </c>
    </row>
    <row r="15" spans="2:12">
      <c r="B15" s="6">
        <v>9</v>
      </c>
      <c r="C15" s="6"/>
      <c r="D15" s="2" t="s">
        <v>59</v>
      </c>
      <c r="F15" s="43">
        <f t="shared" ref="F15:I15" si="2">F13*F12</f>
        <v>431661.47124474793</v>
      </c>
      <c r="G15" s="43">
        <f t="shared" si="2"/>
        <v>435600.61111839517</v>
      </c>
      <c r="H15" s="43">
        <f t="shared" si="2"/>
        <v>458708.30718015664</v>
      </c>
      <c r="I15" s="43">
        <f t="shared" si="2"/>
        <v>452188.94041379314</v>
      </c>
      <c r="J15" s="43">
        <f>J13*J12</f>
        <v>411873.31103222282</v>
      </c>
      <c r="K15" s="44"/>
      <c r="L15" s="45" t="s">
        <v>93</v>
      </c>
    </row>
    <row r="16" spans="2:12">
      <c r="B16" s="6">
        <v>10</v>
      </c>
      <c r="C16" s="6"/>
      <c r="D16" s="2" t="s">
        <v>60</v>
      </c>
      <c r="F16" s="43">
        <f t="shared" ref="F16:I16" si="3">F14*F12</f>
        <v>405587.95955882355</v>
      </c>
      <c r="G16" s="43">
        <f t="shared" si="3"/>
        <v>426830.12901534024</v>
      </c>
      <c r="H16" s="43">
        <f t="shared" si="3"/>
        <v>452551.14869451697</v>
      </c>
      <c r="I16" s="43">
        <f t="shared" si="3"/>
        <v>421840.68937931035</v>
      </c>
      <c r="J16" s="43">
        <f>J14*J12</f>
        <v>400816.3093937739</v>
      </c>
      <c r="K16" s="44"/>
      <c r="L16" s="45" t="s">
        <v>94</v>
      </c>
    </row>
    <row r="17" spans="2:12">
      <c r="B17" s="6">
        <v>11</v>
      </c>
      <c r="C17" s="6"/>
      <c r="D17" s="2" t="str">
        <f>'Hist. Info. BPC  Sch 2.2'!D11</f>
        <v>Average # of Pilots</v>
      </c>
      <c r="F17" s="47">
        <f>'Hist. Info. BPC  Sch 2.2'!F11</f>
        <v>54.2</v>
      </c>
      <c r="G17" s="47">
        <f>'Hist. Info. BPC  Sch 2.2'!G11</f>
        <v>53.2</v>
      </c>
      <c r="H17" s="47">
        <f>'Hist. Info. BPC  Sch 2.2'!H11</f>
        <v>52</v>
      </c>
      <c r="I17" s="47">
        <f>'Hist. Info. BPC  Sch 2.2'!I11</f>
        <v>52</v>
      </c>
      <c r="J17" s="47">
        <f>'Hist. Info. BPC  Sch 2.2'!J11</f>
        <v>50.3</v>
      </c>
      <c r="K17" s="14"/>
      <c r="L17" s="45" t="s">
        <v>46</v>
      </c>
    </row>
    <row r="18" spans="2:12">
      <c r="B18" s="6">
        <v>12</v>
      </c>
      <c r="C18" s="6"/>
      <c r="D18" s="2" t="s">
        <v>48</v>
      </c>
      <c r="F18" s="47">
        <f t="shared" ref="F18:I18" si="4">F11/F13+1</f>
        <v>52.114093959731541</v>
      </c>
      <c r="G18" s="47">
        <f t="shared" si="4"/>
        <v>52.187919463087248</v>
      </c>
      <c r="H18" s="47">
        <f t="shared" si="4"/>
        <v>52.409395973154361</v>
      </c>
      <c r="I18" s="47">
        <f t="shared" si="4"/>
        <v>49.65771812080537</v>
      </c>
      <c r="J18" s="47">
        <f>J11/J13+1</f>
        <v>50.154362416107382</v>
      </c>
      <c r="K18" s="14"/>
      <c r="L18" s="45" t="s">
        <v>95</v>
      </c>
    </row>
    <row r="19" spans="2:12">
      <c r="B19" s="6">
        <v>13</v>
      </c>
      <c r="C19" s="6"/>
      <c r="D19" s="2" t="s">
        <v>49</v>
      </c>
      <c r="F19" s="9">
        <f t="shared" ref="F19:I19" si="5">(F17-1)*F13</f>
        <v>7926.8</v>
      </c>
      <c r="G19" s="9">
        <f t="shared" si="5"/>
        <v>7777.8</v>
      </c>
      <c r="H19" s="9">
        <f t="shared" si="5"/>
        <v>7599</v>
      </c>
      <c r="I19" s="9">
        <f t="shared" si="5"/>
        <v>7599</v>
      </c>
      <c r="J19" s="60">
        <f>(J17-1)*J13</f>
        <v>7345.7</v>
      </c>
      <c r="K19" s="46"/>
      <c r="L19" s="45" t="s">
        <v>96</v>
      </c>
    </row>
    <row r="20" spans="2:12">
      <c r="B20" s="6">
        <v>14</v>
      </c>
      <c r="C20" s="6"/>
      <c r="D20" s="2" t="s">
        <v>23</v>
      </c>
      <c r="F20" s="48">
        <f t="shared" ref="F20:I20" si="6">F11/F19</f>
        <v>0.96079123984457782</v>
      </c>
      <c r="G20" s="48">
        <f t="shared" si="6"/>
        <v>0.98061148396718867</v>
      </c>
      <c r="H20" s="48">
        <f t="shared" si="6"/>
        <v>1.0080273720226345</v>
      </c>
      <c r="I20" s="48">
        <f t="shared" si="6"/>
        <v>0.95407290432951708</v>
      </c>
      <c r="J20" s="48">
        <f>J11/J19</f>
        <v>0.99704589079325323</v>
      </c>
      <c r="K20" s="48"/>
      <c r="L20" s="45" t="s">
        <v>97</v>
      </c>
    </row>
    <row r="21" spans="2:12">
      <c r="B21" s="6">
        <v>15</v>
      </c>
      <c r="C21" s="6"/>
      <c r="D21" s="2" t="s">
        <v>66</v>
      </c>
      <c r="F21" s="9">
        <v>315</v>
      </c>
      <c r="G21" s="9">
        <v>730</v>
      </c>
      <c r="H21" s="9">
        <v>827</v>
      </c>
      <c r="I21" s="9">
        <v>772</v>
      </c>
      <c r="J21" s="9">
        <v>1079</v>
      </c>
      <c r="L21" s="45" t="s">
        <v>45</v>
      </c>
    </row>
    <row r="22" spans="2:12">
      <c r="B22" s="6">
        <v>16</v>
      </c>
      <c r="C22" s="6"/>
      <c r="D22" s="2" t="s">
        <v>65</v>
      </c>
      <c r="F22" s="25">
        <f t="shared" ref="F22:I22" si="7">F21*F12</f>
        <v>912572.90900735289</v>
      </c>
      <c r="G22" s="25">
        <f t="shared" si="7"/>
        <v>2134150.6450767014</v>
      </c>
      <c r="H22" s="25">
        <f t="shared" si="7"/>
        <v>2545985.0338120107</v>
      </c>
      <c r="I22" s="25">
        <f t="shared" si="7"/>
        <v>2342884.9798620692</v>
      </c>
      <c r="J22" s="25">
        <f>J21*J12</f>
        <v>2982626.1919716005</v>
      </c>
      <c r="K22" s="49"/>
      <c r="L22" s="45" t="s">
        <v>98</v>
      </c>
    </row>
    <row r="23" spans="2:12">
      <c r="B23" s="6">
        <v>17</v>
      </c>
      <c r="C23" s="6"/>
      <c r="D23" s="2" t="s">
        <v>64</v>
      </c>
      <c r="F23" s="25">
        <f t="shared" ref="F23:I23" si="8">F10-F22</f>
        <v>21151412.090992648</v>
      </c>
      <c r="G23" s="25">
        <f t="shared" si="8"/>
        <v>20163338.3549233</v>
      </c>
      <c r="H23" s="25">
        <f t="shared" si="8"/>
        <v>21035931.966187991</v>
      </c>
      <c r="I23" s="25">
        <f t="shared" si="8"/>
        <v>19659597.020137932</v>
      </c>
      <c r="J23" s="25">
        <f>J10-J22</f>
        <v>17262743.8080284</v>
      </c>
      <c r="K23" s="49"/>
      <c r="L23" s="45" t="s">
        <v>99</v>
      </c>
    </row>
    <row r="24" spans="2:12">
      <c r="B24" s="6">
        <v>18</v>
      </c>
      <c r="C24" s="6"/>
      <c r="D24" s="2" t="s">
        <v>62</v>
      </c>
      <c r="F24" s="25">
        <f t="shared" ref="F24:I24" si="9">F23/F17</f>
        <v>390247.45555336989</v>
      </c>
      <c r="G24" s="25">
        <f t="shared" si="9"/>
        <v>379010.11945344548</v>
      </c>
      <c r="H24" s="25">
        <f t="shared" si="9"/>
        <v>404537.1531959229</v>
      </c>
      <c r="I24" s="25">
        <f t="shared" si="9"/>
        <v>378069.17346419103</v>
      </c>
      <c r="J24" s="25">
        <f>J23/J17</f>
        <v>343195.70194887475</v>
      </c>
      <c r="K24" s="49"/>
      <c r="L24" s="45" t="s">
        <v>100</v>
      </c>
    </row>
    <row r="25" spans="2:12">
      <c r="B25" s="6">
        <v>19</v>
      </c>
      <c r="C25" s="6"/>
      <c r="D25" s="2" t="s">
        <v>63</v>
      </c>
      <c r="F25" s="43">
        <v>430378.97</v>
      </c>
      <c r="G25" s="43">
        <v>418359.83</v>
      </c>
      <c r="H25" s="43">
        <v>440488.84</v>
      </c>
      <c r="I25" s="43">
        <v>401627.75</v>
      </c>
      <c r="J25" s="43">
        <v>357185.66</v>
      </c>
      <c r="K25" s="44"/>
      <c r="L25" s="45" t="s">
        <v>101</v>
      </c>
    </row>
    <row r="26" spans="2:12">
      <c r="B26" s="6"/>
      <c r="C26" s="6"/>
      <c r="F26" s="44"/>
      <c r="G26" s="44"/>
      <c r="H26" s="44"/>
      <c r="I26" s="44"/>
      <c r="J26" s="44"/>
      <c r="K26" s="44"/>
      <c r="L26" s="45"/>
    </row>
    <row r="27" spans="2:12">
      <c r="B27" s="6"/>
      <c r="C27" s="6"/>
      <c r="F27" s="44"/>
      <c r="G27" s="44"/>
      <c r="H27" s="44"/>
      <c r="I27" s="44"/>
      <c r="J27" s="44"/>
      <c r="K27" s="44"/>
      <c r="L27" s="45"/>
    </row>
    <row r="28" spans="2:12" ht="63.75">
      <c r="D28" s="2" t="s">
        <v>34</v>
      </c>
      <c r="F28" s="50" t="s">
        <v>24</v>
      </c>
      <c r="G28" s="50" t="s">
        <v>25</v>
      </c>
      <c r="H28" s="50" t="s">
        <v>26</v>
      </c>
      <c r="I28" s="50" t="s">
        <v>27</v>
      </c>
      <c r="J28" s="50" t="s">
        <v>28</v>
      </c>
      <c r="K28" s="50"/>
      <c r="L28" s="45"/>
    </row>
  </sheetData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9"/>
  <sheetViews>
    <sheetView showGridLines="0" view="pageBreakPreview" zoomScale="90" zoomScaleNormal="100" zoomScaleSheetLayoutView="90" workbookViewId="0">
      <selection activeCell="O12" sqref="O12"/>
    </sheetView>
  </sheetViews>
  <sheetFormatPr defaultColWidth="9.140625" defaultRowHeight="12.75"/>
  <cols>
    <col min="1" max="1" width="2.7109375" style="2" customWidth="1"/>
    <col min="2" max="2" width="7.85546875" style="2" bestFit="1" customWidth="1"/>
    <col min="3" max="3" width="2.28515625" style="5" customWidth="1"/>
    <col min="4" max="4" width="43.140625" style="2" bestFit="1" customWidth="1"/>
    <col min="5" max="5" width="2.28515625" style="2" customWidth="1"/>
    <col min="6" max="6" width="10.42578125" style="2" bestFit="1" customWidth="1"/>
    <col min="7" max="11" width="10.5703125" style="2" bestFit="1" customWidth="1"/>
    <col min="12" max="12" width="2.28515625" style="2" customWidth="1"/>
    <col min="13" max="13" width="8.7109375" style="2" bestFit="1" customWidth="1"/>
    <col min="14" max="14" width="2.28515625" style="2" customWidth="1"/>
    <col min="15" max="15" width="36.140625" style="2" bestFit="1" customWidth="1"/>
    <col min="16" max="16384" width="9.140625" style="2"/>
  </cols>
  <sheetData>
    <row r="2" spans="2:18" s="42" customFormat="1">
      <c r="B2" s="62" t="s">
        <v>32</v>
      </c>
      <c r="C2" s="62"/>
      <c r="D2" s="62"/>
      <c r="E2" s="51"/>
      <c r="I2" s="3"/>
      <c r="L2" s="51"/>
      <c r="M2" s="51"/>
      <c r="N2" s="51"/>
      <c r="O2" s="51" t="s">
        <v>83</v>
      </c>
      <c r="R2" s="3"/>
    </row>
    <row r="3" spans="2:18" s="42" customFormat="1">
      <c r="B3" s="62" t="s">
        <v>41</v>
      </c>
      <c r="C3" s="62"/>
      <c r="D3" s="62"/>
      <c r="I3" s="3"/>
      <c r="O3" s="51" t="s">
        <v>29</v>
      </c>
      <c r="R3" s="3"/>
    </row>
    <row r="4" spans="2:18" s="42" customFormat="1">
      <c r="B4" s="62" t="s">
        <v>40</v>
      </c>
      <c r="C4" s="62"/>
      <c r="D4" s="62"/>
      <c r="E4" s="51"/>
      <c r="I4" s="3"/>
      <c r="L4" s="51"/>
      <c r="M4" s="51"/>
      <c r="N4" s="51"/>
      <c r="O4" s="51" t="s">
        <v>86</v>
      </c>
      <c r="R4" s="3"/>
    </row>
    <row r="5" spans="2:18">
      <c r="B5" s="1"/>
      <c r="C5" s="52"/>
      <c r="I5" s="1"/>
      <c r="R5" s="1"/>
    </row>
    <row r="6" spans="2:18">
      <c r="B6" s="28" t="s">
        <v>30</v>
      </c>
      <c r="D6" s="4" t="s">
        <v>67</v>
      </c>
      <c r="E6" s="4"/>
      <c r="F6" s="29" t="s">
        <v>68</v>
      </c>
      <c r="G6" s="29" t="s">
        <v>69</v>
      </c>
      <c r="H6" s="29" t="s">
        <v>70</v>
      </c>
      <c r="I6" s="29" t="s">
        <v>71</v>
      </c>
      <c r="J6" s="29" t="s">
        <v>72</v>
      </c>
      <c r="K6" s="4" t="s">
        <v>73</v>
      </c>
      <c r="L6" s="4"/>
      <c r="M6" s="4" t="s">
        <v>74</v>
      </c>
      <c r="N6" s="4"/>
      <c r="O6" s="4" t="s">
        <v>75</v>
      </c>
    </row>
    <row r="7" spans="2:18">
      <c r="B7" s="53">
        <v>1</v>
      </c>
      <c r="C7" s="6"/>
    </row>
    <row r="8" spans="2:18">
      <c r="B8" s="6">
        <v>2</v>
      </c>
      <c r="C8" s="6"/>
    </row>
    <row r="9" spans="2:18">
      <c r="B9" s="6">
        <v>3</v>
      </c>
      <c r="C9" s="6"/>
      <c r="D9" s="41" t="s">
        <v>0</v>
      </c>
      <c r="E9" s="33"/>
      <c r="F9" s="54">
        <v>2014</v>
      </c>
      <c r="G9" s="54">
        <v>2015</v>
      </c>
      <c r="H9" s="54">
        <v>2016</v>
      </c>
      <c r="I9" s="54">
        <v>2017</v>
      </c>
      <c r="J9" s="54">
        <v>2018</v>
      </c>
      <c r="K9" s="54">
        <v>2019</v>
      </c>
      <c r="L9" s="33"/>
      <c r="M9" s="33" t="s">
        <v>5</v>
      </c>
      <c r="N9" s="33"/>
      <c r="O9" s="7" t="s">
        <v>34</v>
      </c>
    </row>
    <row r="10" spans="2:18">
      <c r="B10" s="6">
        <v>4</v>
      </c>
      <c r="C10" s="6"/>
      <c r="D10" s="2" t="s">
        <v>1</v>
      </c>
      <c r="E10" s="5"/>
      <c r="F10" s="9">
        <v>2001</v>
      </c>
      <c r="G10" s="9">
        <v>2089</v>
      </c>
      <c r="H10" s="9">
        <v>2097</v>
      </c>
      <c r="I10" s="9">
        <v>2124</v>
      </c>
      <c r="J10" s="9">
        <v>2114</v>
      </c>
      <c r="K10" s="9">
        <v>2114</v>
      </c>
      <c r="L10" s="5"/>
      <c r="M10" s="5"/>
      <c r="N10" s="5"/>
      <c r="O10" s="2" t="s">
        <v>89</v>
      </c>
    </row>
    <row r="11" spans="2:18">
      <c r="B11" s="6">
        <v>5</v>
      </c>
      <c r="C11" s="6"/>
      <c r="D11" s="2" t="s">
        <v>3</v>
      </c>
      <c r="E11" s="5"/>
      <c r="F11" s="55">
        <v>586</v>
      </c>
      <c r="G11" s="55">
        <v>630</v>
      </c>
      <c r="H11" s="55">
        <v>665</v>
      </c>
      <c r="I11" s="55">
        <v>658</v>
      </c>
      <c r="J11" s="55">
        <v>686</v>
      </c>
      <c r="K11" s="55">
        <v>677</v>
      </c>
      <c r="L11" s="5"/>
      <c r="M11" s="5"/>
      <c r="N11" s="5"/>
      <c r="O11" s="2" t="s">
        <v>90</v>
      </c>
    </row>
    <row r="12" spans="2:18" ht="13.5" thickBot="1">
      <c r="B12" s="6">
        <v>6</v>
      </c>
      <c r="C12" s="6"/>
      <c r="D12" s="2" t="s">
        <v>76</v>
      </c>
      <c r="E12" s="5"/>
      <c r="F12" s="56">
        <f t="shared" ref="F12:K12" si="0">SUM(F10:F11)</f>
        <v>2587</v>
      </c>
      <c r="G12" s="56">
        <f t="shared" si="0"/>
        <v>2719</v>
      </c>
      <c r="H12" s="56">
        <f t="shared" si="0"/>
        <v>2762</v>
      </c>
      <c r="I12" s="56">
        <f t="shared" si="0"/>
        <v>2782</v>
      </c>
      <c r="J12" s="56">
        <f t="shared" si="0"/>
        <v>2800</v>
      </c>
      <c r="K12" s="56">
        <f t="shared" si="0"/>
        <v>2791</v>
      </c>
      <c r="L12" s="5"/>
      <c r="M12" s="5"/>
      <c r="N12" s="5"/>
      <c r="O12" s="2" t="s">
        <v>50</v>
      </c>
    </row>
    <row r="13" spans="2:18" ht="13.5" thickTop="1">
      <c r="B13" s="6">
        <v>7</v>
      </c>
      <c r="C13" s="6"/>
      <c r="E13" s="5"/>
      <c r="F13" s="9"/>
      <c r="G13" s="9"/>
      <c r="H13" s="9"/>
      <c r="I13" s="9"/>
      <c r="J13" s="9"/>
      <c r="K13" s="9"/>
      <c r="L13" s="5"/>
      <c r="M13" s="5"/>
      <c r="N13" s="5"/>
    </row>
    <row r="14" spans="2:18">
      <c r="B14" s="6">
        <v>8</v>
      </c>
      <c r="C14" s="6"/>
      <c r="D14" s="2" t="s">
        <v>44</v>
      </c>
      <c r="E14" s="57"/>
      <c r="F14" s="58"/>
      <c r="G14" s="58">
        <f t="shared" ref="G14" si="1">(G12/F12)-1</f>
        <v>5.1024352531890305E-2</v>
      </c>
      <c r="H14" s="58">
        <f t="shared" ref="H14" si="2">(H12/G12)-1</f>
        <v>1.5814637734461234E-2</v>
      </c>
      <c r="I14" s="58">
        <f t="shared" ref="I14" si="3">(I12/H12)-1</f>
        <v>7.2411296162200323E-3</v>
      </c>
      <c r="J14" s="58">
        <f t="shared" ref="J14" si="4">(J12/I12)-1</f>
        <v>6.470165348670065E-3</v>
      </c>
      <c r="K14" s="58">
        <f>(K12/J12)-1</f>
        <v>-3.2142857142857251E-3</v>
      </c>
      <c r="L14" s="57"/>
      <c r="M14" s="57">
        <f>M15/SUM(F12:K12)</f>
        <v>1.2408004379295663E-2</v>
      </c>
      <c r="N14" s="57"/>
      <c r="O14" s="2" t="s">
        <v>51</v>
      </c>
    </row>
    <row r="15" spans="2:18">
      <c r="B15" s="6">
        <v>9</v>
      </c>
      <c r="C15" s="6"/>
      <c r="D15" s="2" t="s">
        <v>4</v>
      </c>
      <c r="E15" s="13"/>
      <c r="F15" s="9"/>
      <c r="G15" s="9">
        <f t="shared" ref="G15:J15" si="5">G12-F12</f>
        <v>132</v>
      </c>
      <c r="H15" s="9">
        <f t="shared" si="5"/>
        <v>43</v>
      </c>
      <c r="I15" s="9">
        <f t="shared" si="5"/>
        <v>20</v>
      </c>
      <c r="J15" s="9">
        <f t="shared" si="5"/>
        <v>18</v>
      </c>
      <c r="K15" s="9">
        <f>K12-J12</f>
        <v>-9</v>
      </c>
      <c r="L15" s="13"/>
      <c r="M15" s="13">
        <f>SUM(F15:K15)</f>
        <v>204</v>
      </c>
      <c r="N15" s="13"/>
      <c r="O15" s="2" t="s">
        <v>52</v>
      </c>
    </row>
    <row r="17" spans="4:7">
      <c r="D17" s="61"/>
      <c r="E17" s="61"/>
      <c r="F17" s="61"/>
      <c r="G17" s="61"/>
    </row>
    <row r="18" spans="4:7">
      <c r="D18" s="59" t="s">
        <v>21</v>
      </c>
      <c r="E18" s="59"/>
      <c r="F18" s="59"/>
      <c r="G18" s="59"/>
    </row>
    <row r="19" spans="4:7">
      <c r="D19" s="61" t="s">
        <v>2</v>
      </c>
      <c r="E19" s="61"/>
      <c r="F19" s="61"/>
    </row>
  </sheetData>
  <mergeCells count="5">
    <mergeCell ref="D19:F19"/>
    <mergeCell ref="B3:D3"/>
    <mergeCell ref="B2:D2"/>
    <mergeCell ref="B4:D4"/>
    <mergeCell ref="D17:G17"/>
  </mergeCells>
  <pageMargins left="0.7" right="0.7" top="1" bottom="0.75" header="0.3" footer="0.3"/>
  <pageSetup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2020-05-27T23:15:54+00:00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AD42D-6B0F-42CD-99B0-85CA57CBD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CCB14-6F8B-4F55-8FD3-9F0159A1E2E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0689114-bdb9-4146-803a-240f5368dce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D8597D-1D31-4E77-B98B-17FB9B651A5F}"/>
</file>

<file path=customXml/itemProps4.xml><?xml version="1.0" encoding="utf-8"?>
<ds:datastoreItem xmlns:ds="http://schemas.openxmlformats.org/officeDocument/2006/customXml" ds:itemID="{0AD349A1-2A52-443E-96B7-01F38DFEC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AHADC Sch 2.1 </vt:lpstr>
      <vt:lpstr>Hist. Info. BPC  Sch 2.2</vt:lpstr>
      <vt:lpstr>Calc. Adj. Hist. Dist Sch 2.3</vt:lpstr>
      <vt:lpstr>Hist VEAT Report Sch 2.4</vt:lpstr>
      <vt:lpstr>'AHADC Sch 2.1 '!Print_Area</vt:lpstr>
      <vt:lpstr>'Hist. Info. BPC  Sch 2.2'!Print_Area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Sevall, Scott (UTC)</dc:creator>
  <cp:lastModifiedBy>Sevall, Scott (UTC)</cp:lastModifiedBy>
  <cp:lastPrinted>2020-05-06T18:38:59Z</cp:lastPrinted>
  <dcterms:created xsi:type="dcterms:W3CDTF">2020-04-07T17:38:49Z</dcterms:created>
  <dcterms:modified xsi:type="dcterms:W3CDTF">2020-05-26T20:34:32Z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{533EBB52-ADF7-4381-8B7D-544690416105}</vt:lpwstr>
  </property>
  <property fmtid="{D5CDD505-2E9C-101B-9397-08002B2CF9AE}" pid="3" name="ContentTypeId">
    <vt:lpwstr>0x0101006E56B4D1795A2E4DB2F0B01679ED314A000B45DDC509B45C478FAB6DD6BD075772</vt:lpwstr>
  </property>
  <property fmtid="{D5CDD505-2E9C-101B-9397-08002B2CF9AE}" pid="4" name="Document Type">
    <vt:lpwstr>Exhibit</vt:lpwstr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2" name="_docset_NoMedatataSyncRequired">
    <vt:lpwstr>False</vt:lpwstr>
  </property>
  <property fmtid="{D5CDD505-2E9C-101B-9397-08002B2CF9AE}" pid="23" name="IsEFSEC">
    <vt:bool>false</vt:bool>
  </property>
</Properties>
</file>