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threadedComments/threadedComment2.xml" ContentType="application/vnd.ms-excel.threadedcomments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G:\WORK\KROGER\WASHINGTON\UE-240004 (Puget 2024 Rate Case)\"/>
    </mc:Choice>
  </mc:AlternateContent>
  <xr:revisionPtr revIDLastSave="0" documentId="8_{829AE629-699A-46AA-8C09-AC0AB7EF2547}" xr6:coauthVersionLast="47" xr6:coauthVersionMax="47" xr10:uidLastSave="{00000000-0000-0000-0000-000000000000}"/>
  <bookViews>
    <workbookView xWindow="-120" yWindow="-120" windowWidth="25440" windowHeight="15270" tabRatio="914" xr2:uid="{AD913D61-7B30-43DC-9B5E-B8F3206229AD}"/>
  </bookViews>
  <sheets>
    <sheet name="COS Class of Rev" sheetId="3" r:id="rId1"/>
    <sheet name="Rate Design (PSE)" sheetId="5" r:id="rId2"/>
    <sheet name="Rate Design (Kro)" sheetId="6" r:id="rId3"/>
    <sheet name="Sch 26 Bill Impact (PSE)" sheetId="13" r:id="rId4"/>
    <sheet name="Sch 26 Bill Impact (Kro)" sheetId="1" r:id="rId5"/>
    <sheet name="Table JB-1" sheetId="7" r:id="rId6"/>
    <sheet name="Table JB-2" sheetId="8" r:id="rId7"/>
    <sheet name="Table JB-3" sheetId="9" r:id="rId8"/>
    <sheet name="Table JB-4" sheetId="18" r:id="rId9"/>
    <sheet name="Table JB-5" sheetId="17" r:id="rId10"/>
    <sheet name="Exhibit JB-2" sheetId="15" r:id="rId11"/>
    <sheet name="Exhibit JB-3" sheetId="16" r:id="rId12"/>
  </sheets>
  <definedNames>
    <definedName name="__________________six6" hidden="1">{#N/A,#N/A,FALSE,"CRPT";#N/A,#N/A,FALSE,"TREND";#N/A,#N/A,FALSE,"%Curve"}</definedName>
    <definedName name="__________________www1" hidden="1">{#N/A,#N/A,FALSE,"schA"}</definedName>
    <definedName name="_________________six6" hidden="1">{#N/A,#N/A,FALSE,"CRPT";#N/A,#N/A,FALSE,"TREND";#N/A,#N/A,FALSE,"%Curve"}</definedName>
    <definedName name="_________________www1" hidden="1">{#N/A,#N/A,FALSE,"schA"}</definedName>
    <definedName name="________________six6" hidden="1">{#N/A,#N/A,FALSE,"CRPT";#N/A,#N/A,FALSE,"TREND";#N/A,#N/A,FALSE,"%Curve"}</definedName>
    <definedName name="________________www1" hidden="1">{#N/A,#N/A,FALSE,"schA"}</definedName>
    <definedName name="_______________six6" hidden="1">{#N/A,#N/A,FALSE,"CRPT";#N/A,#N/A,FALSE,"TREND";#N/A,#N/A,FALSE,"%Curve"}</definedName>
    <definedName name="_______________www1" hidden="1">{#N/A,#N/A,FALSE,"schA"}</definedName>
    <definedName name="______________six6" hidden="1">{#N/A,#N/A,FALSE,"CRPT";#N/A,#N/A,FALSE,"TREND";#N/A,#N/A,FALSE,"%Curve"}</definedName>
    <definedName name="______________www1" hidden="1">{#N/A,#N/A,FALSE,"schA"}</definedName>
    <definedName name="_____________six6" hidden="1">{#N/A,#N/A,FALSE,"CRPT";#N/A,#N/A,FALSE,"TREND";#N/A,#N/A,FALSE,"%Curve"}</definedName>
    <definedName name="_____________www1" hidden="1">{#N/A,#N/A,FALSE,"schA"}</definedName>
    <definedName name="____________six6" hidden="1">{#N/A,#N/A,FALSE,"CRPT";#N/A,#N/A,FALSE,"TREND";#N/A,#N/A,FALSE,"%Curve"}</definedName>
    <definedName name="____________www1" hidden="1">{#N/A,#N/A,FALSE,"schA"}</definedName>
    <definedName name="___________six6" hidden="1">{#N/A,#N/A,FALSE,"CRPT";#N/A,#N/A,FALSE,"TREND";#N/A,#N/A,FALSE,"%Curve"}</definedName>
    <definedName name="___________www1" hidden="1">{#N/A,#N/A,FALSE,"schA"}</definedName>
    <definedName name="__________six6" hidden="1">{#N/A,#N/A,FALSE,"CRPT";#N/A,#N/A,FALSE,"TREND";#N/A,#N/A,FALSE,"%Curve"}</definedName>
    <definedName name="__________www1" hidden="1">{#N/A,#N/A,FALSE,"schA"}</definedName>
    <definedName name="_________six6" hidden="1">{#N/A,#N/A,FALSE,"CRPT";#N/A,#N/A,FALSE,"TREND";#N/A,#N/A,FALSE,"%Curve"}</definedName>
    <definedName name="_________www1" hidden="1">{#N/A,#N/A,FALSE,"schA"}</definedName>
    <definedName name="________six6" hidden="1">{#N/A,#N/A,FALSE,"CRPT";#N/A,#N/A,FALSE,"TREND";#N/A,#N/A,FALSE,"%Curve"}</definedName>
    <definedName name="________www1" hidden="1">{#N/A,#N/A,FALSE,"schA"}</definedName>
    <definedName name="_______ex1" hidden="1">{#N/A,#N/A,FALSE,"Summ";#N/A,#N/A,FALSE,"General"}</definedName>
    <definedName name="_______new1" hidden="1">{#N/A,#N/A,FALSE,"Summ";#N/A,#N/A,FALSE,"General"}</definedName>
    <definedName name="_______six6" hidden="1">{#N/A,#N/A,FALSE,"CRPT";#N/A,#N/A,FALSE,"TREND";#N/A,#N/A,FALSE,"%Curve"}</definedName>
    <definedName name="_______www1" hidden="1">{#N/A,#N/A,FALSE,"schA"}</definedName>
    <definedName name="______ex1" hidden="1">{#N/A,#N/A,FALSE,"Summ";#N/A,#N/A,FALSE,"General"}</definedName>
    <definedName name="______new1" hidden="1">{#N/A,#N/A,FALSE,"Summ";#N/A,#N/A,FALSE,"General"}</definedName>
    <definedName name="______six6" hidden="1">{#N/A,#N/A,FALSE,"CRPT";#N/A,#N/A,FALSE,"TREND";#N/A,#N/A,FALSE,"%Curve"}</definedName>
    <definedName name="______www1" hidden="1">{#N/A,#N/A,FALSE,"schA"}</definedName>
    <definedName name="_____ex1" hidden="1">{#N/A,#N/A,FALSE,"Summ";#N/A,#N/A,FALSE,"General"}</definedName>
    <definedName name="_____new1" hidden="1">{#N/A,#N/A,FALSE,"Summ";#N/A,#N/A,FALSE,"General"}</definedName>
    <definedName name="_____six6" hidden="1">{#N/A,#N/A,FALSE,"CRPT";#N/A,#N/A,FALSE,"TREND";#N/A,#N/A,FALSE,"%Curve"}</definedName>
    <definedName name="_____www1" hidden="1">{#N/A,#N/A,FALSE,"schA"}</definedName>
    <definedName name="____ex1" hidden="1">{#N/A,#N/A,FALSE,"Summ";#N/A,#N/A,FALSE,"General"}</definedName>
    <definedName name="____new1" hidden="1">{#N/A,#N/A,FALSE,"Summ";#N/A,#N/A,FALSE,"General"}</definedName>
    <definedName name="____six6" hidden="1">{#N/A,#N/A,FALSE,"CRPT";#N/A,#N/A,FALSE,"TREND";#N/A,#N/A,FALSE,"%Curve"}</definedName>
    <definedName name="____www1" hidden="1">{#N/A,#N/A,FALSE,"schA"}</definedName>
    <definedName name="___ex1" hidden="1">{#N/A,#N/A,FALSE,"Summ";#N/A,#N/A,FALSE,"General"}</definedName>
    <definedName name="___new1" hidden="1">{#N/A,#N/A,FALSE,"Summ";#N/A,#N/A,FALSE,"General"}</definedName>
    <definedName name="___six6" hidden="1">{#N/A,#N/A,FALSE,"CRPT";#N/A,#N/A,FALSE,"TREND";#N/A,#N/A,FALSE,"%Curve"}</definedName>
    <definedName name="___www1" hidden="1">{#N/A,#N/A,FALSE,"schA"}</definedName>
    <definedName name="__123Graph_A" hidden="1">#REF!</definedName>
    <definedName name="__123Graph_ABUDG6_DSCRPR" hidden="1">#REF!</definedName>
    <definedName name="__123Graph_ABUDG6_ESCRPR1" hidden="1">#REF!</definedName>
    <definedName name="__123Graph_B" hidden="1">#REF!</definedName>
    <definedName name="__123Graph_BBUDG6_DSCRPR" hidden="1">#REF!</definedName>
    <definedName name="__123Graph_BBUDG6_ESCRPR1" hidden="1">#REF!</definedName>
    <definedName name="__123Graph_D" hidden="1">#REF!</definedName>
    <definedName name="__123Graph_ECURRENT" hidden="1">#REF!</definedName>
    <definedName name="__123Graph_X" hidden="1">#REF!</definedName>
    <definedName name="__123Graph_XBUDG6_DSCRPR" hidden="1">#REF!</definedName>
    <definedName name="__123Graph_XBUDG6_ESCRPR1" hidden="1">#REF!</definedName>
    <definedName name="__ex1" hidden="1">{#N/A,#N/A,FALSE,"Summ";#N/A,#N/A,FALSE,"General"}</definedName>
    <definedName name="__new1" hidden="1">{#N/A,#N/A,FALSE,"Summ";#N/A,#N/A,FALSE,"General"}</definedName>
    <definedName name="__six6" hidden="1">{#N/A,#N/A,FALSE,"CRPT";#N/A,#N/A,FALSE,"TREND";#N/A,#N/A,FALSE,"%Curve"}</definedName>
    <definedName name="__www1" hidden="1">{#N/A,#N/A,FALSE,"schA"}</definedName>
    <definedName name="_1__123Graph_ABUDG6_D_ESCRPR" hidden="1">#REF!</definedName>
    <definedName name="_2__123Graph_ABUDG6_Dtons_inv" hidden="1">#REF!</definedName>
    <definedName name="_3__123Graph_ABUDG6_Dtons_inv" hidden="1">#REF!</definedName>
    <definedName name="_3__123Graph_BBUDG6_D_ESCRPR" hidden="1">#REF!</definedName>
    <definedName name="_4__123Graph_ABUDG6_Dtons_inv" hidden="1">#REF!</definedName>
    <definedName name="_4__123Graph_BBUDG6_Dtons_inv" hidden="1">#REF!</definedName>
    <definedName name="_5__123Graph_CBUDG6_D_ESCRPR" hidden="1">#REF!</definedName>
    <definedName name="_6__123Graph_CBUDG6_D_ESCRPR" hidden="1">#REF!</definedName>
    <definedName name="_6__123Graph_DBUDG6_D_ESCRPR" hidden="1">#REF!</definedName>
    <definedName name="_7__123Graph_CBUDG6_D_ESCRPR" hidden="1">#REF!</definedName>
    <definedName name="_7__123Graph_DBUDG6_D_ESCRPR" hidden="1">#REF!</definedName>
    <definedName name="_7__123Graph_XBUDG6_D_ESCRPR" hidden="1">#REF!</definedName>
    <definedName name="_8__123Graph_DBUDG6_D_ESCRPR" hidden="1">#REF!</definedName>
    <definedName name="_8__123Graph_XBUDG6_Dtons_inv" hidden="1">#REF!</definedName>
    <definedName name="_ex1" hidden="1">{#N/A,#N/A,FALSE,"Summ";#N/A,#N/A,FALSE,"General"}</definedName>
    <definedName name="_Fill" hidden="1">#REF!</definedName>
    <definedName name="_Key1" hidden="1">#REF!</definedName>
    <definedName name="_Key2" hidden="1">#REF!</definedName>
    <definedName name="_new1" hidden="1">{#N/A,#N/A,FALSE,"Summ";#N/A,#N/A,FALSE,"General"}</definedName>
    <definedName name="_Parse_In" hidden="1">#REF!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aa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AAAAAAAAAAA" hidden="1">{#N/A,#N/A,FALSE,"Coversheet";#N/A,#N/A,FALSE,"QA"}</definedName>
    <definedName name="Alloc_Factor_Name">#REF!</definedName>
    <definedName name="anscount" hidden="1">1</definedName>
    <definedName name="b" hidden="1">{#N/A,#N/A,FALSE,"Coversheet";#N/A,#N/A,FALSE,"QA"}</definedName>
    <definedName name="BEm" hidden="1">#REF!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7PESEESXVMDCGGIP5LPMUGY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L" hidden="1">{#N/A,#N/A,FALSE,"Cover Sheet";"Use of Equipment",#N/A,FALSE,"Area C";"Equipment Hours",#N/A,FALSE,"All";"Summary",#N/A,FALSE,"All"}</definedName>
    <definedName name="blet" hidden="1">{#N/A,#N/A,FALSE,"Cover Sheet";"Use of Equipment",#N/A,FALSE,"Area C";"Equipment Hours",#N/A,FALSE,"All";"Summary",#N/A,FALSE,"All"}</definedName>
    <definedName name="bleth" hidden="1">{#N/A,#N/A,FALSE,"Cover Sheet";"Use of Equipment",#N/A,FALSE,"Area C";"Equipment Hours",#N/A,FALSE,"All";"Summary",#N/A,FALSE,"All"}</definedName>
    <definedName name="Bum" hidden="1">#REF!</definedName>
    <definedName name="CBWorkbookPriority">-1894858854</definedName>
    <definedName name="Check_Limit">#REF!</definedName>
    <definedName name="CIQWBGuid" hidden="1">"6df3e850-8dab-470e-b8f1-07d8a1fa8102"</definedName>
    <definedName name="Class_Factor_Names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" hidden="1">{#N/A,#N/A,FALSE,"CESTSUM";#N/A,#N/A,FALSE,"est sum A";#N/A,#N/A,FALSE,"est detail A"}</definedName>
    <definedName name="DFIT" hidden="1">{#N/A,#N/A,FALSE,"Coversheet";#N/A,#N/A,FALSE,"QA"}</definedName>
    <definedName name="DUDE" hidden="1">#REF!</definedName>
    <definedName name="ee" hidden="1">{#N/A,#N/A,FALSE,"Month ";#N/A,#N/A,FALSE,"YTD";#N/A,#N/A,FALSE,"12 mo ended"}</definedName>
    <definedName name="error" hidden="1">{#N/A,#N/A,FALSE,"Coversheet";#N/A,#N/A,FALSE,"QA"}</definedName>
    <definedName name="Estimate" hidden="1">{#N/A,#N/A,FALSE,"Summ";#N/A,#N/A,FALSE,"General"}</definedName>
    <definedName name="ex" hidden="1">{#N/A,#N/A,FALSE,"Summ";#N/A,#N/A,FALSE,"General"}</definedName>
    <definedName name="F" hidden="1">#REF!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fff" hidden="1">{#N/A,#N/A,FALSE,"Coversheet";#N/A,#N/A,FALSE,"QA"}</definedName>
    <definedName name="fffgf" hidden="1">{#N/A,#N/A,FALSE,"Coversheet";#N/A,#N/A,FALSE,"QA"}</definedName>
    <definedName name="Func_Factor_Name">#REF!</definedName>
    <definedName name="gary" hidden="1">{#N/A,#N/A,FALSE,"Cover Sheet";"Use of Equipment",#N/A,FALSE,"Area C";"Equipment Hours",#N/A,FALSE,"All";"Summary",#N/A,FALSE,"All"}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HTML_CodePage">1252</definedName>
    <definedName name="HTML_Control">{"'3P'!$A$1:$L$58"}</definedName>
    <definedName name="HTML_Description">""</definedName>
    <definedName name="HTML_Email">""</definedName>
    <definedName name="HTML_Header">"Attachment 3P"</definedName>
    <definedName name="HTML_LastUpdate">"09/20/2000"</definedName>
    <definedName name="HTML_LineAfter">FALSE</definedName>
    <definedName name="HTML_LineBefore">FALSE</definedName>
    <definedName name="HTML_Name">"BV"</definedName>
    <definedName name="HTML_OBDlg2">TRUE</definedName>
    <definedName name="HTML_OBDlg4">TRUE</definedName>
    <definedName name="HTML_OS">0</definedName>
    <definedName name="HTML_PathFile">"E:\BV Users_D\a50 - Design Engineering\50.2000, Guidelines\MyHTML.htm"</definedName>
    <definedName name="HTML_Title">"51_2101, a3"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LATESTK">1000</definedName>
    <definedName name="IQ_LATESTQ">500</definedName>
    <definedName name="IQ_LTMMONTH">120000</definedName>
    <definedName name="IQ_TODAY">0</definedName>
    <definedName name="IQ_YTDMONTH">130000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hidden="1">{#N/A,#N/A,FALSE,"Summ";#N/A,#N/A,FALSE,"General"}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 hidden="1">1</definedName>
    <definedName name="lookup" hidden="1">{#N/A,#N/A,FALSE,"Coversheet";#N/A,#N/A,FALSE,"QA"}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NOYT" hidden="1">{#N/A,#N/A,FALSE,"Cover Sheet";"Use of Equipment",#N/A,FALSE,"Area C";"Equipment Hours",#N/A,FALSE,"All";"Summary",#N/A,FALSE,"All"}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10">'Exhibit JB-2'!$A$7:$J$39,'Exhibit JB-2'!$A$41:$J$61</definedName>
    <definedName name="_xlnm.Print_Area" localSheetId="11">'Exhibit JB-3'!$A$1:$I$33</definedName>
    <definedName name="_xlnm.Print_Area" localSheetId="2">'Rate Design (Kro)'!$A$1:$U$392</definedName>
    <definedName name="_xlnm.Print_Area" localSheetId="1">'Rate Design (PSE)'!$A$1:$U$392</definedName>
    <definedName name="_xlnm.Print_Titles" localSheetId="10">'Exhibit JB-2'!$1:$6</definedName>
    <definedName name="_xlnm.Print_Titles" localSheetId="2">'Rate Design (Kro)'!$A:$B,'Rate Design (Kro)'!$1:$10</definedName>
    <definedName name="_xlnm.Print_Titles" localSheetId="1">'Rate Design (PSE)'!$A:$B,'Rate Design (PSE)'!$1:$10</definedName>
    <definedName name="q" hidden="1">{#N/A,#N/A,FALSE,"Coversheet";#N/A,#N/A,FALSE,"QA"}</definedName>
    <definedName name="qqq" hidden="1">{#N/A,#N/A,FALSE,"schA"}</definedName>
    <definedName name="rec_weco_gl_contract_aug99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tail_CC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OR_System">#REF!</definedName>
    <definedName name="sdlfhsdlhfkl" hidden="1">{#N/A,#N/A,FALSE,"Summ";#N/A,#N/A,FALSE,"General"}</definedName>
    <definedName name="seven" hidden="1">{#N/A,#N/A,FALSE,"CRPT";#N/A,#N/A,FALSE,"TREND";#N/A,#N/A,FALSE,"%Curve"}</definedName>
    <definedName name="six" hidden="1">{#N/A,#N/A,FALSE,"Drill Sites";"WP 212",#N/A,FALSE,"MWAG EOR";"WP 213",#N/A,FALSE,"MWAG EOR";#N/A,#N/A,FALSE,"Misc. Facility";#N/A,#N/A,FALSE,"WWTP"}</definedName>
    <definedName name="sue" hidden="1">{#N/A,#N/A,FALSE,"Cover Sheet";"Use of Equipment",#N/A,FALSE,"Area C";"Equipment Hours",#N/A,FALSE,"All";"Summary",#N/A,FALSE,"All"}</definedName>
    <definedName name="susan" hidden="1">{#N/A,#N/A,FALSE,"Cover Sheet";"Use of Equipment",#N/A,FALSE,"Area C";"Equipment Hours",#N/A,FALSE,"All";"Summary",#N/A,FALSE,"All"}</definedName>
    <definedName name="t" hidden="1">{#N/A,#N/A,FALSE,"CESTSUM";#N/A,#N/A,FALSE,"est sum A";#N/A,#N/A,FALSE,"est detail A"}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OC_INDEX">#REF!</definedName>
    <definedName name="TOTALCustomerSheets">OFFSET(#REF!,,,12-COUNTBLANK(#REF!))</definedName>
    <definedName name="TOTALDemandSheets">OFFSET(#REF!,,,12-COUNTBLANK(#REF!))</definedName>
    <definedName name="TOTALECSheets">OFFSET(#REF!,,,12-COUNTBLANK(#REF!))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{#N/A,#N/A,FALSE,"Summ";#N/A,#N/A,FALSE,"General"}</definedName>
    <definedName name="v" hidden="1">{#N/A,#N/A,FALSE,"Coversheet";#N/A,#N/A,FALSE,"QA"}</definedName>
    <definedName name="Value" hidden="1">{#N/A,#N/A,FALSE,"Summ";#N/A,#N/A,FALSE,"General"}</definedName>
    <definedName name="w" hidden="1">{#N/A,#N/A,FALSE,"Schedule F";#N/A,#N/A,FALSE,"Schedule G"}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nual._.Cost._.Adjustment.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Productivity._.Calc.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AREA._.INCOME.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Budget._.Model.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Cost._.Adjustment." hidden="1">{#N/A,#N/A,FALSE,"Cost Adjustment 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Depreciation." hidden="1">{#N/A,#N/A,TRUE,"Depreciation Summary";#N/A,#N/A,TRUE,"18, 21 &amp; 22 Depreciation";#N/A,#N/A,TRUE,"11 &amp; 12 Depreciation"}</definedName>
    <definedName name="wrn.ECR." hidden="1">{#N/A,#N/A,FALSE,"schA"}</definedName>
    <definedName name="wrn.ESTIMATE." hidden="1">{#N/A,#N/A,FALSE,"CESTSUM";#N/A,#N/A,FALSE,"est sum A";#N/A,#N/A,FALSE,"est detail A"}</definedName>
    <definedName name="wrn.Forecast.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ining._.Flexibility." hidden="1">{#N/A,#N/A,FALSE,"Cover Sheet";"Use of Equipment",#N/A,FALSE,"Area C";"Equipment Hours",#N/A,FALSE,"All";"Summary",#N/A,FALSE,"All"}</definedName>
    <definedName name="wrn.Miscellaneous._.Schedules.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roductivity.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_.Calculation.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emi._.Annual._.Cost._.Adj.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Prod._.Calc.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test.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rueup._.excluding._.Production.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hidden="1">{#N/A,#N/A,FALSE,"schA"}</definedName>
    <definedName name="x" hidden="1">{#N/A,#N/A,FALSE,"Coversheet";#N/A,#N/A,FALSE,"QA"}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hidden="1">{#N/A,#N/A,FALSE,"Summ";#N/A,#N/A,FALSE,"General"}</definedName>
    <definedName name="z" hidden="1">{#N/A,#N/A,FALSE,"Coversheet";#N/A,#N/A,FALSE,"QA"}</definedName>
    <definedName name="zzz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5" l="1"/>
  <c r="G7" i="16"/>
  <c r="B8" i="17"/>
  <c r="B7" i="18"/>
  <c r="B8" i="8"/>
  <c r="B6" i="18"/>
  <c r="B5" i="18"/>
  <c r="B4" i="18"/>
  <c r="B7" i="17"/>
  <c r="B6" i="17"/>
  <c r="B5" i="17"/>
  <c r="Y80" i="6"/>
  <c r="W80" i="6"/>
  <c r="B7" i="8"/>
  <c r="B6" i="8"/>
  <c r="B5" i="8"/>
  <c r="F25" i="3"/>
  <c r="F26" i="3"/>
  <c r="F24" i="3"/>
  <c r="F10" i="16" l="1"/>
  <c r="G10" i="16"/>
  <c r="F14" i="16"/>
  <c r="G14" i="16"/>
  <c r="F18" i="16"/>
  <c r="G18" i="16"/>
  <c r="F22" i="16"/>
  <c r="G22" i="16"/>
  <c r="F26" i="16"/>
  <c r="G26" i="16"/>
  <c r="F30" i="16"/>
  <c r="G30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7" i="16"/>
  <c r="D9" i="16"/>
  <c r="D8" i="16"/>
  <c r="B8" i="16"/>
  <c r="B9" i="16" s="1"/>
  <c r="A8" i="16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D7" i="16"/>
  <c r="B11" i="16" l="1"/>
  <c r="D12" i="16" l="1"/>
  <c r="B12" i="16"/>
  <c r="D11" i="16"/>
  <c r="D13" i="16"/>
  <c r="B13" i="16" l="1"/>
  <c r="B15" i="16" l="1"/>
  <c r="D16" i="16" l="1"/>
  <c r="D17" i="16"/>
  <c r="B16" i="16"/>
  <c r="D15" i="16"/>
  <c r="B17" i="16" l="1"/>
  <c r="B19" i="16" l="1"/>
  <c r="D20" i="16" l="1"/>
  <c r="D19" i="16"/>
  <c r="B20" i="16"/>
  <c r="D21" i="16"/>
  <c r="B21" i="16" l="1"/>
  <c r="B23" i="16" l="1"/>
  <c r="D24" i="16" l="1"/>
  <c r="B24" i="16"/>
  <c r="D25" i="16"/>
  <c r="D23" i="16"/>
  <c r="B25" i="16" l="1"/>
  <c r="B27" i="16" l="1"/>
  <c r="D28" i="16" l="1"/>
  <c r="D29" i="16"/>
  <c r="B28" i="16"/>
  <c r="D27" i="16"/>
  <c r="B29" i="16" l="1"/>
  <c r="B31" i="16" l="1"/>
  <c r="B32" i="16" l="1"/>
  <c r="D33" i="16"/>
  <c r="D31" i="16"/>
  <c r="D32" i="16"/>
  <c r="B33" i="16" l="1"/>
  <c r="H58" i="15"/>
  <c r="G58" i="15"/>
  <c r="H44" i="15"/>
  <c r="G44" i="15"/>
  <c r="H43" i="15"/>
  <c r="G43" i="15"/>
  <c r="I43" i="15" s="1"/>
  <c r="F15" i="15"/>
  <c r="F14" i="15"/>
  <c r="H22" i="15"/>
  <c r="G22" i="15"/>
  <c r="I22" i="15" s="1"/>
  <c r="H10" i="15"/>
  <c r="G10" i="15"/>
  <c r="J14" i="15"/>
  <c r="J15" i="15"/>
  <c r="J49" i="15"/>
  <c r="J50" i="15"/>
  <c r="F59" i="15"/>
  <c r="G59" i="15"/>
  <c r="E55" i="15"/>
  <c r="D55" i="15"/>
  <c r="C55" i="15"/>
  <c r="I50" i="15"/>
  <c r="I49" i="15"/>
  <c r="F48" i="15"/>
  <c r="E48" i="15"/>
  <c r="E51" i="15" s="1"/>
  <c r="D48" i="15"/>
  <c r="D51" i="15" s="1"/>
  <c r="C48" i="15"/>
  <c r="C51" i="15" s="1"/>
  <c r="F45" i="15"/>
  <c r="E44" i="15"/>
  <c r="D44" i="15"/>
  <c r="C44" i="15"/>
  <c r="E37" i="15"/>
  <c r="D37" i="15"/>
  <c r="C37" i="15"/>
  <c r="E32" i="15"/>
  <c r="D32" i="15"/>
  <c r="C32" i="15"/>
  <c r="E20" i="15"/>
  <c r="D20" i="15"/>
  <c r="C20" i="15"/>
  <c r="I15" i="15"/>
  <c r="I14" i="15"/>
  <c r="E13" i="15"/>
  <c r="E16" i="15" s="1"/>
  <c r="D13" i="15"/>
  <c r="D16" i="15" s="1"/>
  <c r="C13" i="15"/>
  <c r="C16" i="15" s="1"/>
  <c r="A7" i="15"/>
  <c r="A8" i="15" s="1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2" i="15" s="1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56" i="15" s="1"/>
  <c r="A57" i="15" s="1"/>
  <c r="A58" i="15" s="1"/>
  <c r="A59" i="15" s="1"/>
  <c r="A60" i="15" s="1"/>
  <c r="A61" i="15" s="1"/>
  <c r="H5" i="15"/>
  <c r="G5" i="15"/>
  <c r="F5" i="15"/>
  <c r="I58" i="15" l="1"/>
  <c r="I59" i="15" s="1"/>
  <c r="J5" i="15"/>
  <c r="J58" i="15"/>
  <c r="J59" i="15" s="1"/>
  <c r="I5" i="15"/>
  <c r="J44" i="15"/>
  <c r="J22" i="15"/>
  <c r="J43" i="15"/>
  <c r="J10" i="15"/>
  <c r="S51" i="13"/>
  <c r="P51" i="13"/>
  <c r="N51" i="13"/>
  <c r="T26" i="13"/>
  <c r="Q26" i="13"/>
  <c r="T25" i="13"/>
  <c r="Q25" i="13"/>
  <c r="T24" i="13"/>
  <c r="Q24" i="13"/>
  <c r="T23" i="13"/>
  <c r="Q23" i="13"/>
  <c r="T22" i="13"/>
  <c r="Q22" i="13"/>
  <c r="T21" i="13"/>
  <c r="Q21" i="13"/>
  <c r="S18" i="13"/>
  <c r="T18" i="13" s="1"/>
  <c r="Q18" i="13"/>
  <c r="P18" i="13"/>
  <c r="N18" i="13"/>
  <c r="T16" i="13"/>
  <c r="S16" i="13"/>
  <c r="Q16" i="13"/>
  <c r="P16" i="13"/>
  <c r="N16" i="13"/>
  <c r="S15" i="13"/>
  <c r="P15" i="13"/>
  <c r="N15" i="13"/>
  <c r="T14" i="13"/>
  <c r="S14" i="13"/>
  <c r="Q14" i="13"/>
  <c r="P14" i="13"/>
  <c r="N14" i="13"/>
  <c r="S12" i="13"/>
  <c r="P12" i="13"/>
  <c r="T12" i="13" s="1"/>
  <c r="N12" i="13"/>
  <c r="D12" i="13"/>
  <c r="D11" i="13"/>
  <c r="B11" i="13"/>
  <c r="B12" i="13" s="1"/>
  <c r="A11" i="13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S10" i="13"/>
  <c r="P10" i="13"/>
  <c r="N10" i="13"/>
  <c r="D10" i="13"/>
  <c r="F10" i="13" s="1"/>
  <c r="H59" i="15" l="1"/>
  <c r="J45" i="15"/>
  <c r="I44" i="15"/>
  <c r="I45" i="15" s="1"/>
  <c r="G45" i="15"/>
  <c r="H45" i="15"/>
  <c r="G12" i="13"/>
  <c r="B14" i="13"/>
  <c r="F12" i="13"/>
  <c r="T10" i="13"/>
  <c r="G10" i="13"/>
  <c r="J10" i="13" s="1"/>
  <c r="Q12" i="13"/>
  <c r="H11" i="13"/>
  <c r="K11" i="13" s="1"/>
  <c r="G11" i="13"/>
  <c r="J11" i="13" s="1"/>
  <c r="H12" i="13"/>
  <c r="K12" i="13" s="1"/>
  <c r="F11" i="13"/>
  <c r="H10" i="13"/>
  <c r="Q10" i="13"/>
  <c r="D16" i="13" l="1"/>
  <c r="D15" i="13"/>
  <c r="D14" i="13"/>
  <c r="H14" i="13" s="1"/>
  <c r="B15" i="13"/>
  <c r="K10" i="13"/>
  <c r="J12" i="13"/>
  <c r="G15" i="13" l="1"/>
  <c r="F15" i="13"/>
  <c r="B16" i="13"/>
  <c r="H15" i="13"/>
  <c r="K15" i="13" s="1"/>
  <c r="F14" i="13"/>
  <c r="G14" i="13"/>
  <c r="J14" i="13" s="1"/>
  <c r="K14" i="13" l="1"/>
  <c r="B18" i="13"/>
  <c r="G16" i="13"/>
  <c r="F16" i="13"/>
  <c r="H16" i="13"/>
  <c r="K16" i="13" s="1"/>
  <c r="J15" i="13"/>
  <c r="J16" i="13" l="1"/>
  <c r="F18" i="13"/>
  <c r="D18" i="13"/>
  <c r="D20" i="13"/>
  <c r="G18" i="13"/>
  <c r="J18" i="13" s="1"/>
  <c r="D19" i="13"/>
  <c r="B19" i="13"/>
  <c r="H18" i="13"/>
  <c r="K18" i="13" s="1"/>
  <c r="G19" i="13" l="1"/>
  <c r="F19" i="13"/>
  <c r="B20" i="13"/>
  <c r="H19" i="13"/>
  <c r="K19" i="13" s="1"/>
  <c r="B22" i="13" l="1"/>
  <c r="F20" i="13"/>
  <c r="G20" i="13"/>
  <c r="J20" i="13" s="1"/>
  <c r="H20" i="13"/>
  <c r="K20" i="13" s="1"/>
  <c r="J19" i="13"/>
  <c r="D23" i="13" l="1"/>
  <c r="B23" i="13"/>
  <c r="D24" i="13"/>
  <c r="D22" i="13"/>
  <c r="G22" i="13" s="1"/>
  <c r="F22" i="13" l="1"/>
  <c r="J22" i="13" s="1"/>
  <c r="H22" i="13"/>
  <c r="K22" i="13" s="1"/>
  <c r="B24" i="13"/>
  <c r="G23" i="13"/>
  <c r="H23" i="13"/>
  <c r="K23" i="13" s="1"/>
  <c r="F23" i="13"/>
  <c r="J23" i="13" l="1"/>
  <c r="B26" i="13"/>
  <c r="H24" i="13"/>
  <c r="F24" i="13"/>
  <c r="G24" i="13"/>
  <c r="J24" i="13" s="1"/>
  <c r="D26" i="13" l="1"/>
  <c r="G26" i="13" s="1"/>
  <c r="J26" i="13" s="1"/>
  <c r="D27" i="13"/>
  <c r="D28" i="13"/>
  <c r="B27" i="13"/>
  <c r="F26" i="13"/>
  <c r="K24" i="13"/>
  <c r="B28" i="13" l="1"/>
  <c r="G27" i="13"/>
  <c r="H27" i="13"/>
  <c r="K27" i="13" s="1"/>
  <c r="F27" i="13"/>
  <c r="H26" i="13"/>
  <c r="K26" i="13" s="1"/>
  <c r="J27" i="13" l="1"/>
  <c r="F28" i="13"/>
  <c r="B30" i="13"/>
  <c r="G28" i="13"/>
  <c r="J28" i="13" s="1"/>
  <c r="H28" i="13"/>
  <c r="K28" i="13" l="1"/>
  <c r="D31" i="13"/>
  <c r="B31" i="13"/>
  <c r="D32" i="13"/>
  <c r="D30" i="13"/>
  <c r="F30" i="13" s="1"/>
  <c r="G30" i="13" l="1"/>
  <c r="J30" i="13" s="1"/>
  <c r="H30" i="13"/>
  <c r="K30" i="13" s="1"/>
  <c r="B32" i="13"/>
  <c r="F31" i="13"/>
  <c r="G31" i="13"/>
  <c r="J31" i="13" s="1"/>
  <c r="H31" i="13"/>
  <c r="K31" i="13" s="1"/>
  <c r="B34" i="13" l="1"/>
  <c r="F32" i="13"/>
  <c r="G32" i="13"/>
  <c r="J32" i="13" s="1"/>
  <c r="H32" i="13"/>
  <c r="K32" i="13" s="1"/>
  <c r="D36" i="13" l="1"/>
  <c r="D35" i="13"/>
  <c r="B35" i="13"/>
  <c r="D34" i="13"/>
  <c r="G34" i="13"/>
  <c r="H34" i="13"/>
  <c r="F34" i="13"/>
  <c r="J34" i="13" l="1"/>
  <c r="K34" i="13"/>
  <c r="F35" i="13"/>
  <c r="B36" i="13"/>
  <c r="G35" i="13"/>
  <c r="J35" i="13" s="1"/>
  <c r="H35" i="13"/>
  <c r="K35" i="13" s="1"/>
  <c r="F36" i="13" l="1"/>
  <c r="G36" i="13"/>
  <c r="H36" i="13"/>
  <c r="K36" i="13" s="1"/>
  <c r="C8" i="9"/>
  <c r="C7" i="9"/>
  <c r="C6" i="9"/>
  <c r="C5" i="9"/>
  <c r="D96" i="5"/>
  <c r="D95" i="5"/>
  <c r="J36" i="13" l="1"/>
  <c r="C7" i="7" l="1"/>
  <c r="C6" i="7"/>
  <c r="C5" i="7"/>
  <c r="C4" i="7"/>
  <c r="H80" i="6"/>
  <c r="F5" i="9" l="1"/>
  <c r="P21" i="1"/>
  <c r="N389" i="6"/>
  <c r="K381" i="6"/>
  <c r="E381" i="6"/>
  <c r="D381" i="6"/>
  <c r="C381" i="6"/>
  <c r="P380" i="6"/>
  <c r="O380" i="6"/>
  <c r="M380" i="6"/>
  <c r="L380" i="6"/>
  <c r="G380" i="6"/>
  <c r="P379" i="6"/>
  <c r="O379" i="6"/>
  <c r="M379" i="6"/>
  <c r="L379" i="6"/>
  <c r="G379" i="6"/>
  <c r="S378" i="6"/>
  <c r="R378" i="6"/>
  <c r="P378" i="6"/>
  <c r="P381" i="6" s="1"/>
  <c r="S384" i="6" s="1"/>
  <c r="O378" i="6"/>
  <c r="O381" i="6" s="1"/>
  <c r="R384" i="6" s="1"/>
  <c r="M378" i="6"/>
  <c r="L378" i="6"/>
  <c r="L381" i="6" s="1"/>
  <c r="R382" i="6" s="1"/>
  <c r="R383" i="6" s="1"/>
  <c r="I378" i="6"/>
  <c r="H378" i="6"/>
  <c r="K369" i="6"/>
  <c r="P366" i="6"/>
  <c r="O366" i="6"/>
  <c r="M366" i="6"/>
  <c r="L366" i="6"/>
  <c r="M365" i="6"/>
  <c r="L365" i="6"/>
  <c r="M363" i="6"/>
  <c r="L363" i="6"/>
  <c r="K361" i="6"/>
  <c r="E361" i="6"/>
  <c r="D361" i="6"/>
  <c r="C361" i="6"/>
  <c r="G360" i="6"/>
  <c r="M360" i="6" s="1"/>
  <c r="M359" i="6"/>
  <c r="L359" i="6"/>
  <c r="G359" i="6"/>
  <c r="G358" i="6"/>
  <c r="P356" i="6"/>
  <c r="O356" i="6"/>
  <c r="M356" i="6"/>
  <c r="L356" i="6"/>
  <c r="K356" i="6"/>
  <c r="P346" i="6"/>
  <c r="P348" i="6" s="1"/>
  <c r="S351" i="6" s="1"/>
  <c r="O346" i="6"/>
  <c r="O348" i="6" s="1"/>
  <c r="R351" i="6" s="1"/>
  <c r="E346" i="6"/>
  <c r="D346" i="6"/>
  <c r="C346" i="6"/>
  <c r="P345" i="6"/>
  <c r="O345" i="6"/>
  <c r="G345" i="6"/>
  <c r="P344" i="6"/>
  <c r="O344" i="6"/>
  <c r="M344" i="6"/>
  <c r="L344" i="6"/>
  <c r="K344" i="6"/>
  <c r="P343" i="6"/>
  <c r="O343" i="6"/>
  <c r="M343" i="6"/>
  <c r="L343" i="6"/>
  <c r="K343" i="6"/>
  <c r="K346" i="6" s="1"/>
  <c r="K348" i="6" s="1"/>
  <c r="S340" i="6"/>
  <c r="I340" i="6"/>
  <c r="H340" i="6"/>
  <c r="G340" i="6"/>
  <c r="R340" i="6" s="1"/>
  <c r="S338" i="6"/>
  <c r="R338" i="6"/>
  <c r="P338" i="6"/>
  <c r="O338" i="6"/>
  <c r="M338" i="6"/>
  <c r="L338" i="6"/>
  <c r="K338" i="6"/>
  <c r="I338" i="6"/>
  <c r="O329" i="6"/>
  <c r="M329" i="6"/>
  <c r="P329" i="6" s="1"/>
  <c r="L329" i="6"/>
  <c r="P327" i="6"/>
  <c r="O327" i="6"/>
  <c r="M327" i="6"/>
  <c r="L327" i="6"/>
  <c r="K327" i="6"/>
  <c r="K325" i="6"/>
  <c r="K331" i="6" s="1"/>
  <c r="E325" i="6"/>
  <c r="D325" i="6"/>
  <c r="C325" i="6"/>
  <c r="P324" i="6"/>
  <c r="O324" i="6"/>
  <c r="G324" i="6"/>
  <c r="P323" i="6"/>
  <c r="P325" i="6" s="1"/>
  <c r="O323" i="6"/>
  <c r="O325" i="6" s="1"/>
  <c r="M323" i="6"/>
  <c r="L323" i="6"/>
  <c r="G323" i="6"/>
  <c r="P322" i="6"/>
  <c r="O322" i="6"/>
  <c r="G322" i="6"/>
  <c r="M322" i="6" s="1"/>
  <c r="P321" i="6"/>
  <c r="O321" i="6"/>
  <c r="M321" i="6"/>
  <c r="L321" i="6"/>
  <c r="K321" i="6"/>
  <c r="S319" i="6"/>
  <c r="R319" i="6"/>
  <c r="O319" i="6"/>
  <c r="M319" i="6"/>
  <c r="L319" i="6"/>
  <c r="K319" i="6"/>
  <c r="I319" i="6"/>
  <c r="P319" i="6" s="1"/>
  <c r="S309" i="6"/>
  <c r="I309" i="6" s="1"/>
  <c r="P309" i="6"/>
  <c r="O309" i="6"/>
  <c r="M309" i="6"/>
  <c r="L309" i="6"/>
  <c r="K309" i="6"/>
  <c r="H309" i="6"/>
  <c r="L307" i="6"/>
  <c r="K307" i="6"/>
  <c r="K311" i="6" s="1"/>
  <c r="E307" i="6"/>
  <c r="D307" i="6"/>
  <c r="C307" i="6"/>
  <c r="P306" i="6"/>
  <c r="O306" i="6"/>
  <c r="M306" i="6"/>
  <c r="M307" i="6" s="1"/>
  <c r="M311" i="6" s="1"/>
  <c r="L306" i="6"/>
  <c r="G306" i="6"/>
  <c r="M305" i="6"/>
  <c r="L305" i="6"/>
  <c r="K305" i="6"/>
  <c r="G298" i="6"/>
  <c r="G297" i="6"/>
  <c r="S291" i="6"/>
  <c r="M291" i="6"/>
  <c r="L291" i="6"/>
  <c r="K291" i="6"/>
  <c r="H291" i="6"/>
  <c r="M289" i="6"/>
  <c r="M293" i="6" s="1"/>
  <c r="K289" i="6"/>
  <c r="K293" i="6" s="1"/>
  <c r="E289" i="6"/>
  <c r="D289" i="6"/>
  <c r="C289" i="6"/>
  <c r="P288" i="6"/>
  <c r="O288" i="6"/>
  <c r="G288" i="6"/>
  <c r="M288" i="6" s="1"/>
  <c r="M287" i="6"/>
  <c r="L287" i="6"/>
  <c r="K287" i="6"/>
  <c r="S274" i="6"/>
  <c r="M274" i="6"/>
  <c r="L274" i="6"/>
  <c r="K274" i="6"/>
  <c r="H274" i="6"/>
  <c r="O274" i="6" s="1"/>
  <c r="S272" i="6"/>
  <c r="M272" i="6"/>
  <c r="L272" i="6"/>
  <c r="K272" i="6"/>
  <c r="H272" i="6"/>
  <c r="O272" i="6" s="1"/>
  <c r="M270" i="6"/>
  <c r="L270" i="6"/>
  <c r="K270" i="6"/>
  <c r="G280" i="6" s="1"/>
  <c r="E270" i="6"/>
  <c r="D270" i="6"/>
  <c r="C270" i="6"/>
  <c r="S269" i="6"/>
  <c r="M269" i="6"/>
  <c r="L269" i="6"/>
  <c r="K269" i="6"/>
  <c r="H269" i="6"/>
  <c r="K267" i="6"/>
  <c r="E267" i="6"/>
  <c r="P266" i="6"/>
  <c r="O266" i="6"/>
  <c r="G266" i="6"/>
  <c r="P265" i="6"/>
  <c r="O265" i="6"/>
  <c r="M265" i="6"/>
  <c r="L265" i="6"/>
  <c r="G265" i="6"/>
  <c r="L264" i="6"/>
  <c r="K264" i="6"/>
  <c r="E264" i="6"/>
  <c r="D264" i="6"/>
  <c r="D267" i="6" s="1"/>
  <c r="C264" i="6"/>
  <c r="C267" i="6" s="1"/>
  <c r="M263" i="6"/>
  <c r="M264" i="6" s="1"/>
  <c r="L263" i="6"/>
  <c r="K263" i="6"/>
  <c r="S261" i="6"/>
  <c r="M261" i="6"/>
  <c r="L261" i="6"/>
  <c r="K261" i="6"/>
  <c r="K276" i="6" s="1"/>
  <c r="H261" i="6"/>
  <c r="S249" i="6"/>
  <c r="M249" i="6"/>
  <c r="L249" i="6"/>
  <c r="K249" i="6"/>
  <c r="H249" i="6"/>
  <c r="O249" i="6" s="1"/>
  <c r="M247" i="6"/>
  <c r="L247" i="6"/>
  <c r="K247" i="6"/>
  <c r="G255" i="6" s="1"/>
  <c r="E247" i="6"/>
  <c r="D247" i="6"/>
  <c r="C247" i="6"/>
  <c r="S246" i="6"/>
  <c r="R246" i="6"/>
  <c r="M246" i="6"/>
  <c r="L246" i="6"/>
  <c r="K246" i="6"/>
  <c r="H246" i="6"/>
  <c r="O246" i="6" s="1"/>
  <c r="O247" i="6" s="1"/>
  <c r="H255" i="6" s="1"/>
  <c r="S245" i="6"/>
  <c r="M245" i="6"/>
  <c r="L245" i="6"/>
  <c r="K245" i="6"/>
  <c r="H245" i="6"/>
  <c r="O245" i="6" s="1"/>
  <c r="C243" i="6"/>
  <c r="P242" i="6"/>
  <c r="O242" i="6"/>
  <c r="G242" i="6"/>
  <c r="M242" i="6" s="1"/>
  <c r="P241" i="6"/>
  <c r="O241" i="6"/>
  <c r="G241" i="6"/>
  <c r="M241" i="6" s="1"/>
  <c r="M240" i="6"/>
  <c r="M243" i="6" s="1"/>
  <c r="M251" i="6" s="1"/>
  <c r="L240" i="6"/>
  <c r="K240" i="6"/>
  <c r="K243" i="6" s="1"/>
  <c r="E240" i="6"/>
  <c r="E243" i="6" s="1"/>
  <c r="D240" i="6"/>
  <c r="D243" i="6" s="1"/>
  <c r="C240" i="6"/>
  <c r="M239" i="6"/>
  <c r="L239" i="6"/>
  <c r="K239" i="6"/>
  <c r="S237" i="6"/>
  <c r="M237" i="6"/>
  <c r="L237" i="6"/>
  <c r="K237" i="6"/>
  <c r="H237" i="6"/>
  <c r="O237" i="6" s="1"/>
  <c r="O230" i="6"/>
  <c r="L227" i="6" s="1"/>
  <c r="P229" i="6"/>
  <c r="L229" i="6"/>
  <c r="P228" i="6"/>
  <c r="L228" i="6"/>
  <c r="H219" i="6" s="1"/>
  <c r="H214" i="6" s="1"/>
  <c r="H224" i="6" s="1"/>
  <c r="P227" i="6"/>
  <c r="P230" i="6" s="1"/>
  <c r="G225" i="6"/>
  <c r="G224" i="6"/>
  <c r="M221" i="6"/>
  <c r="L221" i="6"/>
  <c r="K221" i="6"/>
  <c r="E221" i="6"/>
  <c r="D221" i="6"/>
  <c r="C221" i="6"/>
  <c r="M220" i="6"/>
  <c r="L220" i="6"/>
  <c r="K220" i="6"/>
  <c r="R219" i="6"/>
  <c r="R220" i="6" s="1"/>
  <c r="M219" i="6"/>
  <c r="L219" i="6"/>
  <c r="K219" i="6"/>
  <c r="L216" i="6"/>
  <c r="L223" i="6" s="1"/>
  <c r="K216" i="6"/>
  <c r="K223" i="6" s="1"/>
  <c r="E216" i="6"/>
  <c r="D216" i="6"/>
  <c r="C216" i="6"/>
  <c r="M215" i="6"/>
  <c r="L215" i="6"/>
  <c r="K215" i="6"/>
  <c r="M214" i="6"/>
  <c r="L214" i="6"/>
  <c r="K214" i="6"/>
  <c r="S201" i="6"/>
  <c r="M201" i="6"/>
  <c r="L201" i="6"/>
  <c r="K201" i="6"/>
  <c r="H201" i="6"/>
  <c r="O201" i="6" s="1"/>
  <c r="E199" i="6"/>
  <c r="D199" i="6"/>
  <c r="C199" i="6"/>
  <c r="S198" i="6"/>
  <c r="R198" i="6"/>
  <c r="M198" i="6"/>
  <c r="L198" i="6"/>
  <c r="K198" i="6"/>
  <c r="H198" i="6"/>
  <c r="S197" i="6"/>
  <c r="P197" i="6"/>
  <c r="O197" i="6"/>
  <c r="M197" i="6"/>
  <c r="M199" i="6" s="1"/>
  <c r="L197" i="6"/>
  <c r="L199" i="6" s="1"/>
  <c r="K197" i="6"/>
  <c r="K199" i="6" s="1"/>
  <c r="G207" i="6" s="1"/>
  <c r="I197" i="6"/>
  <c r="H197" i="6"/>
  <c r="K195" i="6"/>
  <c r="P194" i="6"/>
  <c r="O194" i="6"/>
  <c r="G194" i="6"/>
  <c r="M194" i="6" s="1"/>
  <c r="P193" i="6"/>
  <c r="O193" i="6"/>
  <c r="G193" i="6"/>
  <c r="M193" i="6" s="1"/>
  <c r="M195" i="6" s="1"/>
  <c r="M203" i="6" s="1"/>
  <c r="P192" i="6"/>
  <c r="O192" i="6"/>
  <c r="L192" i="6"/>
  <c r="G192" i="6"/>
  <c r="M192" i="6" s="1"/>
  <c r="L191" i="6"/>
  <c r="K191" i="6"/>
  <c r="E191" i="6"/>
  <c r="E195" i="6" s="1"/>
  <c r="D191" i="6"/>
  <c r="D195" i="6" s="1"/>
  <c r="C191" i="6"/>
  <c r="C195" i="6" s="1"/>
  <c r="M190" i="6"/>
  <c r="M191" i="6" s="1"/>
  <c r="L190" i="6"/>
  <c r="K190" i="6"/>
  <c r="S188" i="6"/>
  <c r="P188" i="6"/>
  <c r="O188" i="6"/>
  <c r="M188" i="6"/>
  <c r="L188" i="6"/>
  <c r="K188" i="6"/>
  <c r="I188" i="6"/>
  <c r="H188" i="6"/>
  <c r="G181" i="6"/>
  <c r="G180" i="6"/>
  <c r="S177" i="6"/>
  <c r="O177" i="6"/>
  <c r="M177" i="6"/>
  <c r="L177" i="6"/>
  <c r="K177" i="6"/>
  <c r="H177" i="6"/>
  <c r="M175" i="6"/>
  <c r="L175" i="6"/>
  <c r="K175" i="6"/>
  <c r="E175" i="6"/>
  <c r="D175" i="6"/>
  <c r="C175" i="6"/>
  <c r="R174" i="6"/>
  <c r="M174" i="6"/>
  <c r="L174" i="6"/>
  <c r="K174" i="6"/>
  <c r="H174" i="6"/>
  <c r="O174" i="6" s="1"/>
  <c r="S173" i="6"/>
  <c r="S174" i="6" s="1"/>
  <c r="M173" i="6"/>
  <c r="L173" i="6"/>
  <c r="K173" i="6"/>
  <c r="H173" i="6"/>
  <c r="D171" i="6"/>
  <c r="P170" i="6"/>
  <c r="O170" i="6"/>
  <c r="M170" i="6"/>
  <c r="L170" i="6"/>
  <c r="P169" i="6"/>
  <c r="O169" i="6"/>
  <c r="M169" i="6"/>
  <c r="L169" i="6"/>
  <c r="K169" i="6"/>
  <c r="P168" i="6"/>
  <c r="O168" i="6"/>
  <c r="M168" i="6"/>
  <c r="L168" i="6"/>
  <c r="K168" i="6"/>
  <c r="E167" i="6"/>
  <c r="E171" i="6" s="1"/>
  <c r="D167" i="6"/>
  <c r="C167" i="6"/>
  <c r="C171" i="6" s="1"/>
  <c r="M166" i="6"/>
  <c r="L166" i="6"/>
  <c r="K166" i="6"/>
  <c r="M165" i="6"/>
  <c r="L165" i="6"/>
  <c r="K165" i="6"/>
  <c r="M164" i="6"/>
  <c r="L164" i="6"/>
  <c r="K164" i="6"/>
  <c r="M163" i="6"/>
  <c r="M167" i="6" s="1"/>
  <c r="M171" i="6" s="1"/>
  <c r="L163" i="6"/>
  <c r="K163" i="6"/>
  <c r="K167" i="6" s="1"/>
  <c r="K171" i="6" s="1"/>
  <c r="L161" i="6"/>
  <c r="E161" i="6"/>
  <c r="D161" i="6"/>
  <c r="C161" i="6"/>
  <c r="S160" i="6"/>
  <c r="R160" i="6"/>
  <c r="H160" i="6" s="1"/>
  <c r="O160" i="6" s="1"/>
  <c r="M160" i="6"/>
  <c r="L160" i="6"/>
  <c r="K160" i="6"/>
  <c r="K161" i="6" s="1"/>
  <c r="I160" i="6"/>
  <c r="P160" i="6" s="1"/>
  <c r="S159" i="6"/>
  <c r="O159" i="6"/>
  <c r="M159" i="6"/>
  <c r="M161" i="6" s="1"/>
  <c r="L159" i="6"/>
  <c r="K159" i="6"/>
  <c r="H159" i="6"/>
  <c r="I152" i="6"/>
  <c r="H152" i="6"/>
  <c r="G152" i="6"/>
  <c r="I151" i="6"/>
  <c r="H151" i="6"/>
  <c r="G151" i="6"/>
  <c r="I150" i="6"/>
  <c r="H150" i="6"/>
  <c r="O143" i="6"/>
  <c r="M143" i="6"/>
  <c r="L143" i="6"/>
  <c r="K143" i="6"/>
  <c r="H143" i="6"/>
  <c r="G143" i="6"/>
  <c r="S142" i="6"/>
  <c r="I142" i="6" s="1"/>
  <c r="R142" i="6"/>
  <c r="H142" i="6" s="1"/>
  <c r="O142" i="6"/>
  <c r="M142" i="6"/>
  <c r="L142" i="6"/>
  <c r="K142" i="6"/>
  <c r="E139" i="6"/>
  <c r="D139" i="6"/>
  <c r="C139" i="6"/>
  <c r="M138" i="6"/>
  <c r="L138" i="6"/>
  <c r="K138" i="6"/>
  <c r="R137" i="6"/>
  <c r="H137" i="6" s="1"/>
  <c r="G53" i="15" s="1"/>
  <c r="I53" i="15" s="1"/>
  <c r="M137" i="6"/>
  <c r="M139" i="6" s="1"/>
  <c r="L137" i="6"/>
  <c r="L139" i="6" s="1"/>
  <c r="K137" i="6"/>
  <c r="K139" i="6" s="1"/>
  <c r="E135" i="6"/>
  <c r="D135" i="6"/>
  <c r="C135" i="6"/>
  <c r="P134" i="6"/>
  <c r="O134" i="6"/>
  <c r="M134" i="6"/>
  <c r="L134" i="6"/>
  <c r="K134" i="6"/>
  <c r="P133" i="6"/>
  <c r="O133" i="6"/>
  <c r="M133" i="6"/>
  <c r="L133" i="6"/>
  <c r="K133" i="6"/>
  <c r="K135" i="6" s="1"/>
  <c r="M132" i="6"/>
  <c r="M135" i="6" s="1"/>
  <c r="L132" i="6"/>
  <c r="L135" i="6" s="1"/>
  <c r="K132" i="6"/>
  <c r="G132" i="6"/>
  <c r="E132" i="6"/>
  <c r="D132" i="6"/>
  <c r="C132" i="6"/>
  <c r="M131" i="6"/>
  <c r="L131" i="6"/>
  <c r="K131" i="6"/>
  <c r="G129" i="6"/>
  <c r="M128" i="6"/>
  <c r="L128" i="6"/>
  <c r="K128" i="6"/>
  <c r="E128" i="6"/>
  <c r="D128" i="6"/>
  <c r="C128" i="6"/>
  <c r="R127" i="6"/>
  <c r="H127" i="6" s="1"/>
  <c r="O127" i="6" s="1"/>
  <c r="M127" i="6"/>
  <c r="L127" i="6"/>
  <c r="L129" i="6" s="1"/>
  <c r="K127" i="6"/>
  <c r="K129" i="6" s="1"/>
  <c r="O121" i="6"/>
  <c r="L119" i="6" s="1"/>
  <c r="P120" i="6"/>
  <c r="L120" i="6"/>
  <c r="P119" i="6"/>
  <c r="P118" i="6"/>
  <c r="P121" i="6" s="1"/>
  <c r="L118" i="6"/>
  <c r="G116" i="6"/>
  <c r="G115" i="6"/>
  <c r="L112" i="6"/>
  <c r="E112" i="6"/>
  <c r="D112" i="6"/>
  <c r="C112" i="6"/>
  <c r="S111" i="6"/>
  <c r="R111" i="6"/>
  <c r="M111" i="6"/>
  <c r="M112" i="6" s="1"/>
  <c r="L111" i="6"/>
  <c r="K111" i="6"/>
  <c r="S110" i="6"/>
  <c r="M110" i="6"/>
  <c r="L110" i="6"/>
  <c r="K110" i="6"/>
  <c r="K112" i="6" s="1"/>
  <c r="E107" i="6"/>
  <c r="D107" i="6"/>
  <c r="C107" i="6"/>
  <c r="M106" i="6"/>
  <c r="L106" i="6"/>
  <c r="L107" i="6" s="1"/>
  <c r="L114" i="6" s="1"/>
  <c r="K106" i="6"/>
  <c r="M105" i="6"/>
  <c r="L105" i="6"/>
  <c r="K105" i="6"/>
  <c r="S92" i="6"/>
  <c r="O92" i="6"/>
  <c r="M92" i="6"/>
  <c r="L92" i="6"/>
  <c r="K92" i="6"/>
  <c r="H92" i="6"/>
  <c r="I92" i="6" s="1"/>
  <c r="P92" i="6" s="1"/>
  <c r="E90" i="6"/>
  <c r="D90" i="6"/>
  <c r="C90" i="6"/>
  <c r="C388" i="6" s="1"/>
  <c r="R89" i="6"/>
  <c r="H89" i="6" s="1"/>
  <c r="G19" i="15" s="1"/>
  <c r="I19" i="15" s="1"/>
  <c r="M89" i="6"/>
  <c r="L89" i="6"/>
  <c r="K89" i="6"/>
  <c r="S88" i="6"/>
  <c r="S137" i="6" s="1"/>
  <c r="S138" i="6" s="1"/>
  <c r="M88" i="6"/>
  <c r="M90" i="6" s="1"/>
  <c r="L88" i="6"/>
  <c r="L90" i="6" s="1"/>
  <c r="K88" i="6"/>
  <c r="K90" i="6" s="1"/>
  <c r="G98" i="6" s="1"/>
  <c r="H88" i="6"/>
  <c r="G18" i="15" s="1"/>
  <c r="I18" i="15" s="1"/>
  <c r="K86" i="6"/>
  <c r="E86" i="6"/>
  <c r="P85" i="6"/>
  <c r="O85" i="6"/>
  <c r="G85" i="6"/>
  <c r="M85" i="6" s="1"/>
  <c r="P84" i="6"/>
  <c r="O84" i="6"/>
  <c r="G84" i="6"/>
  <c r="M84" i="6" s="1"/>
  <c r="M86" i="6" s="1"/>
  <c r="M83" i="6"/>
  <c r="K83" i="6"/>
  <c r="E83" i="6"/>
  <c r="D83" i="6"/>
  <c r="D86" i="6" s="1"/>
  <c r="C83" i="6"/>
  <c r="C86" i="6" s="1"/>
  <c r="M82" i="6"/>
  <c r="L82" i="6"/>
  <c r="L83" i="6" s="1"/>
  <c r="K82" i="6"/>
  <c r="S80" i="6"/>
  <c r="I80" i="6" s="1"/>
  <c r="M80" i="6"/>
  <c r="L80" i="6"/>
  <c r="K80" i="6"/>
  <c r="O80" i="6"/>
  <c r="H74" i="6"/>
  <c r="S67" i="6"/>
  <c r="I67" i="6" s="1"/>
  <c r="P67" i="6" s="1"/>
  <c r="O67" i="6"/>
  <c r="M67" i="6"/>
  <c r="L67" i="6"/>
  <c r="K67" i="6"/>
  <c r="H67" i="6"/>
  <c r="O65" i="6"/>
  <c r="M65" i="6"/>
  <c r="L65" i="6"/>
  <c r="K65" i="6"/>
  <c r="G74" i="6" s="1"/>
  <c r="E65" i="6"/>
  <c r="D65" i="6"/>
  <c r="C65" i="6"/>
  <c r="R64" i="6"/>
  <c r="H64" i="6" s="1"/>
  <c r="O64" i="6"/>
  <c r="M64" i="6"/>
  <c r="L64" i="6"/>
  <c r="K64" i="6"/>
  <c r="S63" i="6"/>
  <c r="S64" i="6" s="1"/>
  <c r="I64" i="6" s="1"/>
  <c r="P64" i="6" s="1"/>
  <c r="M63" i="6"/>
  <c r="L63" i="6"/>
  <c r="K63" i="6"/>
  <c r="H63" i="6"/>
  <c r="O63" i="6" s="1"/>
  <c r="L61" i="6"/>
  <c r="P60" i="6"/>
  <c r="O60" i="6"/>
  <c r="M60" i="6"/>
  <c r="G60" i="6"/>
  <c r="L60" i="6" s="1"/>
  <c r="P59" i="6"/>
  <c r="O59" i="6"/>
  <c r="M59" i="6"/>
  <c r="L59" i="6"/>
  <c r="G59" i="6"/>
  <c r="M58" i="6"/>
  <c r="M61" i="6" s="1"/>
  <c r="K58" i="6"/>
  <c r="K61" i="6" s="1"/>
  <c r="E58" i="6"/>
  <c r="E61" i="6" s="1"/>
  <c r="D58" i="6"/>
  <c r="D61" i="6" s="1"/>
  <c r="C58" i="6"/>
  <c r="C61" i="6" s="1"/>
  <c r="M57" i="6"/>
  <c r="L57" i="6"/>
  <c r="K57" i="6"/>
  <c r="M56" i="6"/>
  <c r="L56" i="6"/>
  <c r="K56" i="6"/>
  <c r="M55" i="6"/>
  <c r="L55" i="6"/>
  <c r="L58" i="6" s="1"/>
  <c r="K55" i="6"/>
  <c r="G73" i="6" s="1"/>
  <c r="S53" i="6"/>
  <c r="M53" i="6"/>
  <c r="L53" i="6"/>
  <c r="K53" i="6"/>
  <c r="H53" i="6"/>
  <c r="P42" i="6"/>
  <c r="O42" i="6"/>
  <c r="G42" i="6"/>
  <c r="P41" i="6"/>
  <c r="O41" i="6"/>
  <c r="L41" i="6"/>
  <c r="G41" i="6"/>
  <c r="M41" i="6" s="1"/>
  <c r="P40" i="6"/>
  <c r="O40" i="6"/>
  <c r="G40" i="6"/>
  <c r="L40" i="6" s="1"/>
  <c r="M39" i="6"/>
  <c r="L39" i="6"/>
  <c r="K39" i="6"/>
  <c r="K43" i="6" s="1"/>
  <c r="G44" i="6" s="1"/>
  <c r="E39" i="6"/>
  <c r="E43" i="6" s="1"/>
  <c r="D39" i="6"/>
  <c r="D43" i="6" s="1"/>
  <c r="C39" i="6"/>
  <c r="C43" i="6" s="1"/>
  <c r="M38" i="6"/>
  <c r="L38" i="6"/>
  <c r="K38" i="6"/>
  <c r="M37" i="6"/>
  <c r="L37" i="6"/>
  <c r="K37" i="6"/>
  <c r="M35" i="6"/>
  <c r="L35" i="6"/>
  <c r="E35" i="6"/>
  <c r="D35" i="6"/>
  <c r="C35" i="6"/>
  <c r="S34" i="6"/>
  <c r="R34" i="6"/>
  <c r="H34" i="6" s="1"/>
  <c r="O34" i="6"/>
  <c r="M34" i="6"/>
  <c r="L34" i="6"/>
  <c r="K34" i="6"/>
  <c r="I34" i="6"/>
  <c r="P34" i="6" s="1"/>
  <c r="P35" i="6" s="1"/>
  <c r="S33" i="6"/>
  <c r="M33" i="6"/>
  <c r="L33" i="6"/>
  <c r="K33" i="6"/>
  <c r="H33" i="6"/>
  <c r="I33" i="6" s="1"/>
  <c r="P33" i="6" s="1"/>
  <c r="E23" i="6"/>
  <c r="D23" i="6"/>
  <c r="C23" i="6"/>
  <c r="P22" i="6"/>
  <c r="O22" i="6"/>
  <c r="G22" i="6"/>
  <c r="M22" i="6" s="1"/>
  <c r="P21" i="6"/>
  <c r="O21" i="6"/>
  <c r="L21" i="6"/>
  <c r="G21" i="6"/>
  <c r="M21" i="6" s="1"/>
  <c r="K20" i="6"/>
  <c r="K23" i="6" s="1"/>
  <c r="K24" i="6" s="1"/>
  <c r="G24" i="6" s="1"/>
  <c r="E20" i="6"/>
  <c r="D20" i="6"/>
  <c r="C20" i="6"/>
  <c r="M19" i="6"/>
  <c r="L19" i="6"/>
  <c r="K19" i="6"/>
  <c r="M18" i="6"/>
  <c r="M20" i="6" s="1"/>
  <c r="L18" i="6"/>
  <c r="L20" i="6" s="1"/>
  <c r="K18" i="6"/>
  <c r="L16" i="6"/>
  <c r="K16" i="6"/>
  <c r="E16" i="6"/>
  <c r="D16" i="6"/>
  <c r="C16" i="6"/>
  <c r="S15" i="6"/>
  <c r="R15" i="6"/>
  <c r="M15" i="6"/>
  <c r="L15" i="6"/>
  <c r="K15" i="6"/>
  <c r="H15" i="6"/>
  <c r="O15" i="6" s="1"/>
  <c r="S14" i="6"/>
  <c r="O14" i="6"/>
  <c r="O16" i="6" s="1"/>
  <c r="M14" i="6"/>
  <c r="M16" i="6" s="1"/>
  <c r="L14" i="6"/>
  <c r="K14" i="6"/>
  <c r="H14" i="6"/>
  <c r="A12" i="6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s="1"/>
  <c r="A206" i="6" s="1"/>
  <c r="A207" i="6" s="1"/>
  <c r="A208" i="6" s="1"/>
  <c r="A209" i="6" s="1"/>
  <c r="A210" i="6" s="1"/>
  <c r="A211" i="6" s="1"/>
  <c r="A212" i="6" s="1"/>
  <c r="A213" i="6" s="1"/>
  <c r="A214" i="6" s="1"/>
  <c r="A215" i="6" s="1"/>
  <c r="A216" i="6" s="1"/>
  <c r="A217" i="6" s="1"/>
  <c r="A218" i="6" s="1"/>
  <c r="A219" i="6" s="1"/>
  <c r="A220" i="6" s="1"/>
  <c r="A221" i="6" s="1"/>
  <c r="A222" i="6" s="1"/>
  <c r="A223" i="6" s="1"/>
  <c r="A224" i="6" s="1"/>
  <c r="A225" i="6" s="1"/>
  <c r="A226" i="6" s="1"/>
  <c r="A227" i="6" s="1"/>
  <c r="A228" i="6" s="1"/>
  <c r="A229" i="6" s="1"/>
  <c r="A230" i="6" s="1"/>
  <c r="A231" i="6" s="1"/>
  <c r="A232" i="6" s="1"/>
  <c r="A233" i="6" s="1"/>
  <c r="A234" i="6" s="1"/>
  <c r="A235" i="6" s="1"/>
  <c r="A236" i="6" s="1"/>
  <c r="A237" i="6" s="1"/>
  <c r="A238" i="6" s="1"/>
  <c r="A239" i="6" s="1"/>
  <c r="A240" i="6" s="1"/>
  <c r="A241" i="6" s="1"/>
  <c r="A242" i="6" s="1"/>
  <c r="A243" i="6" s="1"/>
  <c r="A244" i="6" s="1"/>
  <c r="A245" i="6" s="1"/>
  <c r="A246" i="6" s="1"/>
  <c r="A247" i="6" s="1"/>
  <c r="A248" i="6" s="1"/>
  <c r="A249" i="6" s="1"/>
  <c r="A250" i="6" s="1"/>
  <c r="A251" i="6" s="1"/>
  <c r="A252" i="6" s="1"/>
  <c r="A253" i="6" s="1"/>
  <c r="A254" i="6" s="1"/>
  <c r="A255" i="6" s="1"/>
  <c r="A256" i="6" s="1"/>
  <c r="A257" i="6" s="1"/>
  <c r="A258" i="6" s="1"/>
  <c r="A259" i="6" s="1"/>
  <c r="A260" i="6" s="1"/>
  <c r="A261" i="6" s="1"/>
  <c r="A262" i="6" s="1"/>
  <c r="A263" i="6" s="1"/>
  <c r="A264" i="6" s="1"/>
  <c r="A265" i="6" s="1"/>
  <c r="A266" i="6" s="1"/>
  <c r="A267" i="6" s="1"/>
  <c r="A268" i="6" s="1"/>
  <c r="A269" i="6" s="1"/>
  <c r="A270" i="6" s="1"/>
  <c r="A271" i="6" s="1"/>
  <c r="A272" i="6" s="1"/>
  <c r="A273" i="6" s="1"/>
  <c r="A274" i="6" s="1"/>
  <c r="A275" i="6" s="1"/>
  <c r="A276" i="6" s="1"/>
  <c r="A277" i="6" s="1"/>
  <c r="A278" i="6" s="1"/>
  <c r="A279" i="6" s="1"/>
  <c r="A280" i="6" s="1"/>
  <c r="A281" i="6" s="1"/>
  <c r="A282" i="6" s="1"/>
  <c r="A283" i="6" s="1"/>
  <c r="A284" i="6" s="1"/>
  <c r="A285" i="6" s="1"/>
  <c r="A286" i="6" s="1"/>
  <c r="A287" i="6" s="1"/>
  <c r="A288" i="6" s="1"/>
  <c r="A289" i="6" s="1"/>
  <c r="A290" i="6" s="1"/>
  <c r="A291" i="6" s="1"/>
  <c r="A292" i="6" s="1"/>
  <c r="A293" i="6" s="1"/>
  <c r="A294" i="6" s="1"/>
  <c r="A295" i="6" s="1"/>
  <c r="A296" i="6" s="1"/>
  <c r="A297" i="6" s="1"/>
  <c r="A298" i="6" s="1"/>
  <c r="A299" i="6" s="1"/>
  <c r="A300" i="6" s="1"/>
  <c r="A301" i="6" s="1"/>
  <c r="A302" i="6" s="1"/>
  <c r="A303" i="6" s="1"/>
  <c r="A304" i="6" s="1"/>
  <c r="A305" i="6" s="1"/>
  <c r="A306" i="6" s="1"/>
  <c r="A307" i="6" s="1"/>
  <c r="A308" i="6" s="1"/>
  <c r="A309" i="6" s="1"/>
  <c r="A310" i="6" s="1"/>
  <c r="A311" i="6" s="1"/>
  <c r="A312" i="6" s="1"/>
  <c r="A313" i="6" s="1"/>
  <c r="A314" i="6" s="1"/>
  <c r="A315" i="6" s="1"/>
  <c r="A316" i="6" s="1"/>
  <c r="A317" i="6" s="1"/>
  <c r="A318" i="6" s="1"/>
  <c r="A319" i="6" s="1"/>
  <c r="A320" i="6" s="1"/>
  <c r="A321" i="6" s="1"/>
  <c r="A322" i="6" s="1"/>
  <c r="A323" i="6" s="1"/>
  <c r="A324" i="6" s="1"/>
  <c r="A325" i="6" s="1"/>
  <c r="A326" i="6" s="1"/>
  <c r="A327" i="6" s="1"/>
  <c r="A328" i="6" s="1"/>
  <c r="A329" i="6" s="1"/>
  <c r="A330" i="6" s="1"/>
  <c r="A331" i="6" s="1"/>
  <c r="A332" i="6" s="1"/>
  <c r="A333" i="6" s="1"/>
  <c r="A334" i="6" s="1"/>
  <c r="A335" i="6" s="1"/>
  <c r="A336" i="6" s="1"/>
  <c r="A337" i="6" s="1"/>
  <c r="A338" i="6" s="1"/>
  <c r="A339" i="6" s="1"/>
  <c r="A340" i="6" s="1"/>
  <c r="A341" i="6" s="1"/>
  <c r="A342" i="6" s="1"/>
  <c r="A343" i="6" s="1"/>
  <c r="A344" i="6" s="1"/>
  <c r="A345" i="6" s="1"/>
  <c r="A346" i="6" s="1"/>
  <c r="A347" i="6" s="1"/>
  <c r="A348" i="6" s="1"/>
  <c r="A349" i="6" s="1"/>
  <c r="A350" i="6" s="1"/>
  <c r="A351" i="6" s="1"/>
  <c r="A352" i="6" s="1"/>
  <c r="A353" i="6" s="1"/>
  <c r="A354" i="6" s="1"/>
  <c r="A355" i="6" s="1"/>
  <c r="A356" i="6" s="1"/>
  <c r="A357" i="6" s="1"/>
  <c r="A358" i="6" s="1"/>
  <c r="A359" i="6" s="1"/>
  <c r="A360" i="6" s="1"/>
  <c r="A361" i="6" s="1"/>
  <c r="A362" i="6" s="1"/>
  <c r="A363" i="6" s="1"/>
  <c r="A364" i="6" s="1"/>
  <c r="A365" i="6" s="1"/>
  <c r="A366" i="6" s="1"/>
  <c r="A367" i="6" s="1"/>
  <c r="A368" i="6" s="1"/>
  <c r="A369" i="6" s="1"/>
  <c r="A370" i="6" s="1"/>
  <c r="A371" i="6" s="1"/>
  <c r="A372" i="6" s="1"/>
  <c r="A373" i="6" s="1"/>
  <c r="A374" i="6" s="1"/>
  <c r="A375" i="6" s="1"/>
  <c r="A376" i="6" s="1"/>
  <c r="A377" i="6" s="1"/>
  <c r="A378" i="6" s="1"/>
  <c r="A379" i="6" s="1"/>
  <c r="A380" i="6" s="1"/>
  <c r="A381" i="6" s="1"/>
  <c r="A382" i="6" s="1"/>
  <c r="A383" i="6" s="1"/>
  <c r="A384" i="6" s="1"/>
  <c r="A385" i="6" s="1"/>
  <c r="A386" i="6" s="1"/>
  <c r="A387" i="6" s="1"/>
  <c r="A388" i="6" s="1"/>
  <c r="A389" i="6" s="1"/>
  <c r="A390" i="6" s="1"/>
  <c r="A391" i="6" s="1"/>
  <c r="A392" i="6" s="1"/>
  <c r="A393" i="6" s="1"/>
  <c r="A394" i="6" s="1"/>
  <c r="P9" i="6"/>
  <c r="S9" i="6" s="1"/>
  <c r="O9" i="6"/>
  <c r="R9" i="6" s="1"/>
  <c r="M9" i="6"/>
  <c r="I9" i="6"/>
  <c r="H9" i="6"/>
  <c r="L9" i="6" s="1"/>
  <c r="G9" i="6"/>
  <c r="K9" i="6" s="1"/>
  <c r="N389" i="5"/>
  <c r="K381" i="5"/>
  <c r="E381" i="5"/>
  <c r="D381" i="5"/>
  <c r="C381" i="5"/>
  <c r="P380" i="5"/>
  <c r="O380" i="5"/>
  <c r="G380" i="5"/>
  <c r="M380" i="5" s="1"/>
  <c r="P379" i="5"/>
  <c r="O379" i="5"/>
  <c r="L379" i="5"/>
  <c r="G379" i="5"/>
  <c r="M379" i="5" s="1"/>
  <c r="M378" i="5"/>
  <c r="L378" i="5"/>
  <c r="I378" i="5"/>
  <c r="P366" i="5"/>
  <c r="O366" i="5"/>
  <c r="M366" i="5"/>
  <c r="L366" i="5"/>
  <c r="M365" i="5"/>
  <c r="L365" i="5"/>
  <c r="M363" i="5"/>
  <c r="L363" i="5"/>
  <c r="K361" i="5"/>
  <c r="E361" i="5"/>
  <c r="D361" i="5"/>
  <c r="C361" i="5"/>
  <c r="G360" i="5"/>
  <c r="G359" i="5"/>
  <c r="G358" i="5"/>
  <c r="M358" i="5" s="1"/>
  <c r="P356" i="5"/>
  <c r="O356" i="5"/>
  <c r="M356" i="5"/>
  <c r="L356" i="5"/>
  <c r="K356" i="5"/>
  <c r="E346" i="5"/>
  <c r="D346" i="5"/>
  <c r="C346" i="5"/>
  <c r="P345" i="5"/>
  <c r="O345" i="5"/>
  <c r="G345" i="5"/>
  <c r="L345" i="5" s="1"/>
  <c r="P344" i="5"/>
  <c r="O344" i="5"/>
  <c r="M344" i="5"/>
  <c r="L344" i="5"/>
  <c r="K344" i="5"/>
  <c r="P343" i="5"/>
  <c r="O343" i="5"/>
  <c r="M343" i="5"/>
  <c r="L343" i="5"/>
  <c r="K343" i="5"/>
  <c r="I340" i="5"/>
  <c r="H340" i="5"/>
  <c r="G340" i="5"/>
  <c r="R338" i="5"/>
  <c r="P338" i="5"/>
  <c r="O338" i="5"/>
  <c r="L338" i="5"/>
  <c r="I338" i="5"/>
  <c r="S338" i="5" s="1"/>
  <c r="L329" i="5"/>
  <c r="P327" i="5"/>
  <c r="O327" i="5"/>
  <c r="M327" i="5"/>
  <c r="L327" i="5"/>
  <c r="K327" i="5"/>
  <c r="E325" i="5"/>
  <c r="D325" i="5"/>
  <c r="C325" i="5"/>
  <c r="P324" i="5"/>
  <c r="O324" i="5"/>
  <c r="G324" i="5"/>
  <c r="M324" i="5" s="1"/>
  <c r="P323" i="5"/>
  <c r="O323" i="5"/>
  <c r="G323" i="5"/>
  <c r="M323" i="5" s="1"/>
  <c r="P322" i="5"/>
  <c r="O322" i="5"/>
  <c r="G322" i="5"/>
  <c r="L322" i="5" s="1"/>
  <c r="P321" i="5"/>
  <c r="O321" i="5"/>
  <c r="M321" i="5"/>
  <c r="L321" i="5"/>
  <c r="K321" i="5"/>
  <c r="K325" i="5" s="1"/>
  <c r="R319" i="5"/>
  <c r="O319" i="5"/>
  <c r="I319" i="5"/>
  <c r="S319" i="5" s="1"/>
  <c r="S309" i="5"/>
  <c r="E307" i="5"/>
  <c r="D307" i="5"/>
  <c r="C307" i="5"/>
  <c r="P306" i="5"/>
  <c r="O306" i="5"/>
  <c r="G306" i="5"/>
  <c r="L306" i="5" s="1"/>
  <c r="L305" i="5"/>
  <c r="G298" i="5"/>
  <c r="G297" i="5"/>
  <c r="S291" i="5"/>
  <c r="M291" i="5"/>
  <c r="L291" i="5"/>
  <c r="K291" i="5"/>
  <c r="H291" i="5"/>
  <c r="O291" i="5" s="1"/>
  <c r="E289" i="5"/>
  <c r="D289" i="5"/>
  <c r="C289" i="5"/>
  <c r="P288" i="5"/>
  <c r="O288" i="5"/>
  <c r="G288" i="5"/>
  <c r="M288" i="5" s="1"/>
  <c r="M287" i="5"/>
  <c r="S274" i="5"/>
  <c r="M274" i="5"/>
  <c r="L274" i="5"/>
  <c r="K274" i="5"/>
  <c r="H274" i="5"/>
  <c r="O274" i="5" s="1"/>
  <c r="S272" i="5"/>
  <c r="K272" i="5"/>
  <c r="E270" i="5"/>
  <c r="D270" i="5"/>
  <c r="C270" i="5"/>
  <c r="S269" i="5"/>
  <c r="P266" i="5"/>
  <c r="O266" i="5"/>
  <c r="M266" i="5"/>
  <c r="L266" i="5"/>
  <c r="G266" i="5"/>
  <c r="P265" i="5"/>
  <c r="O265" i="5"/>
  <c r="G265" i="5"/>
  <c r="M265" i="5" s="1"/>
  <c r="E264" i="5"/>
  <c r="E267" i="5" s="1"/>
  <c r="D264" i="5"/>
  <c r="D267" i="5" s="1"/>
  <c r="C264" i="5"/>
  <c r="C267" i="5" s="1"/>
  <c r="M263" i="5"/>
  <c r="M264" i="5" s="1"/>
  <c r="S261" i="5"/>
  <c r="M261" i="5"/>
  <c r="L261" i="5"/>
  <c r="K261" i="5"/>
  <c r="H261" i="5"/>
  <c r="O261" i="5" s="1"/>
  <c r="S249" i="5"/>
  <c r="M249" i="5"/>
  <c r="K249" i="5"/>
  <c r="L249" i="5"/>
  <c r="E247" i="5"/>
  <c r="D247" i="5"/>
  <c r="C247" i="5"/>
  <c r="R246" i="5"/>
  <c r="H246" i="5" s="1"/>
  <c r="K246" i="5"/>
  <c r="S245" i="5"/>
  <c r="M245" i="5"/>
  <c r="L245" i="5"/>
  <c r="H245" i="5"/>
  <c r="O245" i="5" s="1"/>
  <c r="K245" i="5"/>
  <c r="P242" i="5"/>
  <c r="O242" i="5"/>
  <c r="G242" i="5"/>
  <c r="P241" i="5"/>
  <c r="O241" i="5"/>
  <c r="G241" i="5"/>
  <c r="L241" i="5" s="1"/>
  <c r="E240" i="5"/>
  <c r="E243" i="5" s="1"/>
  <c r="D240" i="5"/>
  <c r="D243" i="5" s="1"/>
  <c r="C240" i="5"/>
  <c r="C243" i="5" s="1"/>
  <c r="S237" i="5"/>
  <c r="M237" i="5"/>
  <c r="L237" i="5"/>
  <c r="O230" i="5"/>
  <c r="L228" i="5" s="1"/>
  <c r="P229" i="5"/>
  <c r="L229" i="5"/>
  <c r="P228" i="5"/>
  <c r="P227" i="5"/>
  <c r="G225" i="5"/>
  <c r="E221" i="5"/>
  <c r="D221" i="5"/>
  <c r="C221" i="5"/>
  <c r="R219" i="5"/>
  <c r="R220" i="5" s="1"/>
  <c r="M219" i="5"/>
  <c r="L219" i="5"/>
  <c r="K219" i="5"/>
  <c r="E216" i="5"/>
  <c r="D216" i="5"/>
  <c r="C216" i="5"/>
  <c r="M215" i="5"/>
  <c r="L215" i="5"/>
  <c r="K215" i="5"/>
  <c r="M214" i="5"/>
  <c r="L214" i="5"/>
  <c r="K214" i="5"/>
  <c r="S201" i="5"/>
  <c r="E199" i="5"/>
  <c r="D199" i="5"/>
  <c r="C199" i="5"/>
  <c r="R198" i="5"/>
  <c r="H198" i="5" s="1"/>
  <c r="O198" i="5" s="1"/>
  <c r="L198" i="5"/>
  <c r="K198" i="5"/>
  <c r="M198" i="5"/>
  <c r="S197" i="5"/>
  <c r="S198" i="5" s="1"/>
  <c r="P194" i="5"/>
  <c r="O194" i="5"/>
  <c r="G194" i="5"/>
  <c r="M194" i="5" s="1"/>
  <c r="P193" i="5"/>
  <c r="O193" i="5"/>
  <c r="G193" i="5"/>
  <c r="L193" i="5" s="1"/>
  <c r="P192" i="5"/>
  <c r="O192" i="5"/>
  <c r="G192" i="5"/>
  <c r="M192" i="5" s="1"/>
  <c r="E191" i="5"/>
  <c r="E195" i="5" s="1"/>
  <c r="D191" i="5"/>
  <c r="D195" i="5" s="1"/>
  <c r="C191" i="5"/>
  <c r="C195" i="5" s="1"/>
  <c r="M190" i="5"/>
  <c r="M191" i="5" s="1"/>
  <c r="S188" i="5"/>
  <c r="S177" i="5"/>
  <c r="M177" i="5"/>
  <c r="L177" i="5"/>
  <c r="K177" i="5"/>
  <c r="H177" i="5"/>
  <c r="O177" i="5" s="1"/>
  <c r="E175" i="5"/>
  <c r="D175" i="5"/>
  <c r="C175" i="5"/>
  <c r="S174" i="5"/>
  <c r="R174" i="5"/>
  <c r="S173" i="5"/>
  <c r="P170" i="5"/>
  <c r="O170" i="5"/>
  <c r="M170" i="5"/>
  <c r="L170" i="5"/>
  <c r="P169" i="5"/>
  <c r="O169" i="5"/>
  <c r="M169" i="5"/>
  <c r="L169" i="5"/>
  <c r="K169" i="5"/>
  <c r="P168" i="5"/>
  <c r="O168" i="5"/>
  <c r="M168" i="5"/>
  <c r="L168" i="5"/>
  <c r="K168" i="5"/>
  <c r="E167" i="5"/>
  <c r="E171" i="5" s="1"/>
  <c r="D167" i="5"/>
  <c r="D171" i="5" s="1"/>
  <c r="C167" i="5"/>
  <c r="C171" i="5" s="1"/>
  <c r="M166" i="5"/>
  <c r="K166" i="5"/>
  <c r="L166" i="5"/>
  <c r="L165" i="5"/>
  <c r="M163" i="5"/>
  <c r="L163" i="5"/>
  <c r="K163" i="5"/>
  <c r="E161" i="5"/>
  <c r="D161" i="5"/>
  <c r="C161" i="5"/>
  <c r="R160" i="5"/>
  <c r="S159" i="5"/>
  <c r="S160" i="5" s="1"/>
  <c r="M159" i="5"/>
  <c r="L159" i="5"/>
  <c r="K159" i="5"/>
  <c r="H159" i="5"/>
  <c r="G151" i="5"/>
  <c r="G152" i="5" s="1"/>
  <c r="I150" i="5"/>
  <c r="I151" i="5" s="1"/>
  <c r="I152" i="5" s="1"/>
  <c r="H150" i="5"/>
  <c r="H151" i="5" s="1"/>
  <c r="H152" i="5" s="1"/>
  <c r="R142" i="5"/>
  <c r="H142" i="5" s="1"/>
  <c r="O142" i="5" s="1"/>
  <c r="O143" i="5" s="1"/>
  <c r="M142" i="5"/>
  <c r="M143" i="5" s="1"/>
  <c r="K142" i="5"/>
  <c r="K143" i="5" s="1"/>
  <c r="E139" i="5"/>
  <c r="D139" i="5"/>
  <c r="C139" i="5"/>
  <c r="M138" i="5"/>
  <c r="L138" i="5"/>
  <c r="K138" i="5"/>
  <c r="R137" i="5"/>
  <c r="R138" i="5" s="1"/>
  <c r="H138" i="5" s="1"/>
  <c r="O138" i="5" s="1"/>
  <c r="P134" i="5"/>
  <c r="O134" i="5"/>
  <c r="M134" i="5"/>
  <c r="L134" i="5"/>
  <c r="K134" i="5"/>
  <c r="P133" i="5"/>
  <c r="O133" i="5"/>
  <c r="M133" i="5"/>
  <c r="L133" i="5"/>
  <c r="K133" i="5"/>
  <c r="E132" i="5"/>
  <c r="E135" i="5" s="1"/>
  <c r="D132" i="5"/>
  <c r="D135" i="5" s="1"/>
  <c r="C132" i="5"/>
  <c r="C135" i="5" s="1"/>
  <c r="E128" i="5"/>
  <c r="D128" i="5"/>
  <c r="L128" i="5" s="1"/>
  <c r="C128" i="5"/>
  <c r="K128" i="5" s="1"/>
  <c r="R127" i="5"/>
  <c r="R128" i="5" s="1"/>
  <c r="M127" i="5"/>
  <c r="L127" i="5"/>
  <c r="O121" i="5"/>
  <c r="L120" i="5" s="1"/>
  <c r="P120" i="5"/>
  <c r="P119" i="5"/>
  <c r="P118" i="5"/>
  <c r="E112" i="5"/>
  <c r="D112" i="5"/>
  <c r="C112" i="5"/>
  <c r="R111" i="5"/>
  <c r="S110" i="5"/>
  <c r="S111" i="5" s="1"/>
  <c r="M110" i="5"/>
  <c r="L110" i="5"/>
  <c r="K110" i="5"/>
  <c r="E107" i="5"/>
  <c r="D107" i="5"/>
  <c r="C107" i="5"/>
  <c r="S92" i="5"/>
  <c r="S142" i="5" s="1"/>
  <c r="M92" i="5"/>
  <c r="L92" i="5"/>
  <c r="K92" i="5"/>
  <c r="H92" i="5"/>
  <c r="O92" i="5" s="1"/>
  <c r="E90" i="5"/>
  <c r="D90" i="5"/>
  <c r="C90" i="5"/>
  <c r="R89" i="5"/>
  <c r="H89" i="5" s="1"/>
  <c r="M89" i="5"/>
  <c r="K89" i="5"/>
  <c r="L89" i="5"/>
  <c r="S88" i="5"/>
  <c r="S137" i="5" s="1"/>
  <c r="S138" i="5" s="1"/>
  <c r="P85" i="5"/>
  <c r="O85" i="5"/>
  <c r="G85" i="5"/>
  <c r="M85" i="5" s="1"/>
  <c r="P84" i="5"/>
  <c r="O84" i="5"/>
  <c r="G84" i="5"/>
  <c r="M84" i="5" s="1"/>
  <c r="E83" i="5"/>
  <c r="E86" i="5" s="1"/>
  <c r="D83" i="5"/>
  <c r="D86" i="5" s="1"/>
  <c r="C83" i="5"/>
  <c r="C86" i="5" s="1"/>
  <c r="S80" i="5"/>
  <c r="S127" i="5" s="1"/>
  <c r="S128" i="5" s="1"/>
  <c r="S67" i="5"/>
  <c r="E65" i="5"/>
  <c r="D65" i="5"/>
  <c r="C65" i="5"/>
  <c r="R64" i="5"/>
  <c r="M64" i="5"/>
  <c r="K64" i="5"/>
  <c r="S63" i="5"/>
  <c r="S64" i="5" s="1"/>
  <c r="P60" i="5"/>
  <c r="O60" i="5"/>
  <c r="G60" i="5"/>
  <c r="M60" i="5" s="1"/>
  <c r="P59" i="5"/>
  <c r="O59" i="5"/>
  <c r="G59" i="5"/>
  <c r="M59" i="5" s="1"/>
  <c r="E58" i="5"/>
  <c r="E61" i="5" s="1"/>
  <c r="D58" i="5"/>
  <c r="D61" i="5" s="1"/>
  <c r="C58" i="5"/>
  <c r="C61" i="5" s="1"/>
  <c r="L57" i="5"/>
  <c r="K57" i="5"/>
  <c r="M57" i="5"/>
  <c r="M56" i="5"/>
  <c r="L56" i="5"/>
  <c r="K56" i="5"/>
  <c r="S53" i="5"/>
  <c r="P42" i="5"/>
  <c r="O42" i="5"/>
  <c r="G42" i="5"/>
  <c r="L42" i="5" s="1"/>
  <c r="P41" i="5"/>
  <c r="O41" i="5"/>
  <c r="G41" i="5"/>
  <c r="L41" i="5" s="1"/>
  <c r="P40" i="5"/>
  <c r="O40" i="5"/>
  <c r="G40" i="5"/>
  <c r="L40" i="5" s="1"/>
  <c r="E39" i="5"/>
  <c r="E43" i="5" s="1"/>
  <c r="D39" i="5"/>
  <c r="D43" i="5" s="1"/>
  <c r="C39" i="5"/>
  <c r="C43" i="5" s="1"/>
  <c r="M37" i="5"/>
  <c r="K37" i="5"/>
  <c r="L37" i="5"/>
  <c r="E35" i="5"/>
  <c r="D35" i="5"/>
  <c r="C35" i="5"/>
  <c r="R34" i="5"/>
  <c r="M34" i="5"/>
  <c r="L34" i="5"/>
  <c r="K34" i="5"/>
  <c r="S33" i="5"/>
  <c r="S34" i="5" s="1"/>
  <c r="P22" i="5"/>
  <c r="O22" i="5"/>
  <c r="G22" i="5"/>
  <c r="P21" i="5"/>
  <c r="O21" i="5"/>
  <c r="G21" i="5"/>
  <c r="L21" i="5" s="1"/>
  <c r="E20" i="5"/>
  <c r="E23" i="5" s="1"/>
  <c r="D20" i="5"/>
  <c r="D23" i="5" s="1"/>
  <c r="C20" i="5"/>
  <c r="C23" i="5" s="1"/>
  <c r="M19" i="5"/>
  <c r="L19" i="5"/>
  <c r="K19" i="5"/>
  <c r="E16" i="5"/>
  <c r="D16" i="5"/>
  <c r="C16" i="5"/>
  <c r="R15" i="5"/>
  <c r="H15" i="5" s="1"/>
  <c r="O15" i="5" s="1"/>
  <c r="M15" i="5"/>
  <c r="L15" i="5"/>
  <c r="K15" i="5"/>
  <c r="S14" i="5"/>
  <c r="S15" i="5" s="1"/>
  <c r="M14" i="5"/>
  <c r="L14" i="5"/>
  <c r="K14" i="5"/>
  <c r="H14" i="5"/>
  <c r="O14" i="5" s="1"/>
  <c r="A12" i="5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55" i="5" s="1"/>
  <c r="A256" i="5" s="1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67" i="5" s="1"/>
  <c r="A268" i="5" s="1"/>
  <c r="A269" i="5" s="1"/>
  <c r="A270" i="5" s="1"/>
  <c r="A271" i="5" s="1"/>
  <c r="A272" i="5" s="1"/>
  <c r="A273" i="5" s="1"/>
  <c r="A274" i="5" s="1"/>
  <c r="A275" i="5" s="1"/>
  <c r="A276" i="5" s="1"/>
  <c r="A277" i="5" s="1"/>
  <c r="A278" i="5" s="1"/>
  <c r="A279" i="5" s="1"/>
  <c r="A280" i="5" s="1"/>
  <c r="A281" i="5" s="1"/>
  <c r="A282" i="5" s="1"/>
  <c r="A283" i="5" s="1"/>
  <c r="A284" i="5" s="1"/>
  <c r="A285" i="5" s="1"/>
  <c r="A286" i="5" s="1"/>
  <c r="A287" i="5" s="1"/>
  <c r="A288" i="5" s="1"/>
  <c r="A289" i="5" s="1"/>
  <c r="A290" i="5" s="1"/>
  <c r="A291" i="5" s="1"/>
  <c r="A292" i="5" s="1"/>
  <c r="A293" i="5" s="1"/>
  <c r="A294" i="5" s="1"/>
  <c r="A295" i="5" s="1"/>
  <c r="A296" i="5" s="1"/>
  <c r="A297" i="5" s="1"/>
  <c r="A298" i="5" s="1"/>
  <c r="A299" i="5" s="1"/>
  <c r="A300" i="5" s="1"/>
  <c r="A301" i="5" s="1"/>
  <c r="A302" i="5" s="1"/>
  <c r="A303" i="5" s="1"/>
  <c r="A304" i="5" s="1"/>
  <c r="A305" i="5" s="1"/>
  <c r="A306" i="5" s="1"/>
  <c r="A307" i="5" s="1"/>
  <c r="A308" i="5" s="1"/>
  <c r="A309" i="5" s="1"/>
  <c r="A310" i="5" s="1"/>
  <c r="A311" i="5" s="1"/>
  <c r="A312" i="5" s="1"/>
  <c r="A313" i="5" s="1"/>
  <c r="A314" i="5" s="1"/>
  <c r="A315" i="5" s="1"/>
  <c r="A316" i="5" s="1"/>
  <c r="A317" i="5" s="1"/>
  <c r="A318" i="5" s="1"/>
  <c r="A319" i="5" s="1"/>
  <c r="A320" i="5" s="1"/>
  <c r="A321" i="5" s="1"/>
  <c r="A322" i="5" s="1"/>
  <c r="A323" i="5" s="1"/>
  <c r="A324" i="5" s="1"/>
  <c r="A325" i="5" s="1"/>
  <c r="A326" i="5" s="1"/>
  <c r="A327" i="5" s="1"/>
  <c r="A328" i="5" s="1"/>
  <c r="A329" i="5" s="1"/>
  <c r="A330" i="5" s="1"/>
  <c r="A331" i="5" s="1"/>
  <c r="A332" i="5" s="1"/>
  <c r="A333" i="5" s="1"/>
  <c r="A334" i="5" s="1"/>
  <c r="A335" i="5" s="1"/>
  <c r="A336" i="5" s="1"/>
  <c r="A337" i="5" s="1"/>
  <c r="A338" i="5" s="1"/>
  <c r="A339" i="5" s="1"/>
  <c r="A340" i="5" s="1"/>
  <c r="A341" i="5" s="1"/>
  <c r="A342" i="5" s="1"/>
  <c r="A343" i="5" s="1"/>
  <c r="A344" i="5" s="1"/>
  <c r="A345" i="5" s="1"/>
  <c r="A346" i="5" s="1"/>
  <c r="A347" i="5" s="1"/>
  <c r="A348" i="5" s="1"/>
  <c r="A349" i="5" s="1"/>
  <c r="A350" i="5" s="1"/>
  <c r="A351" i="5" s="1"/>
  <c r="A352" i="5" s="1"/>
  <c r="A353" i="5" s="1"/>
  <c r="A354" i="5" s="1"/>
  <c r="A355" i="5" s="1"/>
  <c r="A356" i="5" s="1"/>
  <c r="A357" i="5" s="1"/>
  <c r="A358" i="5" s="1"/>
  <c r="A359" i="5" s="1"/>
  <c r="A360" i="5" s="1"/>
  <c r="A361" i="5" s="1"/>
  <c r="A362" i="5" s="1"/>
  <c r="A363" i="5" s="1"/>
  <c r="A364" i="5" s="1"/>
  <c r="A365" i="5" s="1"/>
  <c r="A366" i="5" s="1"/>
  <c r="A367" i="5" s="1"/>
  <c r="A368" i="5" s="1"/>
  <c r="A369" i="5" s="1"/>
  <c r="A370" i="5" s="1"/>
  <c r="A371" i="5" s="1"/>
  <c r="A372" i="5" s="1"/>
  <c r="A373" i="5" s="1"/>
  <c r="A374" i="5" s="1"/>
  <c r="A375" i="5" s="1"/>
  <c r="A376" i="5" s="1"/>
  <c r="A377" i="5" s="1"/>
  <c r="A378" i="5" s="1"/>
  <c r="A379" i="5" s="1"/>
  <c r="A380" i="5" s="1"/>
  <c r="A381" i="5" s="1"/>
  <c r="A382" i="5" s="1"/>
  <c r="A383" i="5" s="1"/>
  <c r="A384" i="5" s="1"/>
  <c r="A385" i="5" s="1"/>
  <c r="A386" i="5" s="1"/>
  <c r="A387" i="5" s="1"/>
  <c r="A388" i="5" s="1"/>
  <c r="A389" i="5" s="1"/>
  <c r="A390" i="5" s="1"/>
  <c r="A391" i="5" s="1"/>
  <c r="A392" i="5" s="1"/>
  <c r="A393" i="5" s="1"/>
  <c r="A394" i="5" s="1"/>
  <c r="I9" i="5"/>
  <c r="P9" i="5" s="1"/>
  <c r="S9" i="5" s="1"/>
  <c r="H9" i="5"/>
  <c r="O9" i="5" s="1"/>
  <c r="R9" i="5" s="1"/>
  <c r="G9" i="5"/>
  <c r="K9" i="5" s="1"/>
  <c r="H110" i="6" l="1"/>
  <c r="R138" i="6"/>
  <c r="H138" i="6" s="1"/>
  <c r="I20" i="15"/>
  <c r="D8" i="9"/>
  <c r="D7" i="7"/>
  <c r="K369" i="5"/>
  <c r="G5" i="9"/>
  <c r="S21" i="1"/>
  <c r="S89" i="6"/>
  <c r="I89" i="6" s="1"/>
  <c r="H19" i="15" s="1"/>
  <c r="J19" i="15" s="1"/>
  <c r="F8" i="9"/>
  <c r="P24" i="1"/>
  <c r="I137" i="6"/>
  <c r="O88" i="6"/>
  <c r="F7" i="9"/>
  <c r="P23" i="1"/>
  <c r="O137" i="6"/>
  <c r="M325" i="6"/>
  <c r="M331" i="6" s="1"/>
  <c r="S332" i="6" s="1"/>
  <c r="S333" i="6" s="1"/>
  <c r="L243" i="6"/>
  <c r="L251" i="6" s="1"/>
  <c r="R252" i="6" s="1"/>
  <c r="I269" i="6"/>
  <c r="P269" i="6" s="1"/>
  <c r="P270" i="6" s="1"/>
  <c r="I280" i="6" s="1"/>
  <c r="O269" i="6"/>
  <c r="O270" i="6" s="1"/>
  <c r="H280" i="6" s="1"/>
  <c r="M381" i="6"/>
  <c r="S382" i="6" s="1"/>
  <c r="S383" i="6" s="1"/>
  <c r="L23" i="6"/>
  <c r="L24" i="6" s="1"/>
  <c r="M23" i="6"/>
  <c r="M24" i="6" s="1"/>
  <c r="M129" i="6"/>
  <c r="M145" i="6" s="1"/>
  <c r="I291" i="6"/>
  <c r="H298" i="6"/>
  <c r="O291" i="6"/>
  <c r="M42" i="6"/>
  <c r="L42" i="6"/>
  <c r="L43" i="6" s="1"/>
  <c r="L44" i="6" s="1"/>
  <c r="R45" i="6" s="1"/>
  <c r="M118" i="6"/>
  <c r="M120" i="6"/>
  <c r="P80" i="6"/>
  <c r="S127" i="6"/>
  <c r="I201" i="6"/>
  <c r="P201" i="6" s="1"/>
  <c r="O219" i="6"/>
  <c r="O221" i="6" s="1"/>
  <c r="L22" i="6"/>
  <c r="I198" i="6"/>
  <c r="O198" i="6"/>
  <c r="H215" i="6"/>
  <c r="O215" i="6" s="1"/>
  <c r="I261" i="6"/>
  <c r="P261" i="6" s="1"/>
  <c r="O261" i="6"/>
  <c r="S219" i="6"/>
  <c r="S220" i="6" s="1"/>
  <c r="H225" i="6"/>
  <c r="G179" i="6"/>
  <c r="M229" i="6"/>
  <c r="M228" i="6"/>
  <c r="I143" i="6"/>
  <c r="P142" i="6"/>
  <c r="P143" i="6" s="1"/>
  <c r="L267" i="6"/>
  <c r="L276" i="6" s="1"/>
  <c r="R277" i="6" s="1"/>
  <c r="L193" i="6"/>
  <c r="L195" i="6" s="1"/>
  <c r="L203" i="6" s="1"/>
  <c r="R204" i="6" s="1"/>
  <c r="L346" i="6"/>
  <c r="L348" i="6" s="1"/>
  <c r="R349" i="6" s="1"/>
  <c r="R350" i="6" s="1"/>
  <c r="I53" i="6"/>
  <c r="P53" i="6" s="1"/>
  <c r="O53" i="6"/>
  <c r="H111" i="6"/>
  <c r="G36" i="15" s="1"/>
  <c r="I36" i="15" s="1"/>
  <c r="L121" i="6"/>
  <c r="L179" i="6"/>
  <c r="R180" i="6" s="1"/>
  <c r="E388" i="6"/>
  <c r="M119" i="6"/>
  <c r="L293" i="6"/>
  <c r="R294" i="6" s="1"/>
  <c r="K44" i="6"/>
  <c r="K389" i="6" s="1"/>
  <c r="O214" i="6"/>
  <c r="K179" i="6"/>
  <c r="I246" i="6"/>
  <c r="P246" i="6" s="1"/>
  <c r="K35" i="6"/>
  <c r="O89" i="6"/>
  <c r="M345" i="6"/>
  <c r="M346" i="6" s="1"/>
  <c r="M348" i="6" s="1"/>
  <c r="L345" i="6"/>
  <c r="K69" i="6"/>
  <c r="I174" i="6"/>
  <c r="P174" i="6" s="1"/>
  <c r="H220" i="6"/>
  <c r="O220" i="6" s="1"/>
  <c r="I249" i="6"/>
  <c r="P249" i="6" s="1"/>
  <c r="I272" i="6"/>
  <c r="P272" i="6" s="1"/>
  <c r="I15" i="6"/>
  <c r="P15" i="6" s="1"/>
  <c r="M40" i="6"/>
  <c r="M43" i="6" s="1"/>
  <c r="M44" i="6" s="1"/>
  <c r="M69" i="6"/>
  <c r="L145" i="6"/>
  <c r="I245" i="6"/>
  <c r="P245" i="6" s="1"/>
  <c r="P247" i="6" s="1"/>
  <c r="I255" i="6" s="1"/>
  <c r="C387" i="6"/>
  <c r="L84" i="6"/>
  <c r="L86" i="6" s="1"/>
  <c r="L94" i="6" s="1"/>
  <c r="R95" i="6" s="1"/>
  <c r="K94" i="6"/>
  <c r="K107" i="6"/>
  <c r="K114" i="6" s="1"/>
  <c r="M179" i="6"/>
  <c r="O199" i="6"/>
  <c r="H207" i="6" s="1"/>
  <c r="O331" i="6"/>
  <c r="R334" i="6" s="1"/>
  <c r="L369" i="6"/>
  <c r="R370" i="6" s="1"/>
  <c r="D387" i="6"/>
  <c r="I63" i="6"/>
  <c r="P63" i="6" s="1"/>
  <c r="P65" i="6" s="1"/>
  <c r="I74" i="6" s="1"/>
  <c r="O161" i="6"/>
  <c r="O173" i="6"/>
  <c r="O175" i="6" s="1"/>
  <c r="H181" i="6" s="1"/>
  <c r="I173" i="6"/>
  <c r="P173" i="6" s="1"/>
  <c r="P175" i="6" s="1"/>
  <c r="I181" i="6" s="1"/>
  <c r="L242" i="6"/>
  <c r="P331" i="6"/>
  <c r="S334" i="6" s="1"/>
  <c r="L358" i="6"/>
  <c r="L361" i="6" s="1"/>
  <c r="M358" i="6"/>
  <c r="M361" i="6" s="1"/>
  <c r="M369" i="6" s="1"/>
  <c r="I14" i="6"/>
  <c r="P14" i="6" s="1"/>
  <c r="P16" i="6" s="1"/>
  <c r="E387" i="6"/>
  <c r="O33" i="6"/>
  <c r="O35" i="6" s="1"/>
  <c r="M94" i="6"/>
  <c r="I138" i="6"/>
  <c r="K203" i="6"/>
  <c r="L167" i="6"/>
  <c r="L171" i="6" s="1"/>
  <c r="M266" i="6"/>
  <c r="M267" i="6" s="1"/>
  <c r="M276" i="6" s="1"/>
  <c r="L266" i="6"/>
  <c r="L69" i="6"/>
  <c r="R70" i="6" s="1"/>
  <c r="K145" i="6"/>
  <c r="M324" i="6"/>
  <c r="L324" i="6"/>
  <c r="I237" i="6"/>
  <c r="P237" i="6" s="1"/>
  <c r="D388" i="6"/>
  <c r="L360" i="6"/>
  <c r="L85" i="6"/>
  <c r="I274" i="6"/>
  <c r="P274" i="6" s="1"/>
  <c r="M107" i="6"/>
  <c r="M114" i="6" s="1"/>
  <c r="R128" i="6"/>
  <c r="H128" i="6" s="1"/>
  <c r="I159" i="6"/>
  <c r="P159" i="6" s="1"/>
  <c r="P161" i="6" s="1"/>
  <c r="L194" i="6"/>
  <c r="M227" i="6"/>
  <c r="L230" i="6"/>
  <c r="L241" i="6"/>
  <c r="L288" i="6"/>
  <c r="L289" i="6" s="1"/>
  <c r="K251" i="6"/>
  <c r="I177" i="6"/>
  <c r="P177" i="6" s="1"/>
  <c r="L311" i="6"/>
  <c r="R312" i="6" s="1"/>
  <c r="L322" i="6"/>
  <c r="L325" i="6" s="1"/>
  <c r="L331" i="6" s="1"/>
  <c r="R332" i="6" s="1"/>
  <c r="R333" i="6" s="1"/>
  <c r="I88" i="6"/>
  <c r="H18" i="15" s="1"/>
  <c r="J18" i="15" s="1"/>
  <c r="H105" i="6"/>
  <c r="G30" i="15" s="1"/>
  <c r="I30" i="15" s="1"/>
  <c r="M216" i="6"/>
  <c r="M223" i="6" s="1"/>
  <c r="P346" i="5"/>
  <c r="P348" i="5" s="1"/>
  <c r="S351" i="5" s="1"/>
  <c r="R340" i="5"/>
  <c r="I245" i="5"/>
  <c r="P245" i="5" s="1"/>
  <c r="S89" i="5"/>
  <c r="I89" i="5" s="1"/>
  <c r="M241" i="5"/>
  <c r="K16" i="5"/>
  <c r="L192" i="5"/>
  <c r="K247" i="5"/>
  <c r="G255" i="5" s="1"/>
  <c r="L129" i="5"/>
  <c r="L216" i="5"/>
  <c r="H127" i="5"/>
  <c r="I127" i="5" s="1"/>
  <c r="M216" i="5"/>
  <c r="L84" i="5"/>
  <c r="O346" i="5"/>
  <c r="O348" i="5" s="1"/>
  <c r="R351" i="5" s="1"/>
  <c r="L288" i="5"/>
  <c r="M322" i="5"/>
  <c r="M325" i="5" s="1"/>
  <c r="I92" i="5"/>
  <c r="P92" i="5" s="1"/>
  <c r="S246" i="5"/>
  <c r="I246" i="5" s="1"/>
  <c r="P246" i="5" s="1"/>
  <c r="P247" i="5" s="1"/>
  <c r="I255" i="5" s="1"/>
  <c r="M306" i="5"/>
  <c r="P319" i="5"/>
  <c r="M9" i="5"/>
  <c r="M345" i="5"/>
  <c r="M346" i="5" s="1"/>
  <c r="E388" i="5"/>
  <c r="P121" i="5"/>
  <c r="M120" i="5" s="1"/>
  <c r="L227" i="5"/>
  <c r="H220" i="5" s="1"/>
  <c r="L85" i="5"/>
  <c r="L118" i="5"/>
  <c r="L119" i="5"/>
  <c r="L323" i="5"/>
  <c r="L358" i="5"/>
  <c r="L16" i="5"/>
  <c r="H143" i="5"/>
  <c r="L380" i="5"/>
  <c r="L381" i="5" s="1"/>
  <c r="R382" i="5" s="1"/>
  <c r="R383" i="5" s="1"/>
  <c r="S219" i="5"/>
  <c r="S220" i="5" s="1"/>
  <c r="L324" i="5"/>
  <c r="S340" i="5"/>
  <c r="C387" i="5"/>
  <c r="H34" i="5"/>
  <c r="O34" i="5" s="1"/>
  <c r="K216" i="5"/>
  <c r="M173" i="5"/>
  <c r="L173" i="5"/>
  <c r="K173" i="5"/>
  <c r="H173" i="5"/>
  <c r="O246" i="5"/>
  <c r="O247" i="5" s="1"/>
  <c r="H255" i="5" s="1"/>
  <c r="M18" i="5"/>
  <c r="M20" i="5" s="1"/>
  <c r="K18" i="5"/>
  <c r="K20" i="5" s="1"/>
  <c r="K23" i="5" s="1"/>
  <c r="E387" i="5"/>
  <c r="M82" i="5"/>
  <c r="M83" i="5" s="1"/>
  <c r="M86" i="5" s="1"/>
  <c r="L82" i="5"/>
  <c r="L83" i="5" s="1"/>
  <c r="K82" i="5"/>
  <c r="K83" i="5" s="1"/>
  <c r="K86" i="5" s="1"/>
  <c r="L201" i="5"/>
  <c r="K201" i="5"/>
  <c r="M201" i="5"/>
  <c r="M111" i="5"/>
  <c r="M112" i="5" s="1"/>
  <c r="L111" i="5"/>
  <c r="L112" i="5" s="1"/>
  <c r="L137" i="5"/>
  <c r="L139" i="5" s="1"/>
  <c r="H137" i="5"/>
  <c r="M137" i="5"/>
  <c r="M139" i="5" s="1"/>
  <c r="P378" i="5"/>
  <c r="P381" i="5" s="1"/>
  <c r="S384" i="5" s="1"/>
  <c r="O16" i="5"/>
  <c r="I15" i="5"/>
  <c r="P15" i="5" s="1"/>
  <c r="L60" i="5"/>
  <c r="K111" i="5"/>
  <c r="K112" i="5" s="1"/>
  <c r="K137" i="5"/>
  <c r="K139" i="5" s="1"/>
  <c r="K346" i="5"/>
  <c r="I14" i="5"/>
  <c r="P14" i="5" s="1"/>
  <c r="M55" i="5"/>
  <c r="M58" i="5" s="1"/>
  <c r="M61" i="5" s="1"/>
  <c r="L55" i="5"/>
  <c r="L58" i="5" s="1"/>
  <c r="K55" i="5"/>
  <c r="M267" i="5"/>
  <c r="O325" i="5"/>
  <c r="L346" i="5"/>
  <c r="L348" i="5" s="1"/>
  <c r="R349" i="5" s="1"/>
  <c r="R350" i="5" s="1"/>
  <c r="L22" i="5"/>
  <c r="M22" i="5"/>
  <c r="O89" i="5"/>
  <c r="M160" i="5"/>
  <c r="M161" i="5" s="1"/>
  <c r="L160" i="5"/>
  <c r="L161" i="5" s="1"/>
  <c r="K160" i="5"/>
  <c r="K161" i="5" s="1"/>
  <c r="P325" i="5"/>
  <c r="M105" i="5"/>
  <c r="M107" i="5" s="1"/>
  <c r="L105" i="5"/>
  <c r="K105" i="5"/>
  <c r="L131" i="5"/>
  <c r="L132" i="5" s="1"/>
  <c r="L135" i="5" s="1"/>
  <c r="K131" i="5"/>
  <c r="K132" i="5" s="1"/>
  <c r="K135" i="5" s="1"/>
  <c r="G132" i="5"/>
  <c r="H160" i="5"/>
  <c r="L9" i="5"/>
  <c r="M16" i="5"/>
  <c r="M42" i="5"/>
  <c r="C388" i="5"/>
  <c r="M131" i="5"/>
  <c r="M132" i="5" s="1"/>
  <c r="M135" i="5" s="1"/>
  <c r="I142" i="5"/>
  <c r="L106" i="5"/>
  <c r="M106" i="5"/>
  <c r="G116" i="5"/>
  <c r="M33" i="5"/>
  <c r="M35" i="5" s="1"/>
  <c r="K33" i="5"/>
  <c r="K35" i="5" s="1"/>
  <c r="H63" i="5"/>
  <c r="K63" i="5"/>
  <c r="K65" i="5" s="1"/>
  <c r="G74" i="5" s="1"/>
  <c r="M63" i="5"/>
  <c r="M65" i="5" s="1"/>
  <c r="K106" i="5"/>
  <c r="K164" i="5"/>
  <c r="G180" i="5" s="1"/>
  <c r="L164" i="5"/>
  <c r="L167" i="5" s="1"/>
  <c r="L171" i="5" s="1"/>
  <c r="M164" i="5"/>
  <c r="H201" i="5"/>
  <c r="K309" i="5"/>
  <c r="M309" i="5"/>
  <c r="L309" i="5"/>
  <c r="L18" i="5"/>
  <c r="L20" i="5" s="1"/>
  <c r="L23" i="5" s="1"/>
  <c r="H33" i="5"/>
  <c r="M38" i="5"/>
  <c r="M39" i="5" s="1"/>
  <c r="L38" i="5"/>
  <c r="L39" i="5" s="1"/>
  <c r="L43" i="5" s="1"/>
  <c r="L53" i="5"/>
  <c r="M53" i="5"/>
  <c r="K53" i="5"/>
  <c r="K197" i="5"/>
  <c r="K199" i="5" s="1"/>
  <c r="G207" i="5" s="1"/>
  <c r="M197" i="5"/>
  <c r="M199" i="5" s="1"/>
  <c r="L197" i="5"/>
  <c r="L199" i="5" s="1"/>
  <c r="H197" i="5"/>
  <c r="L265" i="5"/>
  <c r="H309" i="5"/>
  <c r="L33" i="5"/>
  <c r="L35" i="5" s="1"/>
  <c r="H53" i="5"/>
  <c r="L63" i="5"/>
  <c r="L67" i="5"/>
  <c r="K67" i="5"/>
  <c r="M67" i="5"/>
  <c r="O159" i="5"/>
  <c r="I159" i="5"/>
  <c r="P159" i="5" s="1"/>
  <c r="H188" i="5"/>
  <c r="M188" i="5"/>
  <c r="L188" i="5"/>
  <c r="M21" i="5"/>
  <c r="K38" i="5"/>
  <c r="K39" i="5" s="1"/>
  <c r="K43" i="5" s="1"/>
  <c r="H67" i="5"/>
  <c r="G115" i="5"/>
  <c r="K188" i="5"/>
  <c r="G224" i="5"/>
  <c r="I274" i="5"/>
  <c r="P274" i="5" s="1"/>
  <c r="H378" i="5"/>
  <c r="S378" i="5" s="1"/>
  <c r="D387" i="5"/>
  <c r="H80" i="5"/>
  <c r="K80" i="5"/>
  <c r="L59" i="5"/>
  <c r="H64" i="5"/>
  <c r="L80" i="5"/>
  <c r="L88" i="5"/>
  <c r="L90" i="5" s="1"/>
  <c r="K88" i="5"/>
  <c r="K90" i="5" s="1"/>
  <c r="G98" i="5" s="1"/>
  <c r="I138" i="5"/>
  <c r="P138" i="5" s="1"/>
  <c r="H174" i="5"/>
  <c r="K174" i="5"/>
  <c r="K239" i="5"/>
  <c r="K240" i="5" s="1"/>
  <c r="K243" i="5" s="1"/>
  <c r="L239" i="5"/>
  <c r="L240" i="5" s="1"/>
  <c r="M41" i="5"/>
  <c r="M80" i="5"/>
  <c r="H88" i="5"/>
  <c r="L174" i="5"/>
  <c r="M319" i="5"/>
  <c r="L319" i="5"/>
  <c r="K319" i="5"/>
  <c r="K331" i="5" s="1"/>
  <c r="L359" i="5"/>
  <c r="M359" i="5"/>
  <c r="L64" i="5"/>
  <c r="M88" i="5"/>
  <c r="M90" i="5" s="1"/>
  <c r="G143" i="5"/>
  <c r="L142" i="5"/>
  <c r="L143" i="5" s="1"/>
  <c r="M174" i="5"/>
  <c r="I177" i="5"/>
  <c r="P177" i="5" s="1"/>
  <c r="M193" i="5"/>
  <c r="M195" i="5" s="1"/>
  <c r="I198" i="5"/>
  <c r="M239" i="5"/>
  <c r="M240" i="5" s="1"/>
  <c r="M289" i="5"/>
  <c r="M293" i="5" s="1"/>
  <c r="K263" i="5"/>
  <c r="K264" i="5" s="1"/>
  <c r="K267" i="5" s="1"/>
  <c r="M360" i="5"/>
  <c r="L360" i="5"/>
  <c r="L194" i="5"/>
  <c r="L220" i="5"/>
  <c r="L221" i="5" s="1"/>
  <c r="M220" i="5"/>
  <c r="M221" i="5" s="1"/>
  <c r="K220" i="5"/>
  <c r="K221" i="5" s="1"/>
  <c r="P230" i="5"/>
  <c r="H237" i="5"/>
  <c r="H269" i="5"/>
  <c r="K269" i="5"/>
  <c r="K270" i="5" s="1"/>
  <c r="G280" i="5" s="1"/>
  <c r="M269" i="5"/>
  <c r="M270" i="5" s="1"/>
  <c r="L269" i="5"/>
  <c r="L270" i="5" s="1"/>
  <c r="L307" i="5"/>
  <c r="M40" i="5"/>
  <c r="K237" i="5"/>
  <c r="L263" i="5"/>
  <c r="L264" i="5" s="1"/>
  <c r="D388" i="5"/>
  <c r="K165" i="5"/>
  <c r="G179" i="5" s="1"/>
  <c r="M165" i="5"/>
  <c r="K190" i="5"/>
  <c r="K191" i="5" s="1"/>
  <c r="K195" i="5" s="1"/>
  <c r="L190" i="5"/>
  <c r="L191" i="5" s="1"/>
  <c r="M246" i="5"/>
  <c r="M247" i="5" s="1"/>
  <c r="L246" i="5"/>
  <c r="L247" i="5" s="1"/>
  <c r="I261" i="5"/>
  <c r="P261" i="5" s="1"/>
  <c r="M305" i="5"/>
  <c r="K305" i="5"/>
  <c r="K307" i="5" s="1"/>
  <c r="M338" i="5"/>
  <c r="K338" i="5"/>
  <c r="M272" i="5"/>
  <c r="L272" i="5"/>
  <c r="H298" i="5"/>
  <c r="M329" i="5"/>
  <c r="P329" i="5" s="1"/>
  <c r="O329" i="5"/>
  <c r="O331" i="5" s="1"/>
  <c r="R334" i="5" s="1"/>
  <c r="M381" i="5"/>
  <c r="K127" i="5"/>
  <c r="K129" i="5" s="1"/>
  <c r="G129" i="5"/>
  <c r="H128" i="5"/>
  <c r="M128" i="5"/>
  <c r="M129" i="5" s="1"/>
  <c r="L242" i="5"/>
  <c r="M242" i="5"/>
  <c r="H249" i="5"/>
  <c r="H272" i="5"/>
  <c r="K287" i="5"/>
  <c r="K289" i="5" s="1"/>
  <c r="K293" i="5" s="1"/>
  <c r="L287" i="5"/>
  <c r="L289" i="5" s="1"/>
  <c r="L293" i="5" s="1"/>
  <c r="I291" i="5"/>
  <c r="P137" i="6" l="1"/>
  <c r="H53" i="15"/>
  <c r="J53" i="15" s="1"/>
  <c r="J20" i="15"/>
  <c r="P138" i="6"/>
  <c r="P139" i="6" s="1"/>
  <c r="H54" i="15"/>
  <c r="J54" i="15" s="1"/>
  <c r="P25" i="1"/>
  <c r="G54" i="15"/>
  <c r="I54" i="15" s="1"/>
  <c r="I55" i="15" s="1"/>
  <c r="O138" i="6"/>
  <c r="O139" i="6" s="1"/>
  <c r="O90" i="6"/>
  <c r="O110" i="6"/>
  <c r="G35" i="15"/>
  <c r="I35" i="15" s="1"/>
  <c r="I37" i="15" s="1"/>
  <c r="E8" i="9"/>
  <c r="E7" i="7"/>
  <c r="P89" i="5"/>
  <c r="D7" i="9"/>
  <c r="D6" i="7"/>
  <c r="D5" i="9"/>
  <c r="D4" i="7"/>
  <c r="K24" i="5"/>
  <c r="I34" i="5"/>
  <c r="P34" i="5" s="1"/>
  <c r="O127" i="5"/>
  <c r="K276" i="5"/>
  <c r="G8" i="9"/>
  <c r="S24" i="1"/>
  <c r="G7" i="9"/>
  <c r="S23" i="1"/>
  <c r="S25" i="1" s="1"/>
  <c r="R46" i="6"/>
  <c r="R37" i="6"/>
  <c r="S45" i="6"/>
  <c r="R205" i="6"/>
  <c r="R278" i="6"/>
  <c r="R263" i="6"/>
  <c r="H263" i="6" s="1"/>
  <c r="S204" i="6"/>
  <c r="R96" i="6"/>
  <c r="S277" i="6"/>
  <c r="R253" i="6"/>
  <c r="R239" i="6"/>
  <c r="H239" i="6" s="1"/>
  <c r="S252" i="6"/>
  <c r="M230" i="6"/>
  <c r="I219" i="6"/>
  <c r="I220" i="6"/>
  <c r="P220" i="6" s="1"/>
  <c r="R295" i="6"/>
  <c r="R287" i="6"/>
  <c r="H287" i="6" s="1"/>
  <c r="S25" i="6"/>
  <c r="M389" i="6"/>
  <c r="S95" i="6"/>
  <c r="R25" i="6"/>
  <c r="L389" i="6"/>
  <c r="O105" i="6"/>
  <c r="H115" i="6"/>
  <c r="S349" i="6"/>
  <c r="S350" i="6" s="1"/>
  <c r="S128" i="6"/>
  <c r="I128" i="6" s="1"/>
  <c r="P128" i="6" s="1"/>
  <c r="I127" i="6"/>
  <c r="P88" i="6"/>
  <c r="P90" i="6" s="1"/>
  <c r="O128" i="6"/>
  <c r="O129" i="6" s="1"/>
  <c r="R71" i="6"/>
  <c r="R55" i="6"/>
  <c r="S70" i="6"/>
  <c r="R313" i="6"/>
  <c r="R305" i="6"/>
  <c r="H305" i="6" s="1"/>
  <c r="R371" i="6"/>
  <c r="R363" i="6" s="1"/>
  <c r="P89" i="6"/>
  <c r="R181" i="6"/>
  <c r="R163" i="6"/>
  <c r="I111" i="6"/>
  <c r="I110" i="6"/>
  <c r="M121" i="6"/>
  <c r="S370" i="6"/>
  <c r="S312" i="6"/>
  <c r="H129" i="6"/>
  <c r="O111" i="6"/>
  <c r="H106" i="6"/>
  <c r="G31" i="15" s="1"/>
  <c r="I31" i="15" s="1"/>
  <c r="I32" i="15" s="1"/>
  <c r="I39" i="15" s="1"/>
  <c r="S180" i="6"/>
  <c r="K180" i="6"/>
  <c r="S294" i="6"/>
  <c r="P198" i="6"/>
  <c r="P199" i="6" s="1"/>
  <c r="I207" i="6" s="1"/>
  <c r="O216" i="6"/>
  <c r="O223" i="6" s="1"/>
  <c r="R190" i="6" s="1"/>
  <c r="H190" i="6" s="1"/>
  <c r="I298" i="6"/>
  <c r="P291" i="6"/>
  <c r="L65" i="5"/>
  <c r="K145" i="5"/>
  <c r="L267" i="5"/>
  <c r="L276" i="5" s="1"/>
  <c r="R277" i="5" s="1"/>
  <c r="M223" i="5"/>
  <c r="M114" i="5"/>
  <c r="P331" i="5"/>
  <c r="S334" i="5" s="1"/>
  <c r="L121" i="5"/>
  <c r="L325" i="5"/>
  <c r="L331" i="5" s="1"/>
  <c r="R332" i="5" s="1"/>
  <c r="R333" i="5" s="1"/>
  <c r="K223" i="5"/>
  <c r="K175" i="5"/>
  <c r="G181" i="5" s="1"/>
  <c r="H111" i="5"/>
  <c r="O111" i="5" s="1"/>
  <c r="L223" i="5"/>
  <c r="K167" i="5"/>
  <c r="K171" i="5" s="1"/>
  <c r="K179" i="5" s="1"/>
  <c r="M276" i="5"/>
  <c r="S382" i="5"/>
  <c r="S383" i="5" s="1"/>
  <c r="L86" i="5"/>
  <c r="L94" i="5" s="1"/>
  <c r="R95" i="5" s="1"/>
  <c r="L230" i="5"/>
  <c r="M348" i="5"/>
  <c r="S349" i="5" s="1"/>
  <c r="S350" i="5" s="1"/>
  <c r="L145" i="5"/>
  <c r="M94" i="5"/>
  <c r="L24" i="5"/>
  <c r="R25" i="5" s="1"/>
  <c r="R26" i="5" s="1"/>
  <c r="L175" i="5"/>
  <c r="L179" i="5" s="1"/>
  <c r="R180" i="5" s="1"/>
  <c r="R181" i="5" s="1"/>
  <c r="M175" i="5"/>
  <c r="M307" i="5"/>
  <c r="M311" i="5" s="1"/>
  <c r="M361" i="5"/>
  <c r="M369" i="5" s="1"/>
  <c r="M167" i="5"/>
  <c r="M171" i="5" s="1"/>
  <c r="K251" i="5"/>
  <c r="L361" i="5"/>
  <c r="L369" i="5" s="1"/>
  <c r="R370" i="5" s="1"/>
  <c r="R371" i="5" s="1"/>
  <c r="R363" i="5" s="1"/>
  <c r="K107" i="5"/>
  <c r="K114" i="5" s="1"/>
  <c r="M119" i="5"/>
  <c r="M243" i="5"/>
  <c r="M251" i="5" s="1"/>
  <c r="K203" i="5"/>
  <c r="L107" i="5"/>
  <c r="L114" i="5" s="1"/>
  <c r="M118" i="5"/>
  <c r="G44" i="5"/>
  <c r="K44" i="5"/>
  <c r="M145" i="5"/>
  <c r="I188" i="5"/>
  <c r="P188" i="5" s="1"/>
  <c r="O188" i="5"/>
  <c r="I197" i="5"/>
  <c r="O197" i="5"/>
  <c r="O199" i="5" s="1"/>
  <c r="H207" i="5" s="1"/>
  <c r="I33" i="5"/>
  <c r="P33" i="5" s="1"/>
  <c r="P35" i="5" s="1"/>
  <c r="O33" i="5"/>
  <c r="O35" i="5" s="1"/>
  <c r="P127" i="5"/>
  <c r="L195" i="5"/>
  <c r="L203" i="5" s="1"/>
  <c r="O63" i="5"/>
  <c r="I63" i="5"/>
  <c r="P63" i="5" s="1"/>
  <c r="P198" i="5"/>
  <c r="O64" i="5"/>
  <c r="I64" i="5"/>
  <c r="P64" i="5" s="1"/>
  <c r="L311" i="5"/>
  <c r="M331" i="5"/>
  <c r="I80" i="5"/>
  <c r="O80" i="5"/>
  <c r="I201" i="5"/>
  <c r="P201" i="5" s="1"/>
  <c r="O201" i="5"/>
  <c r="I160" i="5"/>
  <c r="P160" i="5" s="1"/>
  <c r="P161" i="5" s="1"/>
  <c r="O160" i="5"/>
  <c r="O161" i="5" s="1"/>
  <c r="I237" i="5"/>
  <c r="P237" i="5" s="1"/>
  <c r="O237" i="5"/>
  <c r="O53" i="5"/>
  <c r="I53" i="5"/>
  <c r="P53" i="5" s="1"/>
  <c r="M69" i="5"/>
  <c r="O128" i="5"/>
  <c r="O129" i="5" s="1"/>
  <c r="I128" i="5"/>
  <c r="P128" i="5" s="1"/>
  <c r="M227" i="5"/>
  <c r="M228" i="5"/>
  <c r="I174" i="5"/>
  <c r="P174" i="5" s="1"/>
  <c r="O174" i="5"/>
  <c r="O378" i="5"/>
  <c r="O381" i="5" s="1"/>
  <c r="R384" i="5" s="1"/>
  <c r="R378" i="5"/>
  <c r="H129" i="5"/>
  <c r="L44" i="5"/>
  <c r="R45" i="5" s="1"/>
  <c r="K58" i="5"/>
  <c r="K61" i="5" s="1"/>
  <c r="K69" i="5" s="1"/>
  <c r="G73" i="5"/>
  <c r="M229" i="5"/>
  <c r="I309" i="5"/>
  <c r="P309" i="5" s="1"/>
  <c r="O309" i="5"/>
  <c r="I143" i="5"/>
  <c r="P142" i="5"/>
  <c r="P143" i="5" s="1"/>
  <c r="L61" i="5"/>
  <c r="I137" i="5"/>
  <c r="P137" i="5" s="1"/>
  <c r="P139" i="5" s="1"/>
  <c r="O137" i="5"/>
  <c r="O139" i="5" s="1"/>
  <c r="M203" i="5"/>
  <c r="M43" i="5"/>
  <c r="M44" i="5" s="1"/>
  <c r="O173" i="5"/>
  <c r="I173" i="5"/>
  <c r="P173" i="5" s="1"/>
  <c r="I298" i="5"/>
  <c r="P291" i="5"/>
  <c r="I88" i="5"/>
  <c r="H110" i="5"/>
  <c r="O110" i="5" s="1"/>
  <c r="H105" i="5"/>
  <c r="O105" i="5" s="1"/>
  <c r="O88" i="5"/>
  <c r="O90" i="5" s="1"/>
  <c r="I272" i="5"/>
  <c r="P272" i="5" s="1"/>
  <c r="O272" i="5"/>
  <c r="H106" i="5"/>
  <c r="P16" i="5"/>
  <c r="I249" i="5"/>
  <c r="P249" i="5" s="1"/>
  <c r="O249" i="5"/>
  <c r="L243" i="5"/>
  <c r="L251" i="5" s="1"/>
  <c r="R252" i="5" s="1"/>
  <c r="K311" i="5"/>
  <c r="K348" i="5"/>
  <c r="G24" i="5"/>
  <c r="H219" i="5"/>
  <c r="O219" i="5" s="1"/>
  <c r="I269" i="5"/>
  <c r="P269" i="5" s="1"/>
  <c r="P270" i="5" s="1"/>
  <c r="I280" i="5" s="1"/>
  <c r="O269" i="5"/>
  <c r="O270" i="5" s="1"/>
  <c r="H280" i="5" s="1"/>
  <c r="K94" i="5"/>
  <c r="O67" i="5"/>
  <c r="I67" i="5"/>
  <c r="P67" i="5" s="1"/>
  <c r="H215" i="5"/>
  <c r="O220" i="5"/>
  <c r="M23" i="5"/>
  <c r="M24" i="5" s="1"/>
  <c r="H98" i="6" l="1"/>
  <c r="P110" i="6"/>
  <c r="P112" i="6" s="1"/>
  <c r="H35" i="15"/>
  <c r="J35" i="15" s="1"/>
  <c r="J37" i="15" s="1"/>
  <c r="I98" i="6"/>
  <c r="P111" i="6"/>
  <c r="H36" i="15"/>
  <c r="J36" i="15" s="1"/>
  <c r="J55" i="15"/>
  <c r="O112" i="6"/>
  <c r="M179" i="5"/>
  <c r="H98" i="5"/>
  <c r="L69" i="5"/>
  <c r="W80" i="5"/>
  <c r="E7" i="9"/>
  <c r="E6" i="7"/>
  <c r="P80" i="5"/>
  <c r="E5" i="9"/>
  <c r="E4" i="7"/>
  <c r="I105" i="6"/>
  <c r="H30" i="15" s="1"/>
  <c r="J30" i="15" s="1"/>
  <c r="I106" i="6"/>
  <c r="O190" i="6"/>
  <c r="O191" i="6" s="1"/>
  <c r="O195" i="6" s="1"/>
  <c r="O203" i="6" s="1"/>
  <c r="R206" i="6" s="1"/>
  <c r="O239" i="6"/>
  <c r="O240" i="6" s="1"/>
  <c r="O243" i="6" s="1"/>
  <c r="O251" i="6" s="1"/>
  <c r="R254" i="6" s="1"/>
  <c r="I239" i="6"/>
  <c r="P239" i="6" s="1"/>
  <c r="P240" i="6" s="1"/>
  <c r="P243" i="6" s="1"/>
  <c r="P251" i="6" s="1"/>
  <c r="S254" i="6" s="1"/>
  <c r="H297" i="6"/>
  <c r="O287" i="6"/>
  <c r="O289" i="6" s="1"/>
  <c r="O293" i="6" s="1"/>
  <c r="R296" i="6" s="1"/>
  <c r="S96" i="6"/>
  <c r="S313" i="6"/>
  <c r="S305" i="6"/>
  <c r="I305" i="6" s="1"/>
  <c r="P305" i="6" s="1"/>
  <c r="P307" i="6" s="1"/>
  <c r="P311" i="6" s="1"/>
  <c r="S314" i="6" s="1"/>
  <c r="R365" i="6"/>
  <c r="H365" i="6" s="1"/>
  <c r="H363" i="6"/>
  <c r="S26" i="6"/>
  <c r="S278" i="6"/>
  <c r="S263" i="6"/>
  <c r="S371" i="6"/>
  <c r="S363" i="6" s="1"/>
  <c r="S365" i="6" s="1"/>
  <c r="O305" i="6"/>
  <c r="O307" i="6" s="1"/>
  <c r="O311" i="6" s="1"/>
  <c r="R314" i="6" s="1"/>
  <c r="P127" i="6"/>
  <c r="P129" i="6" s="1"/>
  <c r="I129" i="6"/>
  <c r="S205" i="6"/>
  <c r="P219" i="6"/>
  <c r="P221" i="6" s="1"/>
  <c r="I214" i="6"/>
  <c r="O263" i="6"/>
  <c r="O264" i="6" s="1"/>
  <c r="O267" i="6" s="1"/>
  <c r="O276" i="6" s="1"/>
  <c r="R279" i="6" s="1"/>
  <c r="I263" i="6"/>
  <c r="P263" i="6" s="1"/>
  <c r="P264" i="6" s="1"/>
  <c r="P267" i="6" s="1"/>
  <c r="P276" i="6" s="1"/>
  <c r="S279" i="6" s="1"/>
  <c r="I215" i="6"/>
  <c r="S55" i="6"/>
  <c r="S71" i="6"/>
  <c r="S295" i="6"/>
  <c r="S287" i="6"/>
  <c r="I287" i="6" s="1"/>
  <c r="H163" i="6"/>
  <c r="R164" i="6"/>
  <c r="H55" i="6"/>
  <c r="R56" i="6"/>
  <c r="S163" i="6"/>
  <c r="S181" i="6"/>
  <c r="R26" i="6"/>
  <c r="R18" i="6"/>
  <c r="S46" i="6"/>
  <c r="S37" i="6"/>
  <c r="S38" i="6" s="1"/>
  <c r="O106" i="6"/>
  <c r="O107" i="6" s="1"/>
  <c r="O114" i="6" s="1"/>
  <c r="R82" i="6" s="1"/>
  <c r="H116" i="6"/>
  <c r="S239" i="6"/>
  <c r="S253" i="6"/>
  <c r="H37" i="6"/>
  <c r="R38" i="6"/>
  <c r="H38" i="6" s="1"/>
  <c r="R278" i="5"/>
  <c r="S277" i="5"/>
  <c r="S263" i="5" s="1"/>
  <c r="I263" i="5" s="1"/>
  <c r="P263" i="5" s="1"/>
  <c r="P264" i="5" s="1"/>
  <c r="P267" i="5" s="1"/>
  <c r="P276" i="5" s="1"/>
  <c r="S279" i="5" s="1"/>
  <c r="R204" i="5"/>
  <c r="R205" i="5" s="1"/>
  <c r="S332" i="5"/>
  <c r="S333" i="5" s="1"/>
  <c r="O112" i="5"/>
  <c r="S370" i="5"/>
  <c r="S371" i="5" s="1"/>
  <c r="S363" i="5" s="1"/>
  <c r="S365" i="5" s="1"/>
  <c r="P175" i="5"/>
  <c r="I181" i="5" s="1"/>
  <c r="S180" i="5"/>
  <c r="S181" i="5" s="1"/>
  <c r="K389" i="5"/>
  <c r="M121" i="5"/>
  <c r="I111" i="5"/>
  <c r="O175" i="5"/>
  <c r="H181" i="5" s="1"/>
  <c r="P129" i="5"/>
  <c r="S45" i="5"/>
  <c r="S46" i="5" s="1"/>
  <c r="I129" i="5"/>
  <c r="S95" i="5"/>
  <c r="S96" i="5" s="1"/>
  <c r="R18" i="5"/>
  <c r="R19" i="5" s="1"/>
  <c r="H19" i="5" s="1"/>
  <c r="R263" i="5"/>
  <c r="H263" i="5" s="1"/>
  <c r="O263" i="5" s="1"/>
  <c r="O264" i="5" s="1"/>
  <c r="O267" i="5" s="1"/>
  <c r="O276" i="5" s="1"/>
  <c r="R279" i="5" s="1"/>
  <c r="R70" i="5"/>
  <c r="L389" i="5"/>
  <c r="R312" i="5"/>
  <c r="O215" i="5"/>
  <c r="H225" i="5"/>
  <c r="R239" i="5"/>
  <c r="H239" i="5" s="1"/>
  <c r="R253" i="5"/>
  <c r="O106" i="5"/>
  <c r="O107" i="5" s="1"/>
  <c r="H116" i="5"/>
  <c r="S252" i="5"/>
  <c r="O221" i="5"/>
  <c r="I220" i="5"/>
  <c r="M230" i="5"/>
  <c r="I219" i="5"/>
  <c r="P219" i="5" s="1"/>
  <c r="P65" i="5"/>
  <c r="I74" i="5" s="1"/>
  <c r="H214" i="5"/>
  <c r="R365" i="5"/>
  <c r="H365" i="5" s="1"/>
  <c r="H363" i="5"/>
  <c r="O65" i="5"/>
  <c r="H74" i="5" s="1"/>
  <c r="S204" i="5"/>
  <c r="K180" i="5"/>
  <c r="P197" i="5"/>
  <c r="P199" i="5" s="1"/>
  <c r="I207" i="5" s="1"/>
  <c r="M389" i="5"/>
  <c r="S25" i="5"/>
  <c r="R46" i="5"/>
  <c r="R37" i="5"/>
  <c r="R96" i="5"/>
  <c r="H115" i="5"/>
  <c r="P88" i="5"/>
  <c r="P90" i="5" s="1"/>
  <c r="I110" i="5"/>
  <c r="P110" i="5" s="1"/>
  <c r="S278" i="5"/>
  <c r="P106" i="6" l="1"/>
  <c r="H31" i="15"/>
  <c r="J31" i="15" s="1"/>
  <c r="J32" i="15" s="1"/>
  <c r="J39" i="15" s="1"/>
  <c r="W82" i="6"/>
  <c r="I116" i="6"/>
  <c r="Y80" i="5"/>
  <c r="I98" i="5"/>
  <c r="P105" i="6"/>
  <c r="P107" i="6" s="1"/>
  <c r="P114" i="6" s="1"/>
  <c r="I115" i="6"/>
  <c r="P287" i="6"/>
  <c r="P289" i="6" s="1"/>
  <c r="P293" i="6" s="1"/>
  <c r="S296" i="6" s="1"/>
  <c r="I297" i="6"/>
  <c r="H82" i="6"/>
  <c r="G12" i="15" s="1"/>
  <c r="I12" i="15" s="1"/>
  <c r="I13" i="15" s="1"/>
  <c r="I16" i="15" s="1"/>
  <c r="I24" i="15" s="1"/>
  <c r="R131" i="6"/>
  <c r="H131" i="6" s="1"/>
  <c r="G47" i="15" s="1"/>
  <c r="R19" i="6"/>
  <c r="H19" i="6" s="1"/>
  <c r="H18" i="6"/>
  <c r="S57" i="6"/>
  <c r="S56" i="6"/>
  <c r="P215" i="6"/>
  <c r="I225" i="6"/>
  <c r="O38" i="6"/>
  <c r="I38" i="6"/>
  <c r="P38" i="6" s="1"/>
  <c r="S164" i="6"/>
  <c r="S165" i="6"/>
  <c r="S166" i="6" s="1"/>
  <c r="I37" i="6"/>
  <c r="P37" i="6" s="1"/>
  <c r="O37" i="6"/>
  <c r="P214" i="6"/>
  <c r="I224" i="6"/>
  <c r="H56" i="6"/>
  <c r="R57" i="6"/>
  <c r="H57" i="6" s="1"/>
  <c r="S18" i="6"/>
  <c r="S19" i="6" s="1"/>
  <c r="I55" i="6"/>
  <c r="P55" i="6" s="1"/>
  <c r="O55" i="6"/>
  <c r="R165" i="6"/>
  <c r="H164" i="6"/>
  <c r="O363" i="6"/>
  <c r="I363" i="6"/>
  <c r="P363" i="6" s="1"/>
  <c r="O163" i="6"/>
  <c r="I163" i="6"/>
  <c r="P163" i="6" s="1"/>
  <c r="I365" i="6"/>
  <c r="P365" i="6" s="1"/>
  <c r="O365" i="6"/>
  <c r="O114" i="5"/>
  <c r="H18" i="5"/>
  <c r="P111" i="5"/>
  <c r="I106" i="5"/>
  <c r="I214" i="5"/>
  <c r="P214" i="5" s="1"/>
  <c r="P112" i="5"/>
  <c r="R163" i="5"/>
  <c r="S163" i="5" s="1"/>
  <c r="S164" i="5" s="1"/>
  <c r="I363" i="5"/>
  <c r="P363" i="5" s="1"/>
  <c r="O363" i="5"/>
  <c r="O365" i="5"/>
  <c r="I365" i="5"/>
  <c r="P365" i="5" s="1"/>
  <c r="R55" i="5"/>
  <c r="R71" i="5"/>
  <c r="R38" i="5"/>
  <c r="H38" i="5" s="1"/>
  <c r="H37" i="5"/>
  <c r="P220" i="5"/>
  <c r="P221" i="5" s="1"/>
  <c r="I215" i="5"/>
  <c r="R294" i="5"/>
  <c r="I105" i="5"/>
  <c r="S18" i="5"/>
  <c r="S19" i="5" s="1"/>
  <c r="I19" i="5" s="1"/>
  <c r="P19" i="5" s="1"/>
  <c r="S26" i="5"/>
  <c r="S205" i="5"/>
  <c r="S239" i="5"/>
  <c r="I239" i="5" s="1"/>
  <c r="P239" i="5" s="1"/>
  <c r="P240" i="5" s="1"/>
  <c r="P243" i="5" s="1"/>
  <c r="P251" i="5" s="1"/>
  <c r="S254" i="5" s="1"/>
  <c r="S253" i="5"/>
  <c r="R305" i="5"/>
  <c r="H305" i="5" s="1"/>
  <c r="R313" i="5"/>
  <c r="S312" i="5"/>
  <c r="S37" i="5"/>
  <c r="S38" i="5" s="1"/>
  <c r="O18" i="5"/>
  <c r="O214" i="5"/>
  <c r="O216" i="5" s="1"/>
  <c r="O223" i="5" s="1"/>
  <c r="R190" i="5" s="1"/>
  <c r="H190" i="5" s="1"/>
  <c r="H224" i="5"/>
  <c r="O19" i="5"/>
  <c r="S70" i="5"/>
  <c r="O239" i="5"/>
  <c r="O240" i="5" s="1"/>
  <c r="O243" i="5" s="1"/>
  <c r="O251" i="5" s="1"/>
  <c r="R254" i="5" s="1"/>
  <c r="S82" i="6" l="1"/>
  <c r="S131" i="6" s="1"/>
  <c r="I131" i="6" s="1"/>
  <c r="H47" i="15" s="1"/>
  <c r="Y82" i="6"/>
  <c r="I47" i="15"/>
  <c r="I48" i="15" s="1"/>
  <c r="I51" i="15" s="1"/>
  <c r="I61" i="15" s="1"/>
  <c r="G48" i="15"/>
  <c r="R82" i="5"/>
  <c r="R131" i="5" s="1"/>
  <c r="H131" i="5" s="1"/>
  <c r="W82" i="5"/>
  <c r="F6" i="9"/>
  <c r="P22" i="1"/>
  <c r="H165" i="6"/>
  <c r="R166" i="6"/>
  <c r="H166" i="6" s="1"/>
  <c r="O57" i="6"/>
  <c r="I57" i="6"/>
  <c r="P57" i="6" s="1"/>
  <c r="O56" i="6"/>
  <c r="H73" i="6" s="1"/>
  <c r="I56" i="6"/>
  <c r="P56" i="6" s="1"/>
  <c r="I73" i="6" s="1"/>
  <c r="I18" i="6"/>
  <c r="P18" i="6" s="1"/>
  <c r="P20" i="6" s="1"/>
  <c r="P23" i="6" s="1"/>
  <c r="P24" i="6" s="1"/>
  <c r="O18" i="6"/>
  <c r="O20" i="6" s="1"/>
  <c r="O23" i="6" s="1"/>
  <c r="O24" i="6" s="1"/>
  <c r="P216" i="6"/>
  <c r="P223" i="6" s="1"/>
  <c r="S190" i="6" s="1"/>
  <c r="I190" i="6" s="1"/>
  <c r="P190" i="6" s="1"/>
  <c r="P191" i="6" s="1"/>
  <c r="P195" i="6" s="1"/>
  <c r="P203" i="6" s="1"/>
  <c r="S206" i="6" s="1"/>
  <c r="I19" i="6"/>
  <c r="P19" i="6" s="1"/>
  <c r="O19" i="6"/>
  <c r="O39" i="6"/>
  <c r="O43" i="6" s="1"/>
  <c r="H132" i="6"/>
  <c r="O131" i="6"/>
  <c r="O132" i="6" s="1"/>
  <c r="O135" i="6" s="1"/>
  <c r="O145" i="6" s="1"/>
  <c r="P39" i="6"/>
  <c r="P43" i="6" s="1"/>
  <c r="O82" i="6"/>
  <c r="O83" i="6" s="1"/>
  <c r="O86" i="6" s="1"/>
  <c r="R358" i="6"/>
  <c r="I164" i="6"/>
  <c r="P164" i="6" s="1"/>
  <c r="O164" i="6"/>
  <c r="H82" i="5"/>
  <c r="H163" i="5"/>
  <c r="I163" i="5" s="1"/>
  <c r="P163" i="5" s="1"/>
  <c r="O20" i="5"/>
  <c r="O23" i="5" s="1"/>
  <c r="O24" i="5" s="1"/>
  <c r="H24" i="5" s="1"/>
  <c r="I224" i="5"/>
  <c r="R164" i="5"/>
  <c r="R165" i="5" s="1"/>
  <c r="P106" i="5"/>
  <c r="I116" i="5"/>
  <c r="S165" i="5"/>
  <c r="S166" i="5" s="1"/>
  <c r="O305" i="5"/>
  <c r="O307" i="5" s="1"/>
  <c r="O311" i="5" s="1"/>
  <c r="R314" i="5" s="1"/>
  <c r="O37" i="5"/>
  <c r="I37" i="5"/>
  <c r="P37" i="5" s="1"/>
  <c r="O38" i="5"/>
  <c r="I38" i="5"/>
  <c r="P38" i="5" s="1"/>
  <c r="O190" i="5"/>
  <c r="O191" i="5" s="1"/>
  <c r="O195" i="5" s="1"/>
  <c r="O203" i="5" s="1"/>
  <c r="R206" i="5" s="1"/>
  <c r="R56" i="5"/>
  <c r="H55" i="5"/>
  <c r="I18" i="5"/>
  <c r="P18" i="5" s="1"/>
  <c r="P20" i="5" s="1"/>
  <c r="P23" i="5" s="1"/>
  <c r="P24" i="5" s="1"/>
  <c r="R358" i="5"/>
  <c r="S358" i="5" s="1"/>
  <c r="S359" i="5" s="1"/>
  <c r="S360" i="5" s="1"/>
  <c r="S71" i="5"/>
  <c r="S55" i="5"/>
  <c r="P105" i="5"/>
  <c r="I115" i="5"/>
  <c r="O163" i="5"/>
  <c r="R287" i="5"/>
  <c r="H287" i="5" s="1"/>
  <c r="R295" i="5"/>
  <c r="S294" i="5"/>
  <c r="S313" i="5"/>
  <c r="S305" i="5"/>
  <c r="I305" i="5" s="1"/>
  <c r="P305" i="5" s="1"/>
  <c r="P307" i="5" s="1"/>
  <c r="P311" i="5" s="1"/>
  <c r="S314" i="5" s="1"/>
  <c r="P215" i="5"/>
  <c r="P216" i="5" s="1"/>
  <c r="P223" i="5" s="1"/>
  <c r="S190" i="5" s="1"/>
  <c r="I190" i="5" s="1"/>
  <c r="P190" i="5" s="1"/>
  <c r="P191" i="5" s="1"/>
  <c r="P195" i="5" s="1"/>
  <c r="P203" i="5" s="1"/>
  <c r="S206" i="5" s="1"/>
  <c r="I225" i="5"/>
  <c r="H132" i="5"/>
  <c r="O131" i="5"/>
  <c r="O132" i="5" s="1"/>
  <c r="O135" i="5" s="1"/>
  <c r="O145" i="5" s="1"/>
  <c r="H48" i="15" l="1"/>
  <c r="J47" i="15"/>
  <c r="J48" i="15" s="1"/>
  <c r="J51" i="15" s="1"/>
  <c r="J61" i="15" s="1"/>
  <c r="O94" i="6"/>
  <c r="O148" i="6" s="1"/>
  <c r="W81" i="6"/>
  <c r="I82" i="6"/>
  <c r="H12" i="15" s="1"/>
  <c r="J12" i="15" s="1"/>
  <c r="J13" i="15" s="1"/>
  <c r="J16" i="15" s="1"/>
  <c r="J24" i="15" s="1"/>
  <c r="H164" i="5"/>
  <c r="I164" i="5" s="1"/>
  <c r="P164" i="5" s="1"/>
  <c r="O82" i="5"/>
  <c r="O83" i="5" s="1"/>
  <c r="O86" i="5" s="1"/>
  <c r="D6" i="9"/>
  <c r="D5" i="7"/>
  <c r="P82" i="6"/>
  <c r="P83" i="6" s="1"/>
  <c r="P86" i="6" s="1"/>
  <c r="G6" i="9"/>
  <c r="S22" i="1"/>
  <c r="R27" i="6"/>
  <c r="H24" i="6"/>
  <c r="I132" i="6"/>
  <c r="P131" i="6"/>
  <c r="P132" i="6" s="1"/>
  <c r="P135" i="6" s="1"/>
  <c r="P145" i="6" s="1"/>
  <c r="O44" i="6"/>
  <c r="R47" i="6" s="1"/>
  <c r="H44" i="6"/>
  <c r="I180" i="6"/>
  <c r="P58" i="6"/>
  <c r="P61" i="6" s="1"/>
  <c r="P69" i="6" s="1"/>
  <c r="S72" i="6" s="1"/>
  <c r="O58" i="6"/>
  <c r="O61" i="6" s="1"/>
  <c r="O69" i="6" s="1"/>
  <c r="R72" i="6" s="1"/>
  <c r="P44" i="6"/>
  <c r="S47" i="6" s="1"/>
  <c r="I44" i="6"/>
  <c r="I166" i="6"/>
  <c r="P166" i="6" s="1"/>
  <c r="O166" i="6"/>
  <c r="I24" i="6"/>
  <c r="S27" i="6"/>
  <c r="H180" i="6"/>
  <c r="O167" i="6"/>
  <c r="O171" i="6" s="1"/>
  <c r="O179" i="6" s="1"/>
  <c r="R182" i="6" s="1"/>
  <c r="R359" i="6"/>
  <c r="H358" i="6"/>
  <c r="R97" i="6"/>
  <c r="S358" i="6"/>
  <c r="S359" i="6" s="1"/>
  <c r="S360" i="6" s="1"/>
  <c r="O165" i="6"/>
  <c r="H179" i="6" s="1"/>
  <c r="I165" i="6"/>
  <c r="P165" i="6" s="1"/>
  <c r="I179" i="6" s="1"/>
  <c r="P107" i="5"/>
  <c r="P114" i="5" s="1"/>
  <c r="O39" i="5"/>
  <c r="O43" i="5" s="1"/>
  <c r="O44" i="5" s="1"/>
  <c r="R27" i="5"/>
  <c r="O164" i="5"/>
  <c r="R166" i="5"/>
  <c r="H166" i="5" s="1"/>
  <c r="H165" i="5"/>
  <c r="R57" i="5"/>
  <c r="H57" i="5" s="1"/>
  <c r="H56" i="5"/>
  <c r="P39" i="5"/>
  <c r="P43" i="5" s="1"/>
  <c r="S56" i="5"/>
  <c r="S57" i="5"/>
  <c r="R359" i="5"/>
  <c r="H358" i="5"/>
  <c r="S287" i="5"/>
  <c r="I287" i="5" s="1"/>
  <c r="S295" i="5"/>
  <c r="I24" i="5"/>
  <c r="S27" i="5"/>
  <c r="H297" i="5"/>
  <c r="O287" i="5"/>
  <c r="O289" i="5" s="1"/>
  <c r="O293" i="5" s="1"/>
  <c r="R296" i="5" s="1"/>
  <c r="O55" i="5"/>
  <c r="I55" i="5"/>
  <c r="P55" i="5" s="1"/>
  <c r="W83" i="6" l="1"/>
  <c r="X81" i="6"/>
  <c r="P94" i="6"/>
  <c r="Y81" i="6"/>
  <c r="P148" i="6"/>
  <c r="S82" i="5"/>
  <c r="Y82" i="5"/>
  <c r="O94" i="5"/>
  <c r="W81" i="5"/>
  <c r="S97" i="6"/>
  <c r="P167" i="6"/>
  <c r="P171" i="6" s="1"/>
  <c r="P179" i="6" s="1"/>
  <c r="S182" i="6" s="1"/>
  <c r="O358" i="6"/>
  <c r="I358" i="6"/>
  <c r="P358" i="6" s="1"/>
  <c r="R360" i="6"/>
  <c r="H360" i="6" s="1"/>
  <c r="H359" i="6"/>
  <c r="H44" i="5"/>
  <c r="I297" i="5"/>
  <c r="P287" i="5"/>
  <c r="P289" i="5" s="1"/>
  <c r="P293" i="5" s="1"/>
  <c r="S296" i="5" s="1"/>
  <c r="I166" i="5"/>
  <c r="P166" i="5" s="1"/>
  <c r="I180" i="5" s="1"/>
  <c r="O166" i="5"/>
  <c r="H180" i="5" s="1"/>
  <c r="P44" i="5"/>
  <c r="I44" i="5"/>
  <c r="O57" i="5"/>
  <c r="I57" i="5"/>
  <c r="P57" i="5" s="1"/>
  <c r="O358" i="5"/>
  <c r="I358" i="5"/>
  <c r="P358" i="5" s="1"/>
  <c r="R360" i="5"/>
  <c r="H360" i="5" s="1"/>
  <c r="H359" i="5"/>
  <c r="O165" i="5"/>
  <c r="H179" i="5" s="1"/>
  <c r="I165" i="5"/>
  <c r="P165" i="5" s="1"/>
  <c r="R47" i="5"/>
  <c r="O56" i="5"/>
  <c r="H73" i="5" s="1"/>
  <c r="I56" i="5"/>
  <c r="P56" i="5" s="1"/>
  <c r="I73" i="5" s="1"/>
  <c r="E6" i="17" l="1"/>
  <c r="C5" i="18"/>
  <c r="Y83" i="6"/>
  <c r="X80" i="6"/>
  <c r="X82" i="6"/>
  <c r="W83" i="5"/>
  <c r="O147" i="6"/>
  <c r="O149" i="6" s="1"/>
  <c r="R97" i="5"/>
  <c r="O58" i="5"/>
  <c r="O61" i="5" s="1"/>
  <c r="O69" i="5" s="1"/>
  <c r="R72" i="5" s="1"/>
  <c r="S131" i="5"/>
  <c r="I131" i="5" s="1"/>
  <c r="I82" i="5"/>
  <c r="O359" i="6"/>
  <c r="I359" i="6"/>
  <c r="P359" i="6" s="1"/>
  <c r="O360" i="6"/>
  <c r="I360" i="6"/>
  <c r="P360" i="6" s="1"/>
  <c r="P361" i="6"/>
  <c r="P369" i="6" s="1"/>
  <c r="S372" i="6" s="1"/>
  <c r="O361" i="6"/>
  <c r="O369" i="6" s="1"/>
  <c r="P58" i="5"/>
  <c r="P61" i="5" s="1"/>
  <c r="P69" i="5" s="1"/>
  <c r="S72" i="5" s="1"/>
  <c r="S47" i="5"/>
  <c r="I179" i="5"/>
  <c r="P167" i="5"/>
  <c r="P171" i="5" s="1"/>
  <c r="P179" i="5" s="1"/>
  <c r="S182" i="5" s="1"/>
  <c r="O359" i="5"/>
  <c r="I359" i="5"/>
  <c r="P359" i="5" s="1"/>
  <c r="O360" i="5"/>
  <c r="I360" i="5"/>
  <c r="P360" i="5" s="1"/>
  <c r="O167" i="5"/>
  <c r="O171" i="5" s="1"/>
  <c r="O179" i="5" s="1"/>
  <c r="R182" i="5" s="1"/>
  <c r="C6" i="18" l="1"/>
  <c r="E7" i="17"/>
  <c r="C4" i="18"/>
  <c r="C7" i="18" s="1"/>
  <c r="E5" i="17"/>
  <c r="E8" i="17" s="1"/>
  <c r="Z80" i="6"/>
  <c r="Z82" i="6"/>
  <c r="Z81" i="6"/>
  <c r="P82" i="5"/>
  <c r="P83" i="5" s="1"/>
  <c r="P86" i="5" s="1"/>
  <c r="E6" i="9"/>
  <c r="E5" i="7"/>
  <c r="P361" i="5"/>
  <c r="P369" i="5" s="1"/>
  <c r="S372" i="5" s="1"/>
  <c r="I132" i="5"/>
  <c r="P131" i="5"/>
  <c r="P132" i="5" s="1"/>
  <c r="P135" i="5" s="1"/>
  <c r="P145" i="5" s="1"/>
  <c r="X80" i="5"/>
  <c r="X82" i="5"/>
  <c r="X81" i="5"/>
  <c r="R372" i="6"/>
  <c r="O389" i="6"/>
  <c r="O391" i="6" s="1"/>
  <c r="P389" i="6"/>
  <c r="P391" i="6" s="1"/>
  <c r="O361" i="5"/>
  <c r="O369" i="5" s="1"/>
  <c r="R372" i="5" s="1"/>
  <c r="F6" i="17" l="1"/>
  <c r="D5" i="18"/>
  <c r="D4" i="18"/>
  <c r="F5" i="17"/>
  <c r="F7" i="17"/>
  <c r="D6" i="18"/>
  <c r="C7" i="17"/>
  <c r="C7" i="8"/>
  <c r="C6" i="17"/>
  <c r="C6" i="8"/>
  <c r="C5" i="17"/>
  <c r="C8" i="17" s="1"/>
  <c r="C5" i="8"/>
  <c r="C8" i="8" s="1"/>
  <c r="P94" i="5"/>
  <c r="S97" i="5" s="1"/>
  <c r="Y81" i="5"/>
  <c r="O389" i="5"/>
  <c r="O391" i="5" s="1"/>
  <c r="F8" i="17" l="1"/>
  <c r="D7" i="18"/>
  <c r="Y83" i="5"/>
  <c r="P147" i="6"/>
  <c r="P149" i="6" s="1"/>
  <c r="P389" i="5"/>
  <c r="P391" i="5" s="1"/>
  <c r="F17" i="3"/>
  <c r="F18" i="3"/>
  <c r="F19" i="3"/>
  <c r="Z80" i="5" l="1"/>
  <c r="Z82" i="5"/>
  <c r="Z81" i="5"/>
  <c r="F20" i="3"/>
  <c r="D7" i="17" l="1"/>
  <c r="D7" i="8"/>
  <c r="D6" i="8"/>
  <c r="D6" i="17"/>
  <c r="D5" i="8"/>
  <c r="D5" i="17"/>
  <c r="D8" i="17" s="1"/>
  <c r="N51" i="1"/>
  <c r="T26" i="1"/>
  <c r="Q26" i="1"/>
  <c r="S18" i="1"/>
  <c r="T18" i="1" s="1"/>
  <c r="Q18" i="1"/>
  <c r="P18" i="1"/>
  <c r="N18" i="1"/>
  <c r="N16" i="1"/>
  <c r="N15" i="1"/>
  <c r="N14" i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N12" i="1"/>
  <c r="D12" i="1"/>
  <c r="D11" i="1"/>
  <c r="B11" i="1"/>
  <c r="B12" i="1" s="1"/>
  <c r="A11" i="1"/>
  <c r="A12" i="1" s="1"/>
  <c r="A13" i="1" s="1"/>
  <c r="N10" i="1"/>
  <c r="D10" i="1"/>
  <c r="D8" i="8" l="1"/>
  <c r="P10" i="1"/>
  <c r="Q10" i="1" s="1"/>
  <c r="Q21" i="1"/>
  <c r="B14" i="1"/>
  <c r="F12" i="1"/>
  <c r="F10" i="1"/>
  <c r="F11" i="1"/>
  <c r="D15" i="1" l="1"/>
  <c r="D16" i="1"/>
  <c r="B15" i="1"/>
  <c r="D14" i="1"/>
  <c r="F14" i="1"/>
  <c r="B16" i="1" l="1"/>
  <c r="F15" i="1"/>
  <c r="B18" i="1" l="1"/>
  <c r="F16" i="1"/>
  <c r="D19" i="1" l="1"/>
  <c r="B19" i="1"/>
  <c r="D18" i="1"/>
  <c r="D20" i="1"/>
  <c r="B20" i="1" l="1"/>
  <c r="F19" i="1"/>
  <c r="F18" i="1"/>
  <c r="B22" i="1" l="1"/>
  <c r="F20" i="1"/>
  <c r="B23" i="1" l="1"/>
  <c r="D24" i="1"/>
  <c r="D23" i="1"/>
  <c r="F22" i="1"/>
  <c r="D22" i="1"/>
  <c r="B24" i="1" l="1"/>
  <c r="F23" i="1"/>
  <c r="B26" i="1" l="1"/>
  <c r="F24" i="1"/>
  <c r="D27" i="1" l="1"/>
  <c r="D26" i="1"/>
  <c r="D28" i="1"/>
  <c r="B27" i="1"/>
  <c r="F27" i="1" l="1"/>
  <c r="B28" i="1"/>
  <c r="F26" i="1"/>
  <c r="B30" i="1" l="1"/>
  <c r="F28" i="1"/>
  <c r="D31" i="1" l="1"/>
  <c r="D32" i="1"/>
  <c r="B31" i="1"/>
  <c r="D30" i="1"/>
  <c r="F30" i="1" l="1"/>
  <c r="B32" i="1"/>
  <c r="F31" i="1"/>
  <c r="B34" i="1" l="1"/>
  <c r="F32" i="1"/>
  <c r="D34" i="1" l="1"/>
  <c r="F34" i="1"/>
  <c r="D35" i="1"/>
  <c r="B35" i="1"/>
  <c r="D36" i="1"/>
  <c r="B36" i="1" l="1"/>
  <c r="F35" i="1"/>
  <c r="F36" i="1" l="1"/>
  <c r="S10" i="1" l="1"/>
  <c r="T10" i="1" s="1"/>
  <c r="T21" i="1"/>
  <c r="Q24" i="1" l="1"/>
  <c r="P15" i="1"/>
  <c r="P14" i="1"/>
  <c r="Q14" i="1" s="1"/>
  <c r="Q23" i="1"/>
  <c r="S14" i="1" l="1"/>
  <c r="T14" i="1" s="1"/>
  <c r="T23" i="1"/>
  <c r="P16" i="1"/>
  <c r="Q25" i="1"/>
  <c r="S15" i="1"/>
  <c r="T24" i="1"/>
  <c r="S16" i="1" l="1"/>
  <c r="T25" i="1"/>
  <c r="Q16" i="1"/>
  <c r="T16" i="1" l="1"/>
  <c r="P12" i="1" l="1"/>
  <c r="P51" i="1"/>
  <c r="Q22" i="1"/>
  <c r="S51" i="1" l="1"/>
  <c r="S12" i="1"/>
  <c r="T22" i="1"/>
  <c r="Q12" i="1"/>
  <c r="G22" i="1"/>
  <c r="G24" i="1"/>
  <c r="G11" i="1"/>
  <c r="G27" i="1"/>
  <c r="G26" i="1"/>
  <c r="G28" i="1"/>
  <c r="G31" i="1"/>
  <c r="G32" i="1"/>
  <c r="G19" i="1"/>
  <c r="G23" i="1"/>
  <c r="G36" i="1"/>
  <c r="G10" i="1"/>
  <c r="G35" i="1"/>
  <c r="G12" i="1"/>
  <c r="G34" i="1"/>
  <c r="G14" i="1"/>
  <c r="G30" i="1"/>
  <c r="G15" i="1"/>
  <c r="G16" i="1"/>
  <c r="G18" i="1"/>
  <c r="G20" i="1"/>
  <c r="J32" i="1" l="1"/>
  <c r="F29" i="16"/>
  <c r="H29" i="16" s="1"/>
  <c r="J18" i="1"/>
  <c r="F15" i="16"/>
  <c r="H15" i="16" s="1"/>
  <c r="J16" i="1"/>
  <c r="F13" i="16"/>
  <c r="H13" i="16" s="1"/>
  <c r="J31" i="1"/>
  <c r="F28" i="16"/>
  <c r="H28" i="16" s="1"/>
  <c r="J15" i="1"/>
  <c r="F12" i="16"/>
  <c r="H12" i="16" s="1"/>
  <c r="J28" i="1"/>
  <c r="F25" i="16"/>
  <c r="H25" i="16" s="1"/>
  <c r="J30" i="1"/>
  <c r="F27" i="16"/>
  <c r="H27" i="16" s="1"/>
  <c r="J26" i="1"/>
  <c r="F23" i="16"/>
  <c r="H23" i="16" s="1"/>
  <c r="J14" i="1"/>
  <c r="F11" i="16"/>
  <c r="H11" i="16" s="1"/>
  <c r="J27" i="1"/>
  <c r="F24" i="16"/>
  <c r="H24" i="16" s="1"/>
  <c r="J34" i="1"/>
  <c r="F31" i="16"/>
  <c r="H31" i="16" s="1"/>
  <c r="J11" i="1"/>
  <c r="F8" i="16"/>
  <c r="H8" i="16" s="1"/>
  <c r="J12" i="1"/>
  <c r="F9" i="16"/>
  <c r="H9" i="16" s="1"/>
  <c r="J24" i="1"/>
  <c r="F21" i="16"/>
  <c r="H21" i="16" s="1"/>
  <c r="J35" i="1"/>
  <c r="F32" i="16"/>
  <c r="H32" i="16" s="1"/>
  <c r="J22" i="1"/>
  <c r="F19" i="16"/>
  <c r="H19" i="16" s="1"/>
  <c r="J10" i="1"/>
  <c r="F7" i="16"/>
  <c r="H7" i="16" s="1"/>
  <c r="J36" i="1"/>
  <c r="F33" i="16"/>
  <c r="H33" i="16" s="1"/>
  <c r="J23" i="1"/>
  <c r="F20" i="16"/>
  <c r="H20" i="16" s="1"/>
  <c r="J20" i="1"/>
  <c r="F17" i="16"/>
  <c r="H17" i="16" s="1"/>
  <c r="J19" i="1"/>
  <c r="F16" i="16"/>
  <c r="H16" i="16" s="1"/>
  <c r="T12" i="1"/>
  <c r="H23" i="1"/>
  <c r="H11" i="1"/>
  <c r="H24" i="1"/>
  <c r="H12" i="1"/>
  <c r="H26" i="1"/>
  <c r="H10" i="1"/>
  <c r="H27" i="1"/>
  <c r="H28" i="1"/>
  <c r="H14" i="1"/>
  <c r="H30" i="1"/>
  <c r="H31" i="1"/>
  <c r="H16" i="1"/>
  <c r="H32" i="1"/>
  <c r="H18" i="1"/>
  <c r="H35" i="1"/>
  <c r="H36" i="1"/>
  <c r="H19" i="1"/>
  <c r="H15" i="1"/>
  <c r="H34" i="1"/>
  <c r="H20" i="1"/>
  <c r="H22" i="1"/>
  <c r="K36" i="1" l="1"/>
  <c r="G33" i="16"/>
  <c r="I33" i="16" s="1"/>
  <c r="K12" i="1"/>
  <c r="G9" i="16"/>
  <c r="I9" i="16" s="1"/>
  <c r="K35" i="1"/>
  <c r="G32" i="16"/>
  <c r="I32" i="16" s="1"/>
  <c r="K11" i="1"/>
  <c r="G8" i="16"/>
  <c r="I8" i="16" s="1"/>
  <c r="K16" i="1"/>
  <c r="G13" i="16"/>
  <c r="I13" i="16" s="1"/>
  <c r="K30" i="1"/>
  <c r="G27" i="16"/>
  <c r="I27" i="16" s="1"/>
  <c r="K22" i="1"/>
  <c r="G19" i="16"/>
  <c r="I19" i="16" s="1"/>
  <c r="K14" i="1"/>
  <c r="G11" i="16"/>
  <c r="I11" i="16" s="1"/>
  <c r="K19" i="1"/>
  <c r="G16" i="16"/>
  <c r="I16" i="16" s="1"/>
  <c r="K26" i="1"/>
  <c r="G23" i="16"/>
  <c r="I23" i="16" s="1"/>
  <c r="K31" i="1"/>
  <c r="G28" i="16"/>
  <c r="I28" i="16" s="1"/>
  <c r="K20" i="1"/>
  <c r="G17" i="16"/>
  <c r="I17" i="16" s="1"/>
  <c r="K28" i="1"/>
  <c r="G25" i="16"/>
  <c r="I25" i="16" s="1"/>
  <c r="K18" i="1"/>
  <c r="G15" i="16"/>
  <c r="I15" i="16" s="1"/>
  <c r="K32" i="1"/>
  <c r="G29" i="16"/>
  <c r="I29" i="16" s="1"/>
  <c r="K23" i="1"/>
  <c r="G20" i="16"/>
  <c r="I20" i="16" s="1"/>
  <c r="K27" i="1"/>
  <c r="G24" i="16"/>
  <c r="I24" i="16" s="1"/>
  <c r="K24" i="1"/>
  <c r="G21" i="16"/>
  <c r="I21" i="16" s="1"/>
  <c r="K34" i="1"/>
  <c r="G31" i="16"/>
  <c r="I31" i="16" s="1"/>
  <c r="K15" i="1"/>
  <c r="G12" i="16"/>
  <c r="I12" i="16" s="1"/>
  <c r="K10" i="1"/>
  <c r="I7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tc={FABCF5CB-A02E-457B-94DC-DF18AFEE8E81}</author>
  </authors>
  <commentList>
    <comment ref="R110" authorId="0" shapeId="0" xr:uid="{FABCF5CB-A02E-457B-94DC-DF18AFEE8E81}">
      <text>
        <t>[Threaded comment]
Your version of Excel allows you to read this threaded comment; however, any edits to it will get removed if the file is opened in a newer version of Excel. Learn more: https://go.microsoft.com/fwlink/?linkid=870924
Comment:
    Per agreement cannot have discount for more than 45%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tc={1DC5B0C2-5979-4627-AE3A-13187D670608}</author>
  </authors>
  <commentList>
    <comment ref="R110" authorId="0" shapeId="0" xr:uid="{1DC5B0C2-5979-4627-AE3A-13187D670608}">
      <text>
        <t>[Threaded comment]
Your version of Excel allows you to read this threaded comment; however, any edits to it will get removed if the file is opened in a newer version of Excel. Learn more: https://go.microsoft.com/fwlink/?linkid=870924
Comment:
    Per agreement cannot have discount for more than 45%</t>
      </text>
    </comment>
  </commentList>
</comments>
</file>

<file path=xl/sharedStrings.xml><?xml version="1.0" encoding="utf-8"?>
<sst xmlns="http://schemas.openxmlformats.org/spreadsheetml/2006/main" count="1212" uniqueCount="243">
  <si>
    <t>Puget Sound Energy</t>
  </si>
  <si>
    <t>2024 General Rate Case Docket No. UE-240004 and UG-240005</t>
  </si>
  <si>
    <t>Monthly Billing Comparison</t>
  </si>
  <si>
    <t>SCHEDULE 26: Secondary Voltage General Service, Large Demand Over 350 kW</t>
  </si>
  <si>
    <t>Secondary Voltage General Service, Large Demand Over 350 kW</t>
  </si>
  <si>
    <t>MYRP 2025</t>
  </si>
  <si>
    <t>MYRP 2026</t>
  </si>
  <si>
    <t>Monthly Billing</t>
  </si>
  <si>
    <t>Percent</t>
  </si>
  <si>
    <t>Line No</t>
  </si>
  <si>
    <t>Demand (KW)</t>
  </si>
  <si>
    <t>(Equiv Hours)</t>
  </si>
  <si>
    <t>kWh</t>
  </si>
  <si>
    <t>Present Price Schedule 26</t>
  </si>
  <si>
    <t>Proposed Price Schedule 26 MYRP 2025</t>
  </si>
  <si>
    <t>Proposed Price Schedule 26 MYRP 2026</t>
  </si>
  <si>
    <t>Difference MYRP 2025</t>
  </si>
  <si>
    <t>Difference MYRP 2026</t>
  </si>
  <si>
    <t>Current Rate effective Jan 1, 2024</t>
  </si>
  <si>
    <t xml:space="preserve">Proposed Rates </t>
  </si>
  <si>
    <t>Proposed Rate Change %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</si>
  <si>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</si>
  <si>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</si>
  <si>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</si>
  <si>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</si>
  <si>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</si>
  <si>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</si>
  <si>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</si>
  <si>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</si>
  <si>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</si>
  <si>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</si>
  <si>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</si>
  <si>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</si>
  <si>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</si>
  <si>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</si>
  <si>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Basic Charge</t>
  </si>
  <si>
    <t>kWh - All</t>
  </si>
  <si>
    <t>Winter kW</t>
  </si>
  <si>
    <t>Summer kW</t>
  </si>
  <si>
    <t>Average kW</t>
  </si>
  <si>
    <t>kVarh</t>
  </si>
  <si>
    <t xml:space="preserve"> </t>
  </si>
  <si>
    <t>not applicable for SCH 26</t>
  </si>
  <si>
    <t>Total per KWh</t>
  </si>
  <si>
    <t>Proposed Overall Residential Base Rate Impact:</t>
  </si>
  <si>
    <t>Proposed Net Rate Impact</t>
  </si>
  <si>
    <t>Note: Excluding SCH 139 Green Direct, Conjuctive Demand and Prime Services impacts from Bill Impacts presentation</t>
  </si>
  <si>
    <t xml:space="preserve">Schedule 95 Power Cost
</t>
  </si>
  <si>
    <t>Schedule 95 PCA Imbalance</t>
  </si>
  <si>
    <t>Schedule 95A Federal Incentive Credit</t>
  </si>
  <si>
    <t>Schedule 120 Conservation</t>
  </si>
  <si>
    <t>Schedule 129 Low Income</t>
  </si>
  <si>
    <t>Schedule 129D Bill Discount</t>
  </si>
  <si>
    <t>Schedule 137 REC</t>
  </si>
  <si>
    <t>Schedule 140 Property Tax</t>
  </si>
  <si>
    <t>Schedule 141 ERF</t>
  </si>
  <si>
    <t>Schedule 141A Energy Charge Credit</t>
  </si>
  <si>
    <t>Schedule 141CEI Clean Energy Implementation Plan</t>
  </si>
  <si>
    <t>Schedule 141CGR Clean Generation Resources</t>
  </si>
  <si>
    <t>Schedule 141DCARB Decarbonization</t>
  </si>
  <si>
    <t>Schedule 141COL Colstrip Adjustment</t>
  </si>
  <si>
    <t>Schedule 141N Rates Not Subject to Refund</t>
  </si>
  <si>
    <t>Schedule 141R Rates Subject to Refund</t>
  </si>
  <si>
    <t>Schedule 141 TEP</t>
  </si>
  <si>
    <t>Schedule 141WFP Wildfire Prevention Cost Recovery</t>
  </si>
  <si>
    <t>Schedule 141X (Protected) EDIT</t>
  </si>
  <si>
    <t>Schedule 141Z (Unprotected) EDIT</t>
  </si>
  <si>
    <t>Schedule 142  Deocupling Deferral</t>
  </si>
  <si>
    <t>Schedule 142 Deocupling Supplemental</t>
  </si>
  <si>
    <t>Schedule 194 BPA Res &amp; Farm Credit</t>
  </si>
  <si>
    <t>TOTAL</t>
  </si>
  <si>
    <t>Demand</t>
  </si>
  <si>
    <t>Energy</t>
  </si>
  <si>
    <t>Customer</t>
  </si>
  <si>
    <t>Subtotal</t>
  </si>
  <si>
    <t>Total</t>
  </si>
  <si>
    <t>Res Svc</t>
  </si>
  <si>
    <t>Sec Svc 24</t>
  </si>
  <si>
    <t>Sec Svc 25 / 29 / 7A</t>
  </si>
  <si>
    <t>Sec Svc 26 /26P</t>
  </si>
  <si>
    <t>Pri Svc 31</t>
  </si>
  <si>
    <t>Pri Svc 35</t>
  </si>
  <si>
    <t>Pri Svc 43</t>
  </si>
  <si>
    <t>Special Contract</t>
  </si>
  <si>
    <t>High Volt 46/49</t>
  </si>
  <si>
    <t>Choice/Retail Wheeling</t>
  </si>
  <si>
    <t>Lighting 50-59</t>
  </si>
  <si>
    <t>Firm Resale</t>
  </si>
  <si>
    <t>Non-Firm Sales</t>
  </si>
  <si>
    <t>Total Rev. Req. @ Equal ROR</t>
  </si>
  <si>
    <t>Energy (Remove Non-Firm Sales for Resale)</t>
  </si>
  <si>
    <t>Source: 240004-05-PSE-WP-CTM-5-COS-Model-24GRC-02-2024 ('Unit Cost' Lines 45-48)</t>
  </si>
  <si>
    <t>Source: 240004-05-PSE-WP-CTM-5-COS-Model-24GRC-02-2024 ('Summary' Line 8)</t>
  </si>
  <si>
    <t>Revenues by Classification</t>
  </si>
  <si>
    <t>Revenues by Classification (Less Non-Firm Sales for Resale)</t>
  </si>
  <si>
    <t>SCHEDULES 12 &amp; 26</t>
  </si>
  <si>
    <t>Secondary Voltage Large Demand General Service</t>
  </si>
  <si>
    <t>Basic Charge Increase/(Decrease)</t>
  </si>
  <si>
    <t>Energy Charges</t>
  </si>
  <si>
    <t>All kWh</t>
  </si>
  <si>
    <t>Energy Increase/(Decrease)</t>
  </si>
  <si>
    <t>Temperature Adjustment</t>
  </si>
  <si>
    <t>Included in volumes above</t>
  </si>
  <si>
    <t>Unbilled</t>
  </si>
  <si>
    <t>Demand Charges</t>
  </si>
  <si>
    <t>Winter Demand (Oct to Mar)</t>
  </si>
  <si>
    <t>Demand Charge Increase/(Decrease)</t>
  </si>
  <si>
    <t>Summer Demand (Apr to Sep)</t>
  </si>
  <si>
    <t>Reactive Power</t>
  </si>
  <si>
    <t>Reactive Power Charge Increase/(Decrease)</t>
  </si>
  <si>
    <t xml:space="preserve">  Total</t>
  </si>
  <si>
    <t>Class Increase/(Decrease)</t>
  </si>
  <si>
    <t>Class Average Increase/(Decrease)</t>
  </si>
  <si>
    <t>cross check</t>
  </si>
  <si>
    <t>Avg Demand</t>
  </si>
  <si>
    <t>SCHEDULES 12 &amp; 26 (Conjunctive Demand Service Option)</t>
  </si>
  <si>
    <t>Conjunctive Delivery Demand</t>
  </si>
  <si>
    <t>Conjunctive Maximum Demand</t>
  </si>
  <si>
    <t>Conjunctive Delivery Demand Increase/(Decrease)</t>
  </si>
  <si>
    <t>Cost of Service Demand Components</t>
  </si>
  <si>
    <t>Production</t>
  </si>
  <si>
    <t>Transmission</t>
  </si>
  <si>
    <t>Distribution</t>
  </si>
  <si>
    <t>Total Demand Cost of Service</t>
  </si>
  <si>
    <t>SCHEDULE 26P</t>
  </si>
  <si>
    <t>Primary Adder</t>
  </si>
  <si>
    <t>Primary Voltage Demand Charge Increase/(Decrease)</t>
  </si>
  <si>
    <t>Electric Summary - Rate Design</t>
  </si>
  <si>
    <t>(Including Effects of Unbilled Revenue, Unbilled MWh and Weather Normalization)</t>
  </si>
  <si>
    <t>Bill Determinants</t>
  </si>
  <si>
    <t>Rates</t>
  </si>
  <si>
    <t>Revenues (Current Rates)</t>
  </si>
  <si>
    <t>Revenues (Proposed Rates)</t>
  </si>
  <si>
    <t>Targets</t>
  </si>
  <si>
    <t>Line No.</t>
  </si>
  <si>
    <t>Charges</t>
  </si>
  <si>
    <t xml:space="preserve">Test Year </t>
  </si>
  <si>
    <t>2024 GRC Comments</t>
  </si>
  <si>
    <t>h = b * e</t>
  </si>
  <si>
    <t>i = c * e</t>
  </si>
  <si>
    <t>j = d * e</t>
  </si>
  <si>
    <t>k = c * f</t>
  </si>
  <si>
    <t>l = d * g</t>
  </si>
  <si>
    <t>o</t>
  </si>
  <si>
    <t>Residential Service</t>
  </si>
  <si>
    <t xml:space="preserve">  Single Phase</t>
  </si>
  <si>
    <t xml:space="preserve">  Three Phase</t>
  </si>
  <si>
    <t>Energy Charge</t>
  </si>
  <si>
    <t>First 600 kWh</t>
  </si>
  <si>
    <t>Over 600 kWh</t>
  </si>
  <si>
    <t>Secondary Voltage General Service</t>
  </si>
  <si>
    <t>Winter (October to March) kWh</t>
  </si>
  <si>
    <t>Summer (April to September) kWh</t>
  </si>
  <si>
    <t>Temperature Adjustment - Winter</t>
  </si>
  <si>
    <t>Temperature Adjustment - Summer</t>
  </si>
  <si>
    <t>Secondary Voltage Small Demand General Service</t>
  </si>
  <si>
    <t>First 20,000 kWh (Winter Oct to Mar)</t>
  </si>
  <si>
    <t>First 20,000 kWh (Summer Apr to Sep)</t>
  </si>
  <si>
    <t>All additional kWh</t>
  </si>
  <si>
    <t>Winter Demand over 50 kW</t>
  </si>
  <si>
    <t>Summer Demand over 50 kW</t>
  </si>
  <si>
    <t>Avg Energy Block 1</t>
  </si>
  <si>
    <t>Adjustments to Secondary Voltage Rates for Delivery at Primary Voltage:</t>
  </si>
  <si>
    <t>Test Year</t>
  </si>
  <si>
    <t>Demand Credit per kW to all Demand:</t>
  </si>
  <si>
    <t>Energy Charge Reduction to Base Rates:</t>
  </si>
  <si>
    <t>Reactive Power Charge Reduction to Base Rates:</t>
  </si>
  <si>
    <t>Secondary Voltage Irrigation &amp; Pumping Service</t>
  </si>
  <si>
    <t>Over 20,000 kWh (Winter Oct to Mar)</t>
  </si>
  <si>
    <t>Over 20,000 kWh (Summer Apr to Sep)</t>
  </si>
  <si>
    <t>Avg Energy Block 2</t>
  </si>
  <si>
    <t>Primary Voltage General Service</t>
  </si>
  <si>
    <t>Customer Migration</t>
  </si>
  <si>
    <t>SCHEDULES 10 &amp; 31 (Conjunctive Demand Service Option)</t>
  </si>
  <si>
    <t>Primary Voltage Interruptible Schools</t>
  </si>
  <si>
    <t>All Demand</t>
  </si>
  <si>
    <t>Critical Demand</t>
  </si>
  <si>
    <t>Critical Charge Increase/(Decrease)</t>
  </si>
  <si>
    <t>High Voltage Interruptible Service</t>
  </si>
  <si>
    <t>Annual Customer Count</t>
  </si>
  <si>
    <t>Demand Charge (kVa)</t>
  </si>
  <si>
    <t>Annual Energy Minimum Charge</t>
  </si>
  <si>
    <t>Annual Demand Charge</t>
  </si>
  <si>
    <t>High Voltage General Service</t>
  </si>
  <si>
    <t>Choice / Retail Wheeling Service</t>
  </si>
  <si>
    <t>Customer Charges</t>
  </si>
  <si>
    <t>Set to COS Basic Charge</t>
  </si>
  <si>
    <t>Total kVa</t>
  </si>
  <si>
    <t>OATT Charges</t>
  </si>
  <si>
    <t>Distribution Charges</t>
  </si>
  <si>
    <t>Distribution Charge Increase/(Decrease)</t>
  </si>
  <si>
    <t>SCHEDULE 005</t>
  </si>
  <si>
    <t>Wholesale for Resale</t>
  </si>
  <si>
    <t>Demand Charge</t>
  </si>
  <si>
    <t>Reactive Power Charge</t>
  </si>
  <si>
    <t>State Utility Tax</t>
  </si>
  <si>
    <t>Revenue Deficiency</t>
  </si>
  <si>
    <t>SCHEDULE 03, 50-59</t>
  </si>
  <si>
    <t>Street Lighting</t>
  </si>
  <si>
    <t>Average Rate:</t>
  </si>
  <si>
    <t>TOTAL ENERGY KWHs</t>
  </si>
  <si>
    <t>TOTAL DEMAND KWs/Kvas + Distribution charge</t>
  </si>
  <si>
    <t>TOTAL REVENUE</t>
  </si>
  <si>
    <t>Exhibit: SEF-4E</t>
  </si>
  <si>
    <t>SCHEDULE 7 (307) (317) (327)</t>
  </si>
  <si>
    <t>SCHEDULE 08 (24) (324)</t>
  </si>
  <si>
    <t>SCHEDULE 7A (11) (25)</t>
  </si>
  <si>
    <t>SCHEDULE 29</t>
  </si>
  <si>
    <t>SCHEDULE 10 (31)</t>
  </si>
  <si>
    <t>SCHEDULE 35</t>
  </si>
  <si>
    <t>SCHEDULE 43</t>
  </si>
  <si>
    <t>SCHEDULE 46</t>
  </si>
  <si>
    <t>SCHEDULE 49</t>
  </si>
  <si>
    <t>SCHEDULE 449 / 459</t>
  </si>
  <si>
    <t>SCHEDULE Special Contract</t>
  </si>
  <si>
    <t xml:space="preserve">2024 GRC Test year: 12 Months ended June 30, 2023 and MYRP 2025, MYRP 2026 </t>
  </si>
  <si>
    <t>Total Sch 26 Rev As Filed</t>
  </si>
  <si>
    <t>Total Sch 26 Rev (Kro)</t>
  </si>
  <si>
    <t>Check</t>
  </si>
  <si>
    <t>Winter Demand</t>
  </si>
  <si>
    <t>Summer Demand</t>
  </si>
  <si>
    <t>Units</t>
  </si>
  <si>
    <t>Bills</t>
  </si>
  <si>
    <t>kW</t>
  </si>
  <si>
    <t>PSE</t>
  </si>
  <si>
    <t>Kroger</t>
  </si>
  <si>
    <t>Kroger Proposed Schedule 26 Revenue Verification</t>
  </si>
  <si>
    <t>At Puget Sound Energy's Proposed Revenue Requirement and Revenue Allocation</t>
  </si>
  <si>
    <t>Schedule 26 Bill Impacts at Kroger Proposed Rates</t>
  </si>
  <si>
    <t>Current</t>
  </si>
  <si>
    <t>Proposed MYRP 2025</t>
  </si>
  <si>
    <t>Proposed MYRP 2026</t>
  </si>
  <si>
    <t xml:space="preserve">Energy </t>
  </si>
  <si>
    <t xml:space="preserve">Customer </t>
  </si>
  <si>
    <t>Classification of Revenues</t>
  </si>
  <si>
    <t>Cost of Service</t>
  </si>
  <si>
    <t>Revenue</t>
  </si>
  <si>
    <t>%</t>
  </si>
  <si>
    <t>PSE Proposed Schedule 26 Rates</t>
  </si>
  <si>
    <t>Kroger Proposed Schedule 26 Rate Design Compared to PSE Rates At PSE’s Proposed Revenue Requirement and Revenue Allocation</t>
  </si>
  <si>
    <t>PSE's Proposed Schedule 26 Proportion of Costs and Revenues by Classification</t>
  </si>
  <si>
    <t>Kroger Proposed Schedule 26 Proportion of Costs and Revenues by Classification</t>
  </si>
  <si>
    <t>PSE and Kroger Proposed Schedule 26 Proportion of Costs and Revenues by Classification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</si>
</sst>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&quot;$&quot;* #,##0.000000_);_(&quot;$&quot;* \(#,##0.000000\);_(&quot;$&quot;* &quot;-&quot;??_);_(@_)"/>
    <numFmt numFmtId="166" formatCode="_(&quot;$&quot;* #,##0.00000_);_(&quot;$&quot;* \(#,##0.00000\);_(&quot;$&quot;* &quot;-&quot;??_);_(@_)"/>
    <numFmt numFmtId="167" formatCode="_(&quot;$&quot;* #,##0_);_(&quot;$&quot;* \(#,##0\);_(&quot;$&quot;* &quot;-&quot;??_);_(@_)"/>
    <numFmt numFmtId="168" formatCode="_(* #,##0_);_(* \(#,##0\);_(* &quot;-&quot;??_);_(@_)"/>
    <numFmt numFmtId="169" formatCode="&quot;$&quot;#,##0.0000_);[Red]\(&quot;$&quot;#,##0.0000\)"/>
    <numFmt numFmtId="170" formatCode="0.00_)"/>
    <numFmt numFmtId="171" formatCode="0.000%"/>
    <numFmt numFmtId="172" formatCode="0.000000_)"/>
    <numFmt numFmtId="173" formatCode="0.000000000_)"/>
    <numFmt numFmtId="174" formatCode="0.00000%"/>
    <numFmt numFmtId="175" formatCode="&quot;$&quot;#,##0.00"/>
    <numFmt numFmtId="176" formatCode="&quot;$&quot;#,##0.000000"/>
  </numFmts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b/>
      <i/>
      <sz val="8"/>
      <name val="Arial"/>
      <family val="2"/>
    </font>
    <font>
      <sz val="8"/>
      <color rgb="FFFF0000"/>
      <name val="Arial"/>
      <family val="2"/>
    </font>
    <font>
      <b/>
      <sz val="12"/>
      <name val="Times New Roman"/>
      <family val="1"/>
    </font>
    <font>
      <b/>
      <u val="singleAccounting"/>
      <sz val="12"/>
      <name val="Times New Roman"/>
      <family val="1"/>
    </font>
    <font>
      <sz val="12"/>
      <color theme="1"/>
      <name val="Times New Roman"/>
      <family val="1"/>
    </font>
    <font>
      <sz val="10"/>
      <name val="Times New Roman"/>
      <family val="1"/>
    </font>
    <font>
      <b/>
      <sz val="12"/>
      <color theme="1"/>
      <name val="Times New Roman"/>
      <family val="1"/>
    </font>
    <font>
      <b/>
      <u/>
      <sz val="8"/>
      <name val="Arial"/>
      <family val="2"/>
    </font>
    <font>
      <sz val="12"/>
      <color rgb="FFFF0000"/>
      <name val="Times New Roman"/>
      <family val="1"/>
    </font>
    <font>
      <b/>
      <sz val="8"/>
      <color rgb="FFFF0000"/>
      <name val="Arial"/>
      <family val="2"/>
    </font>
    <font>
      <b/>
      <u/>
      <sz val="12"/>
      <name val="Times New Roman"/>
      <family val="1"/>
    </font>
    <font>
      <b/>
      <sz val="1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8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</cellStyleXfs>
  <cellXfs count="305">
    <xf numFmtId="0" fontId="0" fillId="0" borderId="0" xfId="0"/>
    <xf numFmtId="0" fontId="4" fillId="0" borderId="0" xfId="3" applyFont="1"/>
    <xf numFmtId="0" fontId="4" fillId="0" borderId="0" xfId="3" applyFont="1" applyAlignment="1">
      <alignment horizontal="left"/>
    </xf>
    <xf numFmtId="0" fontId="3" fillId="0" borderId="0" xfId="3" applyFont="1" applyAlignment="1">
      <alignment horizontal="centerContinuous"/>
    </xf>
    <xf numFmtId="0" fontId="4" fillId="0" borderId="0" xfId="3" applyFont="1" applyAlignment="1">
      <alignment horizontal="center"/>
    </xf>
    <xf numFmtId="0" fontId="3" fillId="0" borderId="0" xfId="3" applyFont="1"/>
    <xf numFmtId="0" fontId="3" fillId="0" borderId="0" xfId="3" applyFont="1" applyAlignment="1">
      <alignment horizontal="center"/>
    </xf>
    <xf numFmtId="0" fontId="4" fillId="0" borderId="0" xfId="3" applyFont="1" applyAlignment="1">
      <alignment horizontal="centerContinuous"/>
    </xf>
    <xf numFmtId="0" fontId="4" fillId="0" borderId="7" xfId="3" quotePrefix="1" applyFont="1" applyBorder="1" applyAlignment="1">
      <alignment horizontal="left"/>
    </xf>
    <xf numFmtId="0" fontId="3" fillId="0" borderId="8" xfId="3" applyFont="1" applyBorder="1" applyAlignment="1">
      <alignment horizontal="center" wrapText="1"/>
    </xf>
    <xf numFmtId="0" fontId="3" fillId="0" borderId="7" xfId="3" applyFont="1" applyBorder="1" applyAlignment="1">
      <alignment horizontal="center" wrapText="1"/>
    </xf>
    <xf numFmtId="0" fontId="3" fillId="0" borderId="9" xfId="3" applyFont="1" applyBorder="1" applyAlignment="1">
      <alignment horizontal="center" wrapText="1"/>
    </xf>
    <xf numFmtId="0" fontId="3" fillId="0" borderId="9" xfId="3" applyFont="1" applyBorder="1" applyAlignment="1">
      <alignment horizontal="center"/>
    </xf>
    <xf numFmtId="0" fontId="3" fillId="0" borderId="9" xfId="3" quotePrefix="1" applyFont="1" applyBorder="1" applyAlignment="1">
      <alignment horizontal="center" wrapText="1"/>
    </xf>
    <xf numFmtId="0" fontId="4" fillId="0" borderId="10" xfId="3" applyFont="1" applyBorder="1" applyAlignment="1">
      <alignment horizontal="center"/>
    </xf>
    <xf numFmtId="0" fontId="3" fillId="0" borderId="11" xfId="3" applyFont="1" applyBorder="1" applyAlignment="1">
      <alignment horizontal="center" wrapText="1"/>
    </xf>
    <xf numFmtId="0" fontId="3" fillId="0" borderId="10" xfId="3" applyFont="1" applyBorder="1" applyAlignment="1">
      <alignment horizontal="center" wrapText="1"/>
    </xf>
    <xf numFmtId="0" fontId="4" fillId="0" borderId="12" xfId="3" applyFont="1" applyBorder="1" applyAlignment="1">
      <alignment horizontal="center"/>
    </xf>
    <xf numFmtId="0" fontId="4" fillId="0" borderId="13" xfId="3" applyFont="1" applyBorder="1" applyAlignment="1">
      <alignment horizontal="center"/>
    </xf>
    <xf numFmtId="37" fontId="4" fillId="0" borderId="0" xfId="3" applyNumberFormat="1" applyFont="1"/>
    <xf numFmtId="5" fontId="4" fillId="0" borderId="0" xfId="3" applyNumberFormat="1" applyFont="1"/>
    <xf numFmtId="164" fontId="4" fillId="0" borderId="0" xfId="3" applyNumberFormat="1" applyFont="1"/>
    <xf numFmtId="0" fontId="4" fillId="0" borderId="12" xfId="3" applyFont="1" applyBorder="1"/>
    <xf numFmtId="44" fontId="4" fillId="0" borderId="13" xfId="3" applyNumberFormat="1" applyFont="1" applyBorder="1"/>
    <xf numFmtId="10" fontId="4" fillId="0" borderId="0" xfId="3" applyNumberFormat="1" applyFont="1"/>
    <xf numFmtId="44" fontId="4" fillId="0" borderId="12" xfId="4" applyFont="1" applyFill="1" applyBorder="1" applyProtection="1"/>
    <xf numFmtId="10" fontId="4" fillId="0" borderId="13" xfId="3" applyNumberFormat="1" applyFont="1" applyBorder="1"/>
    <xf numFmtId="0" fontId="4" fillId="0" borderId="12" xfId="3" quotePrefix="1" applyFont="1" applyBorder="1" applyAlignment="1">
      <alignment horizontal="left"/>
    </xf>
    <xf numFmtId="7" fontId="4" fillId="0" borderId="13" xfId="3" applyNumberFormat="1" applyFont="1" applyBorder="1"/>
    <xf numFmtId="44" fontId="4" fillId="0" borderId="12" xfId="3" applyNumberFormat="1" applyFont="1" applyBorder="1"/>
    <xf numFmtId="165" fontId="4" fillId="0" borderId="13" xfId="3" applyNumberFormat="1" applyFont="1" applyBorder="1"/>
    <xf numFmtId="165" fontId="4" fillId="0" borderId="12" xfId="3" applyNumberFormat="1" applyFont="1" applyBorder="1"/>
    <xf numFmtId="166" fontId="4" fillId="0" borderId="13" xfId="3" applyNumberFormat="1" applyFont="1" applyBorder="1"/>
    <xf numFmtId="166" fontId="4" fillId="0" borderId="0" xfId="3" applyNumberFormat="1" applyFont="1"/>
    <xf numFmtId="166" fontId="4" fillId="0" borderId="12" xfId="3" applyNumberFormat="1" applyFont="1" applyBorder="1"/>
    <xf numFmtId="0" fontId="4" fillId="0" borderId="13" xfId="3" applyFont="1" applyBorder="1"/>
    <xf numFmtId="17" fontId="4" fillId="0" borderId="12" xfId="3" applyNumberFormat="1" applyFont="1" applyBorder="1"/>
    <xf numFmtId="0" fontId="4" fillId="0" borderId="9" xfId="3" applyFont="1" applyBorder="1"/>
    <xf numFmtId="0" fontId="4" fillId="0" borderId="0" xfId="3" quotePrefix="1" applyFont="1" applyAlignment="1">
      <alignment horizontal="left"/>
    </xf>
    <xf numFmtId="0" fontId="4" fillId="0" borderId="13" xfId="3" quotePrefix="1" applyFont="1" applyBorder="1" applyAlignment="1">
      <alignment horizontal="left"/>
    </xf>
    <xf numFmtId="0" fontId="7" fillId="0" borderId="0" xfId="5" applyFont="1"/>
    <xf numFmtId="165" fontId="4" fillId="0" borderId="11" xfId="3" applyNumberFormat="1" applyFont="1" applyBorder="1"/>
    <xf numFmtId="0" fontId="4" fillId="0" borderId="12" xfId="3" applyFont="1" applyBorder="1" applyAlignment="1">
      <alignment horizontal="right"/>
    </xf>
    <xf numFmtId="165" fontId="4" fillId="0" borderId="14" xfId="3" applyNumberFormat="1" applyFont="1" applyBorder="1"/>
    <xf numFmtId="165" fontId="4" fillId="0" borderId="15" xfId="3" applyNumberFormat="1" applyFont="1" applyBorder="1"/>
    <xf numFmtId="0" fontId="4" fillId="0" borderId="13" xfId="3" applyFont="1" applyBorder="1" applyAlignment="1">
      <alignment horizontal="right"/>
    </xf>
    <xf numFmtId="0" fontId="4" fillId="0" borderId="12" xfId="3" quotePrefix="1" applyFont="1" applyBorder="1" applyAlignment="1">
      <alignment horizontal="right"/>
    </xf>
    <xf numFmtId="0" fontId="4" fillId="0" borderId="13" xfId="3" quotePrefix="1" applyFont="1" applyBorder="1" applyAlignment="1">
      <alignment horizontal="right"/>
    </xf>
    <xf numFmtId="10" fontId="3" fillId="0" borderId="13" xfId="3" applyNumberFormat="1" applyFont="1" applyBorder="1" applyAlignment="1">
      <alignment horizontal="right"/>
    </xf>
    <xf numFmtId="0" fontId="4" fillId="0" borderId="16" xfId="3" applyFont="1" applyBorder="1"/>
    <xf numFmtId="0" fontId="4" fillId="0" borderId="17" xfId="3" applyFont="1" applyBorder="1"/>
    <xf numFmtId="164" fontId="8" fillId="0" borderId="0" xfId="3" applyNumberFormat="1" applyFont="1"/>
    <xf numFmtId="0" fontId="8" fillId="0" borderId="0" xfId="3" applyFont="1"/>
    <xf numFmtId="10" fontId="8" fillId="0" borderId="0" xfId="3" applyNumberFormat="1" applyFont="1"/>
    <xf numFmtId="44" fontId="8" fillId="0" borderId="12" xfId="3" applyNumberFormat="1" applyFont="1" applyBorder="1"/>
    <xf numFmtId="165" fontId="8" fillId="0" borderId="12" xfId="3" applyNumberFormat="1" applyFont="1" applyBorder="1"/>
    <xf numFmtId="43" fontId="8" fillId="0" borderId="0" xfId="1" applyFont="1"/>
    <xf numFmtId="0" fontId="4" fillId="0" borderId="0" xfId="3" quotePrefix="1" applyFont="1"/>
    <xf numFmtId="164" fontId="4" fillId="0" borderId="0" xfId="3" quotePrefix="1" applyNumberFormat="1" applyFont="1"/>
    <xf numFmtId="164" fontId="4" fillId="0" borderId="0" xfId="3" quotePrefix="1" applyNumberFormat="1" applyFont="1" applyAlignment="1">
      <alignment horizontal="left"/>
    </xf>
    <xf numFmtId="37" fontId="9" fillId="0" borderId="0" xfId="0" quotePrefix="1" applyNumberFormat="1" applyFont="1" applyAlignment="1">
      <alignment horizontal="left"/>
    </xf>
    <xf numFmtId="37" fontId="10" fillId="0" borderId="0" xfId="0" applyNumberFormat="1" applyFont="1" applyAlignment="1">
      <alignment horizontal="center" wrapText="1"/>
    </xf>
    <xf numFmtId="0" fontId="11" fillId="0" borderId="0" xfId="0" applyFont="1"/>
    <xf numFmtId="37" fontId="9" fillId="0" borderId="0" xfId="0" applyNumberFormat="1" applyFont="1" applyAlignment="1">
      <alignment vertical="top" wrapText="1"/>
    </xf>
    <xf numFmtId="37" fontId="6" fillId="0" borderId="0" xfId="0" applyNumberFormat="1" applyFont="1" applyAlignment="1">
      <alignment horizontal="left"/>
    </xf>
    <xf numFmtId="6" fontId="11" fillId="0" borderId="0" xfId="0" applyNumberFormat="1" applyFont="1"/>
    <xf numFmtId="37" fontId="12" fillId="0" borderId="0" xfId="0" applyNumberFormat="1" applyFont="1"/>
    <xf numFmtId="0" fontId="13" fillId="0" borderId="0" xfId="0" applyFont="1"/>
    <xf numFmtId="3" fontId="11" fillId="0" borderId="0" xfId="0" applyNumberFormat="1" applyFont="1"/>
    <xf numFmtId="8" fontId="11" fillId="0" borderId="0" xfId="0" applyNumberFormat="1" applyFont="1"/>
    <xf numFmtId="169" fontId="11" fillId="0" borderId="0" xfId="0" applyNumberFormat="1" applyFont="1"/>
    <xf numFmtId="44" fontId="4" fillId="0" borderId="0" xfId="5" applyNumberFormat="1" applyFont="1"/>
    <xf numFmtId="10" fontId="4" fillId="0" borderId="0" xfId="6" applyNumberFormat="1" applyFont="1" applyFill="1"/>
    <xf numFmtId="165" fontId="4" fillId="0" borderId="0" xfId="7" applyNumberFormat="1" applyFont="1"/>
    <xf numFmtId="10" fontId="4" fillId="0" borderId="0" xfId="5" applyNumberFormat="1" applyFont="1"/>
    <xf numFmtId="166" fontId="4" fillId="0" borderId="0" xfId="5" applyNumberFormat="1" applyFont="1"/>
    <xf numFmtId="10" fontId="4" fillId="0" borderId="0" xfId="6" applyNumberFormat="1" applyFont="1" applyFill="1" applyProtection="1"/>
    <xf numFmtId="171" fontId="4" fillId="0" borderId="0" xfId="6" applyNumberFormat="1" applyFont="1" applyFill="1" applyBorder="1" applyProtection="1"/>
    <xf numFmtId="9" fontId="4" fillId="0" borderId="0" xfId="6" applyFont="1" applyFill="1" applyBorder="1"/>
    <xf numFmtId="0" fontId="4" fillId="0" borderId="0" xfId="5" applyFont="1"/>
    <xf numFmtId="0" fontId="4" fillId="0" borderId="0" xfId="5" applyFont="1" applyAlignment="1">
      <alignment horizontal="center"/>
    </xf>
    <xf numFmtId="0" fontId="3" fillId="0" borderId="0" xfId="5" quotePrefix="1" applyFont="1" applyAlignment="1">
      <alignment horizontal="center"/>
    </xf>
    <xf numFmtId="0" fontId="3" fillId="0" borderId="0" xfId="5" applyFont="1" applyAlignment="1">
      <alignment horizontal="center"/>
    </xf>
    <xf numFmtId="0" fontId="3" fillId="0" borderId="0" xfId="5" applyFont="1"/>
    <xf numFmtId="0" fontId="3" fillId="0" borderId="5" xfId="5" applyFont="1" applyBorder="1" applyAlignment="1">
      <alignment horizontal="center"/>
    </xf>
    <xf numFmtId="0" fontId="3" fillId="0" borderId="6" xfId="5" applyFont="1" applyBorder="1" applyAlignment="1">
      <alignment horizontal="center"/>
    </xf>
    <xf numFmtId="0" fontId="3" fillId="0" borderId="0" xfId="5" applyFont="1" applyAlignment="1">
      <alignment horizontal="centerContinuous"/>
    </xf>
    <xf numFmtId="37" fontId="3" fillId="0" borderId="0" xfId="5" applyNumberFormat="1" applyFont="1" applyAlignment="1">
      <alignment horizontal="centerContinuous"/>
    </xf>
    <xf numFmtId="44" fontId="4" fillId="0" borderId="0" xfId="5" applyNumberFormat="1" applyFont="1" applyProtection="1">
      <protection locked="0"/>
    </xf>
    <xf numFmtId="0" fontId="3" fillId="0" borderId="9" xfId="5" quotePrefix="1" applyFont="1" applyBorder="1" applyAlignment="1">
      <alignment horizontal="center" wrapText="1"/>
    </xf>
    <xf numFmtId="0" fontId="3" fillId="0" borderId="9" xfId="5" applyFont="1" applyBorder="1" applyAlignment="1">
      <alignment horizontal="center"/>
    </xf>
    <xf numFmtId="37" fontId="3" fillId="0" borderId="5" xfId="5" applyNumberFormat="1" applyFont="1" applyBorder="1" applyAlignment="1">
      <alignment horizontal="center"/>
    </xf>
    <xf numFmtId="37" fontId="3" fillId="0" borderId="4" xfId="5" applyNumberFormat="1" applyFont="1" applyBorder="1" applyAlignment="1">
      <alignment horizontal="center"/>
    </xf>
    <xf numFmtId="0" fontId="3" fillId="0" borderId="1" xfId="5" quotePrefix="1" applyFont="1" applyBorder="1" applyAlignment="1">
      <alignment horizontal="center"/>
    </xf>
    <xf numFmtId="0" fontId="4" fillId="0" borderId="0" xfId="5" quotePrefix="1" applyFont="1" applyAlignment="1">
      <alignment horizontal="center" wrapText="1"/>
    </xf>
    <xf numFmtId="37" fontId="4" fillId="0" borderId="0" xfId="5" applyNumberFormat="1" applyFont="1" applyAlignment="1">
      <alignment horizontal="center"/>
    </xf>
    <xf numFmtId="0" fontId="4" fillId="0" borderId="0" xfId="5" applyFont="1" applyAlignment="1">
      <alignment horizontal="centerContinuous"/>
    </xf>
    <xf numFmtId="37" fontId="4" fillId="0" borderId="0" xfId="5" applyNumberFormat="1" applyFont="1" applyAlignment="1">
      <alignment horizontal="centerContinuous"/>
    </xf>
    <xf numFmtId="0" fontId="4" fillId="0" borderId="0" xfId="5" applyFont="1" applyAlignment="1">
      <alignment horizontal="center" wrapText="1"/>
    </xf>
    <xf numFmtId="0" fontId="4" fillId="0" borderId="0" xfId="5" quotePrefix="1" applyFont="1" applyAlignment="1">
      <alignment horizontal="center"/>
    </xf>
    <xf numFmtId="0" fontId="14" fillId="0" borderId="0" xfId="5" quotePrefix="1" applyFont="1" applyAlignment="1">
      <alignment horizontal="left"/>
    </xf>
    <xf numFmtId="37" fontId="3" fillId="0" borderId="0" xfId="5" applyNumberFormat="1" applyFont="1" applyAlignment="1">
      <alignment horizontal="center"/>
    </xf>
    <xf numFmtId="0" fontId="4" fillId="0" borderId="0" xfId="5" quotePrefix="1" applyFont="1" applyAlignment="1">
      <alignment horizontal="left"/>
    </xf>
    <xf numFmtId="37" fontId="4" fillId="0" borderId="0" xfId="5" applyNumberFormat="1" applyFont="1"/>
    <xf numFmtId="168" fontId="4" fillId="0" borderId="0" xfId="5" applyNumberFormat="1" applyFont="1"/>
    <xf numFmtId="167" fontId="4" fillId="0" borderId="0" xfId="5" applyNumberFormat="1" applyFont="1"/>
    <xf numFmtId="0" fontId="4" fillId="0" borderId="0" xfId="5" applyFont="1" applyAlignment="1">
      <alignment horizontal="left" indent="2"/>
    </xf>
    <xf numFmtId="168" fontId="4" fillId="0" borderId="5" xfId="5" applyNumberFormat="1" applyFont="1" applyBorder="1"/>
    <xf numFmtId="7" fontId="4" fillId="0" borderId="0" xfId="5" applyNumberFormat="1" applyFont="1" applyProtection="1">
      <protection locked="0"/>
    </xf>
    <xf numFmtId="167" fontId="4" fillId="0" borderId="5" xfId="5" applyNumberFormat="1" applyFont="1" applyBorder="1"/>
    <xf numFmtId="0" fontId="4" fillId="0" borderId="0" xfId="5" applyFont="1" applyAlignment="1">
      <alignment horizontal="left"/>
    </xf>
    <xf numFmtId="0" fontId="4" fillId="0" borderId="0" xfId="5" quotePrefix="1" applyFont="1" applyAlignment="1">
      <alignment horizontal="left" indent="1"/>
    </xf>
    <xf numFmtId="165" fontId="4" fillId="0" borderId="0" xfId="5" applyNumberFormat="1" applyFont="1" applyProtection="1">
      <protection locked="0"/>
    </xf>
    <xf numFmtId="5" fontId="4" fillId="0" borderId="0" xfId="5" applyNumberFormat="1" applyFont="1" applyProtection="1">
      <protection locked="0"/>
    </xf>
    <xf numFmtId="0" fontId="4" fillId="0" borderId="0" xfId="5" applyFont="1" applyAlignment="1">
      <alignment horizontal="left" indent="1"/>
    </xf>
    <xf numFmtId="168" fontId="4" fillId="0" borderId="0" xfId="5" applyNumberFormat="1" applyFont="1" applyAlignment="1">
      <alignment horizontal="left"/>
    </xf>
    <xf numFmtId="167" fontId="4" fillId="0" borderId="9" xfId="5" applyNumberFormat="1" applyFont="1" applyBorder="1"/>
    <xf numFmtId="168" fontId="4" fillId="0" borderId="19" xfId="5" applyNumberFormat="1" applyFont="1" applyBorder="1"/>
    <xf numFmtId="165" fontId="4" fillId="0" borderId="19" xfId="5" applyNumberFormat="1" applyFont="1" applyBorder="1" applyProtection="1">
      <protection locked="0"/>
    </xf>
    <xf numFmtId="167" fontId="4" fillId="0" borderId="19" xfId="5" applyNumberFormat="1" applyFont="1" applyBorder="1"/>
    <xf numFmtId="10" fontId="4" fillId="0" borderId="0" xfId="6" applyNumberFormat="1" applyFont="1" applyFill="1" applyProtection="1">
      <protection locked="0"/>
    </xf>
    <xf numFmtId="9" fontId="4" fillId="0" borderId="0" xfId="6" applyFont="1" applyFill="1" applyBorder="1" applyProtection="1"/>
    <xf numFmtId="0" fontId="4" fillId="0" borderId="0" xfId="5" applyFont="1" applyAlignment="1">
      <alignment horizontal="right"/>
    </xf>
    <xf numFmtId="9" fontId="4" fillId="0" borderId="0" xfId="6" applyFont="1" applyFill="1" applyProtection="1">
      <protection locked="0"/>
    </xf>
    <xf numFmtId="5" fontId="4" fillId="0" borderId="0" xfId="5" applyNumberFormat="1" applyFont="1"/>
    <xf numFmtId="3" fontId="4" fillId="0" borderId="9" xfId="5" quotePrefix="1" applyNumberFormat="1" applyFont="1" applyBorder="1" applyAlignment="1">
      <alignment horizontal="left"/>
    </xf>
    <xf numFmtId="0" fontId="4" fillId="0" borderId="9" xfId="5" applyFont="1" applyBorder="1"/>
    <xf numFmtId="44" fontId="4" fillId="0" borderId="9" xfId="5" applyNumberFormat="1" applyFont="1" applyBorder="1"/>
    <xf numFmtId="10" fontId="4" fillId="0" borderId="9" xfId="6" applyNumberFormat="1" applyFont="1" applyFill="1" applyBorder="1" applyProtection="1"/>
    <xf numFmtId="37" fontId="4" fillId="0" borderId="5" xfId="5" applyNumberFormat="1" applyFont="1" applyBorder="1"/>
    <xf numFmtId="37" fontId="4" fillId="0" borderId="9" xfId="5" applyNumberFormat="1" applyFont="1" applyBorder="1"/>
    <xf numFmtId="7" fontId="4" fillId="0" borderId="0" xfId="5" applyNumberFormat="1" applyFont="1"/>
    <xf numFmtId="5" fontId="4" fillId="0" borderId="5" xfId="5" applyNumberFormat="1" applyFont="1" applyBorder="1"/>
    <xf numFmtId="166" fontId="4" fillId="0" borderId="0" xfId="5" applyNumberFormat="1" applyFont="1" applyProtection="1">
      <protection locked="0"/>
    </xf>
    <xf numFmtId="5" fontId="4" fillId="0" borderId="19" xfId="5" applyNumberFormat="1" applyFont="1" applyBorder="1"/>
    <xf numFmtId="3" fontId="4" fillId="0" borderId="0" xfId="5" quotePrefix="1" applyNumberFormat="1" applyFont="1" applyAlignment="1">
      <alignment horizontal="left"/>
    </xf>
    <xf numFmtId="165" fontId="4" fillId="0" borderId="18" xfId="5" applyNumberFormat="1" applyFont="1" applyBorder="1"/>
    <xf numFmtId="173" fontId="4" fillId="0" borderId="0" xfId="5" applyNumberFormat="1" applyFont="1"/>
    <xf numFmtId="44" fontId="4" fillId="0" borderId="19" xfId="5" applyNumberFormat="1" applyFont="1" applyBorder="1"/>
    <xf numFmtId="173" fontId="4" fillId="0" borderId="9" xfId="5" applyNumberFormat="1" applyFont="1" applyBorder="1"/>
    <xf numFmtId="170" fontId="4" fillId="0" borderId="0" xfId="5" applyNumberFormat="1" applyFont="1" applyProtection="1">
      <protection locked="0"/>
    </xf>
    <xf numFmtId="39" fontId="4" fillId="0" borderId="0" xfId="5" applyNumberFormat="1" applyFont="1"/>
    <xf numFmtId="5" fontId="3" fillId="0" borderId="20" xfId="5" applyNumberFormat="1" applyFont="1" applyBorder="1" applyAlignment="1">
      <alignment horizontal="center"/>
    </xf>
    <xf numFmtId="37" fontId="4" fillId="0" borderId="21" xfId="5" applyNumberFormat="1" applyFont="1" applyBorder="1"/>
    <xf numFmtId="167" fontId="4" fillId="0" borderId="21" xfId="5" applyNumberFormat="1" applyFont="1" applyBorder="1"/>
    <xf numFmtId="7" fontId="4" fillId="0" borderId="21" xfId="5" applyNumberFormat="1" applyFont="1" applyBorder="1" applyProtection="1">
      <protection locked="0"/>
    </xf>
    <xf numFmtId="5" fontId="4" fillId="0" borderId="21" xfId="5" applyNumberFormat="1" applyFont="1" applyBorder="1"/>
    <xf numFmtId="5" fontId="4" fillId="0" borderId="20" xfId="5" applyNumberFormat="1" applyFont="1" applyBorder="1"/>
    <xf numFmtId="167" fontId="4" fillId="0" borderId="22" xfId="5" applyNumberFormat="1" applyFont="1" applyBorder="1"/>
    <xf numFmtId="171" fontId="4" fillId="0" borderId="19" xfId="5" applyNumberFormat="1" applyFont="1" applyBorder="1"/>
    <xf numFmtId="171" fontId="4" fillId="0" borderId="14" xfId="5" applyNumberFormat="1" applyFont="1" applyBorder="1"/>
    <xf numFmtId="167" fontId="4" fillId="0" borderId="23" xfId="5" applyNumberFormat="1" applyFont="1" applyBorder="1"/>
    <xf numFmtId="165" fontId="4" fillId="0" borderId="0" xfId="5" applyNumberFormat="1" applyFont="1"/>
    <xf numFmtId="0" fontId="4" fillId="0" borderId="0" xfId="5" applyFont="1" applyAlignment="1">
      <alignment horizontal="left" indent="3"/>
    </xf>
    <xf numFmtId="37" fontId="4" fillId="0" borderId="24" xfId="5" applyNumberFormat="1" applyFont="1" applyBorder="1"/>
    <xf numFmtId="167" fontId="4" fillId="0" borderId="24" xfId="5" applyNumberFormat="1" applyFont="1" applyBorder="1"/>
    <xf numFmtId="7" fontId="4" fillId="0" borderId="24" xfId="5" applyNumberFormat="1" applyFont="1" applyBorder="1" applyProtection="1">
      <protection locked="0"/>
    </xf>
    <xf numFmtId="5" fontId="4" fillId="0" borderId="24" xfId="5" applyNumberFormat="1" applyFont="1" applyBorder="1"/>
    <xf numFmtId="5" fontId="4" fillId="0" borderId="25" xfId="5" applyNumberFormat="1" applyFont="1" applyBorder="1"/>
    <xf numFmtId="165" fontId="4" fillId="0" borderId="9" xfId="5" applyNumberFormat="1" applyFont="1" applyBorder="1"/>
    <xf numFmtId="37" fontId="4" fillId="0" borderId="18" xfId="5" applyNumberFormat="1" applyFont="1" applyBorder="1"/>
    <xf numFmtId="44" fontId="4" fillId="0" borderId="18" xfId="5" applyNumberFormat="1" applyFont="1" applyBorder="1" applyProtection="1">
      <protection locked="0"/>
    </xf>
    <xf numFmtId="172" fontId="4" fillId="0" borderId="0" xfId="5" applyNumberFormat="1" applyFont="1" applyProtection="1">
      <protection locked="0"/>
    </xf>
    <xf numFmtId="166" fontId="4" fillId="0" borderId="18" xfId="5" applyNumberFormat="1" applyFont="1" applyBorder="1"/>
    <xf numFmtId="5" fontId="4" fillId="0" borderId="26" xfId="5" applyNumberFormat="1" applyFont="1" applyBorder="1"/>
    <xf numFmtId="0" fontId="14" fillId="0" borderId="7" xfId="5" applyFont="1" applyBorder="1" applyAlignment="1">
      <alignment horizontal="left"/>
    </xf>
    <xf numFmtId="0" fontId="4" fillId="0" borderId="21" xfId="5" applyFont="1" applyBorder="1" applyAlignment="1">
      <alignment horizontal="center"/>
    </xf>
    <xf numFmtId="5" fontId="3" fillId="0" borderId="7" xfId="5" applyNumberFormat="1" applyFont="1" applyBorder="1" applyAlignment="1">
      <alignment horizontal="center"/>
    </xf>
    <xf numFmtId="5" fontId="3" fillId="0" borderId="21" xfId="5" applyNumberFormat="1" applyFont="1" applyBorder="1" applyAlignment="1">
      <alignment horizontal="center"/>
    </xf>
    <xf numFmtId="5" fontId="3" fillId="0" borderId="8" xfId="5" applyNumberFormat="1" applyFont="1" applyBorder="1" applyAlignment="1">
      <alignment horizontal="center"/>
    </xf>
    <xf numFmtId="0" fontId="4" fillId="0" borderId="12" xfId="5" quotePrefix="1" applyFont="1" applyBorder="1" applyAlignment="1">
      <alignment horizontal="left"/>
    </xf>
    <xf numFmtId="44" fontId="4" fillId="0" borderId="16" xfId="5" applyNumberFormat="1" applyFont="1" applyBorder="1"/>
    <xf numFmtId="44" fontId="4" fillId="0" borderId="24" xfId="5" applyNumberFormat="1" applyFont="1" applyBorder="1"/>
    <xf numFmtId="44" fontId="4" fillId="0" borderId="17" xfId="5" applyNumberFormat="1" applyFont="1" applyBorder="1"/>
    <xf numFmtId="10" fontId="4" fillId="0" borderId="12" xfId="5" applyNumberFormat="1" applyFont="1" applyBorder="1"/>
    <xf numFmtId="10" fontId="4" fillId="0" borderId="13" xfId="5" applyNumberFormat="1" applyFont="1" applyBorder="1"/>
    <xf numFmtId="3" fontId="4" fillId="0" borderId="16" xfId="5" quotePrefix="1" applyNumberFormat="1" applyFont="1" applyBorder="1" applyAlignment="1">
      <alignment horizontal="left"/>
    </xf>
    <xf numFmtId="0" fontId="4" fillId="0" borderId="24" xfId="5" applyFont="1" applyBorder="1"/>
    <xf numFmtId="165" fontId="4" fillId="0" borderId="0" xfId="6" applyNumberFormat="1" applyFont="1" applyFill="1" applyProtection="1">
      <protection locked="0"/>
    </xf>
    <xf numFmtId="37" fontId="4" fillId="0" borderId="0" xfId="5" applyNumberFormat="1" applyFont="1" applyAlignment="1">
      <alignment horizontal="right" vertical="center"/>
    </xf>
    <xf numFmtId="10" fontId="4" fillId="0" borderId="0" xfId="6" applyNumberFormat="1" applyFont="1" applyFill="1" applyBorder="1"/>
    <xf numFmtId="0" fontId="4" fillId="0" borderId="7" xfId="5" applyFont="1" applyBorder="1" applyAlignment="1">
      <alignment horizontal="left" indent="2"/>
    </xf>
    <xf numFmtId="0" fontId="4" fillId="0" borderId="12" xfId="5" applyFont="1" applyBorder="1" applyAlignment="1">
      <alignment horizontal="left" indent="1"/>
    </xf>
    <xf numFmtId="0" fontId="4" fillId="0" borderId="12" xfId="5" applyFont="1" applyBorder="1" applyAlignment="1">
      <alignment horizontal="left" indent="2"/>
    </xf>
    <xf numFmtId="0" fontId="4" fillId="0" borderId="16" xfId="5" applyFont="1" applyBorder="1" applyAlignment="1">
      <alignment horizontal="left" indent="3"/>
    </xf>
    <xf numFmtId="168" fontId="4" fillId="0" borderId="9" xfId="5" applyNumberFormat="1" applyFont="1" applyBorder="1" applyAlignment="1">
      <alignment horizontal="left"/>
    </xf>
    <xf numFmtId="5" fontId="4" fillId="0" borderId="18" xfId="5" applyNumberFormat="1" applyFont="1" applyBorder="1"/>
    <xf numFmtId="9" fontId="4" fillId="0" borderId="0" xfId="5" applyNumberFormat="1" applyFont="1"/>
    <xf numFmtId="165" fontId="4" fillId="0" borderId="19" xfId="5" applyNumberFormat="1" applyFont="1" applyBorder="1"/>
    <xf numFmtId="3" fontId="4" fillId="0" borderId="0" xfId="5" applyNumberFormat="1" applyFont="1"/>
    <xf numFmtId="5" fontId="4" fillId="0" borderId="9" xfId="5" applyNumberFormat="1" applyFont="1" applyBorder="1"/>
    <xf numFmtId="44" fontId="4" fillId="0" borderId="0" xfId="7" applyNumberFormat="1" applyFont="1"/>
    <xf numFmtId="174" fontId="4" fillId="0" borderId="0" xfId="6" applyNumberFormat="1" applyFont="1" applyFill="1"/>
    <xf numFmtId="168" fontId="3" fillId="0" borderId="0" xfId="5" applyNumberFormat="1" applyFont="1"/>
    <xf numFmtId="167" fontId="3" fillId="0" borderId="0" xfId="5" applyNumberFormat="1" applyFont="1"/>
    <xf numFmtId="167" fontId="4" fillId="0" borderId="0" xfId="8" applyNumberFormat="1" applyFont="1" applyFill="1"/>
    <xf numFmtId="0" fontId="3" fillId="0" borderId="0" xfId="5" applyFont="1" applyAlignment="1">
      <alignment wrapText="1"/>
    </xf>
    <xf numFmtId="0" fontId="6" fillId="0" borderId="0" xfId="5" applyAlignment="1">
      <alignment wrapText="1"/>
    </xf>
    <xf numFmtId="5" fontId="8" fillId="0" borderId="0" xfId="5" applyNumberFormat="1" applyFont="1" applyAlignment="1">
      <alignment horizontal="right"/>
    </xf>
    <xf numFmtId="0" fontId="8" fillId="0" borderId="0" xfId="5" applyFont="1" applyAlignment="1">
      <alignment horizontal="center"/>
    </xf>
    <xf numFmtId="5" fontId="8" fillId="0" borderId="0" xfId="5" applyNumberFormat="1" applyFont="1"/>
    <xf numFmtId="0" fontId="15" fillId="0" borderId="0" xfId="5" applyFont="1" applyAlignment="1">
      <alignment wrapText="1"/>
    </xf>
    <xf numFmtId="37" fontId="8" fillId="0" borderId="0" xfId="5" applyNumberFormat="1" applyFont="1" applyAlignment="1">
      <alignment horizontal="center"/>
    </xf>
    <xf numFmtId="0" fontId="16" fillId="0" borderId="0" xfId="5" applyFont="1" applyAlignment="1">
      <alignment horizontal="center"/>
    </xf>
    <xf numFmtId="10" fontId="8" fillId="2" borderId="0" xfId="6" applyNumberFormat="1" applyFont="1" applyFill="1"/>
    <xf numFmtId="0" fontId="11" fillId="3" borderId="0" xfId="0" applyFont="1" applyFill="1"/>
    <xf numFmtId="0" fontId="11" fillId="3" borderId="0" xfId="0" applyFont="1" applyFill="1" applyAlignment="1">
      <alignment horizontal="center"/>
    </xf>
    <xf numFmtId="0" fontId="13" fillId="3" borderId="9" xfId="0" applyFont="1" applyFill="1" applyBorder="1" applyAlignment="1">
      <alignment horizontal="center"/>
    </xf>
    <xf numFmtId="175" fontId="11" fillId="3" borderId="0" xfId="0" applyNumberFormat="1" applyFont="1" applyFill="1" applyAlignment="1">
      <alignment horizontal="center"/>
    </xf>
    <xf numFmtId="176" fontId="11" fillId="3" borderId="0" xfId="0" applyNumberFormat="1" applyFont="1" applyFill="1" applyAlignment="1">
      <alignment horizontal="center"/>
    </xf>
    <xf numFmtId="164" fontId="11" fillId="3" borderId="0" xfId="2" applyNumberFormat="1" applyFont="1" applyFill="1" applyAlignment="1">
      <alignment horizontal="center"/>
    </xf>
    <xf numFmtId="0" fontId="6" fillId="3" borderId="0" xfId="5" applyFill="1"/>
    <xf numFmtId="0" fontId="6" fillId="3" borderId="0" xfId="5" applyFill="1" applyAlignment="1">
      <alignment horizontal="center"/>
    </xf>
    <xf numFmtId="0" fontId="9" fillId="3" borderId="0" xfId="5" applyFont="1" applyFill="1" applyAlignment="1">
      <alignment horizontal="center"/>
    </xf>
    <xf numFmtId="0" fontId="9" fillId="3" borderId="0" xfId="5" applyFont="1" applyFill="1"/>
    <xf numFmtId="0" fontId="9" fillId="3" borderId="5" xfId="5" applyFont="1" applyFill="1" applyBorder="1" applyAlignment="1">
      <alignment horizontal="center"/>
    </xf>
    <xf numFmtId="0" fontId="9" fillId="3" borderId="6" xfId="5" applyFont="1" applyFill="1" applyBorder="1" applyAlignment="1">
      <alignment horizontal="center"/>
    </xf>
    <xf numFmtId="0" fontId="9" fillId="3" borderId="9" xfId="5" quotePrefix="1" applyFont="1" applyFill="1" applyBorder="1" applyAlignment="1">
      <alignment horizontal="center" wrapText="1"/>
    </xf>
    <xf numFmtId="0" fontId="9" fillId="3" borderId="9" xfId="5" applyFont="1" applyFill="1" applyBorder="1" applyAlignment="1">
      <alignment horizontal="center"/>
    </xf>
    <xf numFmtId="37" fontId="9" fillId="3" borderId="5" xfId="5" applyNumberFormat="1" applyFont="1" applyFill="1" applyBorder="1" applyAlignment="1">
      <alignment horizontal="center"/>
    </xf>
    <xf numFmtId="37" fontId="9" fillId="3" borderId="4" xfId="5" applyNumberFormat="1" applyFont="1" applyFill="1" applyBorder="1" applyAlignment="1">
      <alignment horizontal="center"/>
    </xf>
    <xf numFmtId="0" fontId="17" fillId="3" borderId="0" xfId="5" quotePrefix="1" applyFont="1" applyFill="1" applyAlignment="1">
      <alignment horizontal="left"/>
    </xf>
    <xf numFmtId="0" fontId="6" fillId="3" borderId="0" xfId="5" quotePrefix="1" applyFill="1" applyAlignment="1">
      <alignment horizontal="left"/>
    </xf>
    <xf numFmtId="37" fontId="6" fillId="3" borderId="0" xfId="5" applyNumberFormat="1" applyFill="1"/>
    <xf numFmtId="44" fontId="6" fillId="3" borderId="0" xfId="5" applyNumberFormat="1" applyFill="1" applyProtection="1">
      <protection locked="0"/>
    </xf>
    <xf numFmtId="44" fontId="6" fillId="3" borderId="0" xfId="5" applyNumberFormat="1" applyFill="1"/>
    <xf numFmtId="167" fontId="6" fillId="3" borderId="0" xfId="5" applyNumberFormat="1" applyFill="1"/>
    <xf numFmtId="7" fontId="6" fillId="3" borderId="0" xfId="5" applyNumberFormat="1" applyFill="1"/>
    <xf numFmtId="5" fontId="6" fillId="3" borderId="0" xfId="5" applyNumberFormat="1" applyFill="1"/>
    <xf numFmtId="0" fontId="6" fillId="3" borderId="0" xfId="5" quotePrefix="1" applyFill="1" applyAlignment="1">
      <alignment horizontal="left" indent="1"/>
    </xf>
    <xf numFmtId="165" fontId="6" fillId="3" borderId="0" xfId="5" applyNumberFormat="1" applyFill="1" applyProtection="1">
      <protection locked="0"/>
    </xf>
    <xf numFmtId="165" fontId="6" fillId="3" borderId="0" xfId="5" applyNumberFormat="1" applyFill="1"/>
    <xf numFmtId="0" fontId="6" fillId="3" borderId="0" xfId="5" applyFill="1" applyAlignment="1">
      <alignment horizontal="left" indent="2"/>
    </xf>
    <xf numFmtId="37" fontId="6" fillId="3" borderId="5" xfId="5" applyNumberFormat="1" applyFill="1" applyBorder="1"/>
    <xf numFmtId="170" fontId="6" fillId="3" borderId="0" xfId="5" applyNumberFormat="1" applyFill="1" applyProtection="1">
      <protection locked="0"/>
    </xf>
    <xf numFmtId="5" fontId="6" fillId="3" borderId="5" xfId="5" applyNumberFormat="1" applyFill="1" applyBorder="1"/>
    <xf numFmtId="168" fontId="6" fillId="3" borderId="0" xfId="5" applyNumberFormat="1" applyFill="1" applyAlignment="1">
      <alignment horizontal="left"/>
    </xf>
    <xf numFmtId="165" fontId="6" fillId="3" borderId="0" xfId="7" applyNumberFormat="1" applyFill="1"/>
    <xf numFmtId="0" fontId="6" fillId="3" borderId="0" xfId="5" applyFill="1" applyAlignment="1">
      <alignment horizontal="left" indent="1"/>
    </xf>
    <xf numFmtId="7" fontId="6" fillId="3" borderId="0" xfId="5" applyNumberFormat="1" applyFill="1" applyProtection="1">
      <protection locked="0"/>
    </xf>
    <xf numFmtId="166" fontId="6" fillId="3" borderId="0" xfId="5" applyNumberFormat="1" applyFill="1" applyProtection="1">
      <protection locked="0"/>
    </xf>
    <xf numFmtId="166" fontId="6" fillId="3" borderId="0" xfId="5" applyNumberFormat="1" applyFill="1"/>
    <xf numFmtId="5" fontId="6" fillId="3" borderId="19" xfId="5" applyNumberFormat="1" applyFill="1" applyBorder="1"/>
    <xf numFmtId="37" fontId="6" fillId="3" borderId="18" xfId="5" applyNumberFormat="1" applyFill="1" applyBorder="1"/>
    <xf numFmtId="44" fontId="6" fillId="3" borderId="18" xfId="5" applyNumberFormat="1" applyFill="1" applyBorder="1" applyProtection="1">
      <protection locked="0"/>
    </xf>
    <xf numFmtId="165" fontId="6" fillId="3" borderId="18" xfId="5" applyNumberFormat="1" applyFill="1" applyBorder="1"/>
    <xf numFmtId="37" fontId="6" fillId="3" borderId="9" xfId="5" applyNumberFormat="1" applyFill="1" applyBorder="1"/>
    <xf numFmtId="166" fontId="6" fillId="3" borderId="18" xfId="5" applyNumberFormat="1" applyFill="1" applyBorder="1"/>
    <xf numFmtId="5" fontId="6" fillId="3" borderId="26" xfId="5" applyNumberFormat="1" applyFill="1" applyBorder="1"/>
    <xf numFmtId="0" fontId="6" fillId="3" borderId="0" xfId="3" applyFont="1" applyFill="1"/>
    <xf numFmtId="0" fontId="6" fillId="3" borderId="0" xfId="3" applyFont="1" applyFill="1" applyAlignment="1">
      <alignment horizontal="center"/>
    </xf>
    <xf numFmtId="0" fontId="9" fillId="3" borderId="0" xfId="3" applyFont="1" applyFill="1"/>
    <xf numFmtId="0" fontId="9" fillId="3" borderId="0" xfId="3" applyFont="1" applyFill="1" applyAlignment="1">
      <alignment horizontal="center"/>
    </xf>
    <xf numFmtId="0" fontId="6" fillId="3" borderId="0" xfId="3" applyFont="1" applyFill="1" applyAlignment="1">
      <alignment horizontal="centerContinuous"/>
    </xf>
    <xf numFmtId="0" fontId="9" fillId="3" borderId="9" xfId="3" applyFont="1" applyFill="1" applyBorder="1" applyAlignment="1">
      <alignment horizontal="center" wrapText="1"/>
    </xf>
    <xf numFmtId="0" fontId="9" fillId="3" borderId="9" xfId="3" applyFont="1" applyFill="1" applyBorder="1" applyAlignment="1">
      <alignment horizontal="center"/>
    </xf>
    <xf numFmtId="0" fontId="9" fillId="3" borderId="9" xfId="3" quotePrefix="1" applyFont="1" applyFill="1" applyBorder="1" applyAlignment="1">
      <alignment horizontal="center" wrapText="1"/>
    </xf>
    <xf numFmtId="164" fontId="15" fillId="3" borderId="0" xfId="3" applyNumberFormat="1" applyFont="1" applyFill="1"/>
    <xf numFmtId="0" fontId="15" fillId="3" borderId="0" xfId="3" applyFont="1" applyFill="1"/>
    <xf numFmtId="10" fontId="15" fillId="3" borderId="0" xfId="3" applyNumberFormat="1" applyFont="1" applyFill="1"/>
    <xf numFmtId="0" fontId="9" fillId="3" borderId="0" xfId="3" applyFont="1" applyFill="1" applyAlignment="1">
      <alignment wrapText="1"/>
    </xf>
    <xf numFmtId="37" fontId="6" fillId="3" borderId="0" xfId="3" applyNumberFormat="1" applyFont="1" applyFill="1" applyAlignment="1">
      <alignment horizontal="center"/>
    </xf>
    <xf numFmtId="5" fontId="6" fillId="3" borderId="0" xfId="3" applyNumberFormat="1" applyFont="1" applyFill="1" applyAlignment="1">
      <alignment horizontal="center"/>
    </xf>
    <xf numFmtId="164" fontId="6" fillId="3" borderId="0" xfId="3" applyNumberFormat="1" applyFont="1" applyFill="1" applyAlignment="1">
      <alignment horizontal="center"/>
    </xf>
    <xf numFmtId="10" fontId="6" fillId="3" borderId="0" xfId="3" applyNumberFormat="1" applyFont="1" applyFill="1" applyAlignment="1">
      <alignment horizontal="center"/>
    </xf>
    <xf numFmtId="164" fontId="11" fillId="0" borderId="0" xfId="2" applyNumberFormat="1" applyFont="1"/>
    <xf numFmtId="164" fontId="11" fillId="3" borderId="0" xfId="2" applyNumberFormat="1" applyFont="1" applyFill="1"/>
    <xf numFmtId="164" fontId="4" fillId="0" borderId="0" xfId="2" applyNumberFormat="1" applyFont="1" applyAlignment="1">
      <alignment horizontal="center"/>
    </xf>
    <xf numFmtId="0" fontId="13" fillId="3" borderId="0" xfId="0" applyFont="1" applyFill="1"/>
    <xf numFmtId="0" fontId="13" fillId="3" borderId="9" xfId="0" applyFont="1" applyFill="1" applyBorder="1"/>
    <xf numFmtId="164" fontId="13" fillId="3" borderId="0" xfId="2" applyNumberFormat="1" applyFont="1" applyFill="1" applyAlignment="1">
      <alignment horizontal="center"/>
    </xf>
    <xf numFmtId="0" fontId="3" fillId="0" borderId="0" xfId="5" applyFont="1" applyAlignment="1">
      <alignment horizontal="center" wrapText="1"/>
    </xf>
    <xf numFmtId="0" fontId="6" fillId="0" borderId="0" xfId="5" applyAlignment="1">
      <alignment horizontal="center" wrapText="1"/>
    </xf>
    <xf numFmtId="0" fontId="9" fillId="0" borderId="0" xfId="5" applyFont="1" applyAlignment="1">
      <alignment horizontal="center" wrapText="1"/>
    </xf>
    <xf numFmtId="0" fontId="3" fillId="0" borderId="0" xfId="5" quotePrefix="1" applyFont="1" applyAlignment="1">
      <alignment horizontal="center" wrapText="1"/>
    </xf>
    <xf numFmtId="0" fontId="3" fillId="0" borderId="4" xfId="5" applyFont="1" applyBorder="1" applyAlignment="1">
      <alignment horizontal="center"/>
    </xf>
    <xf numFmtId="0" fontId="3" fillId="0" borderId="5" xfId="5" applyFont="1" applyBorder="1" applyAlignment="1">
      <alignment horizontal="center"/>
    </xf>
    <xf numFmtId="0" fontId="3" fillId="0" borderId="6" xfId="5" applyFont="1" applyBorder="1" applyAlignment="1">
      <alignment horizontal="center"/>
    </xf>
    <xf numFmtId="0" fontId="3" fillId="0" borderId="4" xfId="5" applyFont="1" applyBorder="1" applyAlignment="1">
      <alignment horizontal="center" wrapText="1"/>
    </xf>
    <xf numFmtId="0" fontId="6" fillId="0" borderId="5" xfId="5" applyBorder="1" applyAlignment="1">
      <alignment horizontal="center" wrapText="1"/>
    </xf>
    <xf numFmtId="0" fontId="6" fillId="0" borderId="6" xfId="5" applyBorder="1" applyAlignment="1">
      <alignment horizontal="center" wrapText="1"/>
    </xf>
    <xf numFmtId="0" fontId="3" fillId="0" borderId="5" xfId="5" applyFont="1" applyBorder="1" applyAlignment="1">
      <alignment horizontal="center" wrapText="1"/>
    </xf>
    <xf numFmtId="0" fontId="4" fillId="0" borderId="0" xfId="3" quotePrefix="1" applyFont="1" applyAlignment="1">
      <alignment horizontal="left"/>
    </xf>
    <xf numFmtId="0" fontId="3" fillId="0" borderId="0" xfId="3" applyFont="1" applyAlignment="1">
      <alignment horizontal="center" wrapText="1"/>
    </xf>
    <xf numFmtId="0" fontId="5" fillId="0" borderId="0" xfId="3" applyFont="1" applyAlignment="1">
      <alignment horizontal="center" wrapText="1"/>
    </xf>
    <xf numFmtId="0" fontId="4" fillId="0" borderId="1" xfId="3" quotePrefix="1" applyFont="1" applyBorder="1" applyAlignment="1">
      <alignment horizontal="center"/>
    </xf>
    <xf numFmtId="0" fontId="3" fillId="0" borderId="2" xfId="3" applyFont="1" applyBorder="1" applyAlignment="1">
      <alignment horizontal="center" wrapText="1"/>
    </xf>
    <xf numFmtId="0" fontId="2" fillId="0" borderId="3" xfId="3" applyBorder="1" applyAlignment="1">
      <alignment horizontal="center" wrapText="1"/>
    </xf>
    <xf numFmtId="0" fontId="3" fillId="0" borderId="4" xfId="3" quotePrefix="1" applyFont="1" applyBorder="1" applyAlignment="1">
      <alignment horizontal="center" wrapText="1"/>
    </xf>
    <xf numFmtId="0" fontId="3" fillId="0" borderId="5" xfId="3" applyFont="1" applyBorder="1" applyAlignment="1">
      <alignment horizontal="center" wrapText="1"/>
    </xf>
    <xf numFmtId="0" fontId="5" fillId="0" borderId="6" xfId="3" applyFont="1" applyBorder="1" applyAlignment="1">
      <alignment horizontal="center" wrapText="1"/>
    </xf>
    <xf numFmtId="0" fontId="3" fillId="0" borderId="4" xfId="3" applyFont="1" applyBorder="1" applyAlignment="1">
      <alignment horizontal="center" wrapText="1"/>
    </xf>
    <xf numFmtId="0" fontId="13" fillId="3" borderId="4" xfId="0" applyFont="1" applyFill="1" applyBorder="1" applyAlignment="1">
      <alignment horizontal="center"/>
    </xf>
    <xf numFmtId="0" fontId="13" fillId="3" borderId="6" xfId="0" applyFont="1" applyFill="1" applyBorder="1" applyAlignment="1">
      <alignment horizontal="center"/>
    </xf>
    <xf numFmtId="0" fontId="18" fillId="3" borderId="0" xfId="5" applyFont="1" applyFill="1" applyAlignment="1">
      <alignment horizontal="center" wrapText="1"/>
    </xf>
    <xf numFmtId="0" fontId="9" fillId="3" borderId="4" xfId="5" applyFont="1" applyFill="1" applyBorder="1" applyAlignment="1">
      <alignment horizontal="center"/>
    </xf>
    <xf numFmtId="0" fontId="9" fillId="3" borderId="5" xfId="5" applyFont="1" applyFill="1" applyBorder="1" applyAlignment="1">
      <alignment horizontal="center"/>
    </xf>
    <xf numFmtId="0" fontId="9" fillId="3" borderId="6" xfId="5" applyFont="1" applyFill="1" applyBorder="1" applyAlignment="1">
      <alignment horizontal="center"/>
    </xf>
    <xf numFmtId="0" fontId="9" fillId="3" borderId="4" xfId="5" applyFont="1" applyFill="1" applyBorder="1" applyAlignment="1">
      <alignment horizontal="center" wrapText="1"/>
    </xf>
    <xf numFmtId="0" fontId="9" fillId="3" borderId="6" xfId="5" applyFont="1" applyFill="1" applyBorder="1" applyAlignment="1">
      <alignment horizontal="center" wrapText="1"/>
    </xf>
    <xf numFmtId="0" fontId="9" fillId="3" borderId="4" xfId="3" quotePrefix="1" applyFont="1" applyFill="1" applyBorder="1" applyAlignment="1">
      <alignment horizontal="center" wrapText="1"/>
    </xf>
    <xf numFmtId="0" fontId="9" fillId="3" borderId="5" xfId="3" applyFont="1" applyFill="1" applyBorder="1" applyAlignment="1">
      <alignment horizontal="center" wrapText="1"/>
    </xf>
    <xf numFmtId="0" fontId="9" fillId="3" borderId="6" xfId="3" applyFont="1" applyFill="1" applyBorder="1" applyAlignment="1">
      <alignment horizontal="center" wrapText="1"/>
    </xf>
    <xf numFmtId="0" fontId="9" fillId="3" borderId="4" xfId="3" applyFont="1" applyFill="1" applyBorder="1" applyAlignment="1">
      <alignment horizontal="center" wrapText="1"/>
    </xf>
    <xf numFmtId="0" fontId="18" fillId="3" borderId="0" xfId="3" applyFont="1" applyFill="1" applyAlignment="1">
      <alignment horizontal="center" wrapText="1"/>
    </xf>
  </cellXfs>
  <cellStyles count="9">
    <cellStyle name="Comma" xfId="1" builtinId="3"/>
    <cellStyle name="Currency 2" xfId="8" xr:uid="{8C436B17-3B65-40DA-AA6E-C6176F70BCFD}"/>
    <cellStyle name="Currency 2 12" xfId="4" xr:uid="{4C7E3A66-6970-4837-8D14-C7F6EDAFA9EA}"/>
    <cellStyle name="Normal" xfId="0" builtinId="0"/>
    <cellStyle name="Normal 2" xfId="5" xr:uid="{2E9C92F0-6D91-4417-A9D0-8D52B61B8DC6}"/>
    <cellStyle name="Normal 2 10" xfId="3" xr:uid="{41294CF5-032B-43CB-B267-E424F08ED12E}"/>
    <cellStyle name="Normal 2 2" xfId="7" xr:uid="{6FF727AC-F0AF-42B2-AD79-9D62D2977FC1}"/>
    <cellStyle name="Percent" xfId="2" builtinId="5"/>
    <cellStyle name="Percent 2" xfId="6" xr:uid="{61C45926-9A59-4E28-A5E7-6D5AE1D04B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190500</xdr:colOff>
      <xdr:row>0</xdr:row>
      <xdr:rowOff>114300</xdr:rowOff>
    </xdr:from>
    <xdr:ext cx="8276190" cy="7219048"/>
    <xdr:pic>
      <xdr:nvPicPr>
        <xdr:cNvPr id="2" name="Picture 1">
          <a:extLst>
            <a:ext uri="{FF2B5EF4-FFF2-40B4-BE49-F238E27FC236}">
              <a16:creationId xmlns:a16="http://schemas.microsoft.com/office/drawing/2014/main" id="{765964B0-4D6C-4387-AB0E-7EE00E0E50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992100" y="114300"/>
          <a:ext cx="8276190" cy="7219048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409575</xdr:colOff>
      <xdr:row>1</xdr:row>
      <xdr:rowOff>95250</xdr:rowOff>
    </xdr:from>
    <xdr:ext cx="8276190" cy="7219048"/>
    <xdr:pic>
      <xdr:nvPicPr>
        <xdr:cNvPr id="2" name="Picture 1">
          <a:extLst>
            <a:ext uri="{FF2B5EF4-FFF2-40B4-BE49-F238E27FC236}">
              <a16:creationId xmlns:a16="http://schemas.microsoft.com/office/drawing/2014/main" id="{6637F622-764E-469B-BBDB-837FEB04CD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87650" y="238125"/>
          <a:ext cx="8276190" cy="7219048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Zakharova, Elena" id="{27B5E9A8-3C98-4198-9906-B9B021547349}" userId="S::Lena.Zakharova@pse.com::e8a6b8bd-f323-4752-82b4-89107bf522d5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R110" dT="2024-01-25T21:18:12.08" personId="{27B5E9A8-3C98-4198-9906-B9B021547349}" id="{FABCF5CB-A02E-457B-94DC-DF18AFEE8E81}">
    <text>Per agreement cannot have discount for more than 45%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R110" dT="2024-01-25T21:18:12.08" personId="{27B5E9A8-3C98-4198-9906-B9B021547349}" id="{1DC5B0C2-5979-4627-AE3A-13187D670608}">
    <text>Per agreement cannot have discount for more than 45%</text>
  </threadedComment>
</ThreadedComment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35C48-5355-4270-985D-9C74E810328D}">
  <dimension ref="A4:N34"/>
  <sheetViews>
    <sheetView tabSelected="1" zoomScale="85" zoomScaleNormal="85" workbookViewId="0">
      <selection activeCell="B30" sqref="B30"/>
    </sheetView>
  </sheetViews>
  <sheetFormatPr defaultRowHeight="15.75" x14ac:dyDescent="0.25"/>
  <cols>
    <col min="1" max="1" width="48.140625" style="62" customWidth="1"/>
    <col min="2" max="2" width="18.85546875" style="62" bestFit="1" customWidth="1"/>
    <col min="3" max="3" width="17" style="62" bestFit="1" customWidth="1"/>
    <col min="4" max="7" width="15.28515625" style="62" bestFit="1" customWidth="1"/>
    <col min="8" max="8" width="12.85546875" style="62" bestFit="1" customWidth="1"/>
    <col min="9" max="11" width="14.140625" style="62" bestFit="1" customWidth="1"/>
    <col min="12" max="12" width="15.140625" style="62" bestFit="1" customWidth="1"/>
    <col min="13" max="13" width="14.140625" style="62" bestFit="1" customWidth="1"/>
    <col min="14" max="14" width="11.140625" style="62" bestFit="1" customWidth="1"/>
    <col min="15" max="16384" width="9.140625" style="62"/>
  </cols>
  <sheetData>
    <row r="4" spans="1:14" ht="40.5" x14ac:dyDescent="0.55000000000000004">
      <c r="A4" s="60"/>
      <c r="B4" s="61" t="s">
        <v>70</v>
      </c>
      <c r="C4" s="61" t="s">
        <v>76</v>
      </c>
      <c r="D4" s="61" t="s">
        <v>77</v>
      </c>
      <c r="E4" s="61" t="s">
        <v>78</v>
      </c>
      <c r="F4" s="61" t="s">
        <v>79</v>
      </c>
      <c r="G4" s="61" t="s">
        <v>80</v>
      </c>
      <c r="H4" s="61" t="s">
        <v>81</v>
      </c>
      <c r="I4" s="61" t="s">
        <v>82</v>
      </c>
      <c r="J4" s="61" t="s">
        <v>83</v>
      </c>
      <c r="K4" s="61" t="s">
        <v>84</v>
      </c>
      <c r="L4" s="61" t="s">
        <v>85</v>
      </c>
      <c r="M4" s="61" t="s">
        <v>86</v>
      </c>
      <c r="N4" s="61" t="s">
        <v>87</v>
      </c>
    </row>
    <row r="5" spans="1:14" ht="20.25" x14ac:dyDescent="0.55000000000000004">
      <c r="A5" s="60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</row>
    <row r="6" spans="1:14" x14ac:dyDescent="0.25">
      <c r="A6" s="67" t="s">
        <v>93</v>
      </c>
    </row>
    <row r="7" spans="1:14" x14ac:dyDescent="0.25">
      <c r="A7" s="64" t="s">
        <v>71</v>
      </c>
      <c r="B7" s="65"/>
      <c r="C7" s="65"/>
      <c r="D7" s="65"/>
      <c r="E7" s="65"/>
      <c r="F7" s="65">
        <v>77505747.88823837</v>
      </c>
      <c r="G7" s="65"/>
      <c r="H7" s="65"/>
      <c r="I7" s="65"/>
      <c r="J7" s="65"/>
      <c r="K7" s="65"/>
      <c r="L7" s="65"/>
      <c r="M7" s="65"/>
      <c r="N7" s="65"/>
    </row>
    <row r="8" spans="1:14" x14ac:dyDescent="0.25">
      <c r="A8" s="64" t="s">
        <v>72</v>
      </c>
      <c r="B8" s="65"/>
      <c r="C8" s="65"/>
      <c r="D8" s="65"/>
      <c r="E8" s="65"/>
      <c r="F8" s="65">
        <v>176776711.64089313</v>
      </c>
      <c r="G8" s="65"/>
      <c r="H8" s="65"/>
      <c r="I8" s="65"/>
      <c r="J8" s="65"/>
      <c r="K8" s="65"/>
      <c r="L8" s="65"/>
      <c r="M8" s="65"/>
      <c r="N8" s="65"/>
    </row>
    <row r="9" spans="1:14" x14ac:dyDescent="0.25">
      <c r="A9" s="64" t="s">
        <v>73</v>
      </c>
      <c r="B9" s="65"/>
      <c r="C9" s="65"/>
      <c r="D9" s="65"/>
      <c r="E9" s="65"/>
      <c r="F9" s="65">
        <v>16157232.978549009</v>
      </c>
      <c r="G9" s="65"/>
      <c r="H9" s="65"/>
      <c r="I9" s="65"/>
      <c r="J9" s="65"/>
      <c r="K9" s="65"/>
      <c r="L9" s="65"/>
      <c r="M9" s="65"/>
      <c r="N9" s="65"/>
    </row>
    <row r="10" spans="1:14" x14ac:dyDescent="0.25">
      <c r="A10" s="63" t="s">
        <v>89</v>
      </c>
      <c r="B10" s="65"/>
      <c r="C10" s="65"/>
      <c r="D10" s="65"/>
      <c r="E10" s="65"/>
      <c r="F10" s="65">
        <v>270439692.50768054</v>
      </c>
      <c r="G10" s="65"/>
      <c r="H10" s="65"/>
      <c r="I10" s="65"/>
      <c r="J10" s="65"/>
      <c r="K10" s="65"/>
      <c r="L10" s="65"/>
      <c r="M10" s="65"/>
      <c r="N10" s="65"/>
    </row>
    <row r="11" spans="1:14" x14ac:dyDescent="0.25">
      <c r="A11" s="66" t="s">
        <v>91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</row>
    <row r="12" spans="1:14" x14ac:dyDescent="0.25">
      <c r="A12" s="66"/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</row>
    <row r="13" spans="1:14" x14ac:dyDescent="0.25">
      <c r="A13" s="62" t="s">
        <v>88</v>
      </c>
      <c r="B13" s="65"/>
      <c r="C13" s="65"/>
      <c r="D13" s="65"/>
      <c r="E13" s="65"/>
      <c r="F13" s="65">
        <v>65733959.338795751</v>
      </c>
      <c r="G13" s="65"/>
      <c r="H13" s="65"/>
      <c r="I13" s="65"/>
      <c r="J13" s="65"/>
      <c r="K13" s="65"/>
      <c r="L13" s="65"/>
      <c r="M13" s="65"/>
      <c r="N13" s="65"/>
    </row>
    <row r="14" spans="1:14" x14ac:dyDescent="0.25">
      <c r="A14" s="66" t="s">
        <v>92</v>
      </c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</row>
    <row r="15" spans="1:14" x14ac:dyDescent="0.25"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</row>
    <row r="16" spans="1:14" x14ac:dyDescent="0.25">
      <c r="A16" s="67" t="s">
        <v>94</v>
      </c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</row>
    <row r="17" spans="1:14" x14ac:dyDescent="0.25">
      <c r="A17" s="64" t="s">
        <v>71</v>
      </c>
      <c r="B17" s="65"/>
      <c r="C17" s="65"/>
      <c r="D17" s="65"/>
      <c r="E17" s="65"/>
      <c r="F17" s="65">
        <f t="shared" ref="F17" si="0">+F7</f>
        <v>77505747.88823837</v>
      </c>
      <c r="G17" s="65"/>
      <c r="H17" s="65"/>
      <c r="I17" s="65"/>
      <c r="J17" s="65"/>
      <c r="K17" s="65"/>
      <c r="L17" s="65"/>
      <c r="M17" s="65"/>
      <c r="N17" s="65"/>
    </row>
    <row r="18" spans="1:14" x14ac:dyDescent="0.25">
      <c r="A18" s="64" t="s">
        <v>90</v>
      </c>
      <c r="B18" s="65"/>
      <c r="C18" s="65"/>
      <c r="D18" s="65"/>
      <c r="E18" s="65"/>
      <c r="F18" s="65">
        <f t="shared" ref="F18" si="1">+F8-F13</f>
        <v>111042752.30209738</v>
      </c>
      <c r="G18" s="65"/>
      <c r="H18" s="65"/>
      <c r="I18" s="65"/>
      <c r="J18" s="65"/>
      <c r="K18" s="65"/>
      <c r="L18" s="65"/>
      <c r="M18" s="65"/>
      <c r="N18" s="65"/>
    </row>
    <row r="19" spans="1:14" x14ac:dyDescent="0.25">
      <c r="A19" s="64" t="s">
        <v>73</v>
      </c>
      <c r="B19" s="65"/>
      <c r="C19" s="65"/>
      <c r="D19" s="65"/>
      <c r="E19" s="65"/>
      <c r="F19" s="65">
        <f t="shared" ref="F19" si="2">+F9</f>
        <v>16157232.978549009</v>
      </c>
      <c r="G19" s="65"/>
      <c r="H19" s="65"/>
      <c r="I19" s="65"/>
      <c r="J19" s="65"/>
      <c r="K19" s="65"/>
      <c r="L19" s="65"/>
      <c r="M19" s="65"/>
      <c r="N19" s="65"/>
    </row>
    <row r="20" spans="1:14" x14ac:dyDescent="0.25">
      <c r="A20" s="63" t="s">
        <v>89</v>
      </c>
      <c r="B20" s="65"/>
      <c r="C20" s="65"/>
      <c r="D20" s="65"/>
      <c r="E20" s="65"/>
      <c r="F20" s="65">
        <f t="shared" ref="F20" si="3">+SUM(F17:F19)</f>
        <v>204705733.16888475</v>
      </c>
      <c r="G20" s="65"/>
      <c r="H20" s="65"/>
      <c r="I20" s="65"/>
      <c r="J20" s="65"/>
      <c r="K20" s="65"/>
      <c r="L20" s="65"/>
      <c r="M20" s="65"/>
      <c r="N20" s="65"/>
    </row>
    <row r="21" spans="1:14" x14ac:dyDescent="0.25"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</row>
    <row r="22" spans="1:14" x14ac:dyDescent="0.25"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</row>
    <row r="23" spans="1:14" x14ac:dyDescent="0.25">
      <c r="A23" s="67" t="s">
        <v>234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</row>
    <row r="24" spans="1:14" x14ac:dyDescent="0.25">
      <c r="A24" s="62" t="s">
        <v>71</v>
      </c>
      <c r="B24" s="68"/>
      <c r="C24" s="68"/>
      <c r="D24" s="68"/>
      <c r="E24" s="68"/>
      <c r="F24" s="265">
        <f>+F17/F$20</f>
        <v>0.378620308715512</v>
      </c>
      <c r="G24" s="68"/>
      <c r="H24" s="68"/>
      <c r="I24" s="68"/>
      <c r="J24" s="68"/>
      <c r="K24" s="68"/>
      <c r="L24" s="68"/>
      <c r="M24" s="68"/>
      <c r="N24" s="68"/>
    </row>
    <row r="25" spans="1:14" x14ac:dyDescent="0.25">
      <c r="A25" s="62" t="s">
        <v>232</v>
      </c>
      <c r="B25" s="68"/>
      <c r="C25" s="68"/>
      <c r="D25" s="68"/>
      <c r="E25" s="68"/>
      <c r="F25" s="265">
        <f t="shared" ref="F25:F26" si="4">+F18/F$20</f>
        <v>0.54245062208631811</v>
      </c>
      <c r="G25" s="68"/>
      <c r="H25" s="68"/>
      <c r="I25" s="68"/>
      <c r="J25" s="68"/>
      <c r="K25" s="68"/>
      <c r="L25" s="68"/>
      <c r="M25" s="68"/>
      <c r="N25" s="68"/>
    </row>
    <row r="26" spans="1:14" x14ac:dyDescent="0.25">
      <c r="A26" s="62" t="s">
        <v>233</v>
      </c>
      <c r="B26" s="68"/>
      <c r="C26" s="68"/>
      <c r="D26" s="68"/>
      <c r="E26" s="68"/>
      <c r="F26" s="265">
        <f t="shared" si="4"/>
        <v>7.8929069198169902E-2</v>
      </c>
      <c r="G26" s="68"/>
      <c r="H26" s="68"/>
      <c r="I26" s="68"/>
      <c r="J26" s="68"/>
      <c r="K26" s="68"/>
      <c r="L26" s="68"/>
      <c r="M26" s="68"/>
      <c r="N26" s="68"/>
    </row>
    <row r="27" spans="1:14" x14ac:dyDescent="0.25">
      <c r="A27" s="66"/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</row>
    <row r="28" spans="1:14" x14ac:dyDescent="0.25">
      <c r="A28" s="66"/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</row>
    <row r="29" spans="1:14" x14ac:dyDescent="0.25">
      <c r="A29" s="67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</row>
    <row r="30" spans="1:14" x14ac:dyDescent="0.25"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</row>
    <row r="31" spans="1:14" x14ac:dyDescent="0.25"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</row>
    <row r="32" spans="1:14" x14ac:dyDescent="0.25">
      <c r="B32" s="69"/>
      <c r="C32" s="69"/>
      <c r="D32" s="69"/>
      <c r="E32" s="69"/>
      <c r="F32" s="65"/>
      <c r="G32" s="69"/>
      <c r="H32" s="69"/>
      <c r="I32" s="69"/>
      <c r="J32" s="69"/>
      <c r="K32" s="69"/>
      <c r="L32" s="69"/>
      <c r="M32" s="69"/>
      <c r="N32" s="69"/>
    </row>
    <row r="34" spans="1:1" x14ac:dyDescent="0.25">
      <c r="A34" s="67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AA4E0-7BE7-4136-ADCD-1C7C66C812D7}">
  <dimension ref="A1:F8"/>
  <sheetViews>
    <sheetView workbookViewId="0">
      <selection activeCell="A2" sqref="A2"/>
    </sheetView>
  </sheetViews>
  <sheetFormatPr defaultRowHeight="15.75" x14ac:dyDescent="0.25"/>
  <cols>
    <col min="1" max="1" width="15.7109375" style="205" customWidth="1"/>
    <col min="2" max="5" width="15.7109375" style="206" customWidth="1"/>
    <col min="6" max="6" width="15.7109375" style="205" customWidth="1"/>
    <col min="7" max="16384" width="9.140625" style="205"/>
  </cols>
  <sheetData>
    <row r="1" spans="1:6" x14ac:dyDescent="0.25">
      <c r="A1" s="205" t="s">
        <v>242</v>
      </c>
    </row>
    <row r="3" spans="1:6" x14ac:dyDescent="0.25">
      <c r="B3" s="205"/>
      <c r="C3" s="292" t="s">
        <v>224</v>
      </c>
      <c r="D3" s="293"/>
      <c r="E3" s="292" t="s">
        <v>225</v>
      </c>
      <c r="F3" s="293"/>
    </row>
    <row r="4" spans="1:6" x14ac:dyDescent="0.25">
      <c r="A4" s="269"/>
      <c r="B4" s="207" t="s">
        <v>235</v>
      </c>
      <c r="C4" s="269" t="s">
        <v>5</v>
      </c>
      <c r="D4" s="269" t="s">
        <v>6</v>
      </c>
      <c r="E4" s="269" t="s">
        <v>5</v>
      </c>
      <c r="F4" s="269" t="s">
        <v>6</v>
      </c>
    </row>
    <row r="5" spans="1:6" x14ac:dyDescent="0.25">
      <c r="A5" s="268" t="s">
        <v>73</v>
      </c>
      <c r="B5" s="210">
        <f>+'COS Class of Rev'!F26</f>
        <v>7.8929069198169902E-2</v>
      </c>
      <c r="C5" s="210">
        <f>+'Rate Design (PSE)'!X80</f>
        <v>8.6707951337581541E-3</v>
      </c>
      <c r="D5" s="210">
        <f>+'Rate Design (PSE)'!Z80</f>
        <v>1.174342989422995E-2</v>
      </c>
      <c r="E5" s="210">
        <f>+'Rate Design (Kro)'!X80</f>
        <v>1.3339684821166391E-2</v>
      </c>
      <c r="F5" s="210">
        <f>+'Rate Design (Kro)'!Z80</f>
        <v>2.7795100341372662E-2</v>
      </c>
    </row>
    <row r="6" spans="1:6" x14ac:dyDescent="0.25">
      <c r="A6" s="268" t="s">
        <v>72</v>
      </c>
      <c r="B6" s="210">
        <f>+'COS Class of Rev'!F25</f>
        <v>0.54245062208631811</v>
      </c>
      <c r="C6" s="210">
        <f>+'Rate Design (PSE)'!X81</f>
        <v>0.68890330451773607</v>
      </c>
      <c r="D6" s="210">
        <f>+'Rate Design (PSE)'!Z81</f>
        <v>0.62950616557194439</v>
      </c>
      <c r="E6" s="210">
        <f>+'Rate Design (Kro)'!X81</f>
        <v>0.67740336838696502</v>
      </c>
      <c r="F6" s="210">
        <f>+'Rate Design (Kro)'!Z81</f>
        <v>0.59706161723764051</v>
      </c>
    </row>
    <row r="7" spans="1:6" x14ac:dyDescent="0.25">
      <c r="A7" s="268" t="s">
        <v>71</v>
      </c>
      <c r="B7" s="210">
        <f>+'COS Class of Rev'!F24</f>
        <v>0.378620308715512</v>
      </c>
      <c r="C7" s="210">
        <f>+'Rate Design (PSE)'!X82</f>
        <v>0.30242590034850581</v>
      </c>
      <c r="D7" s="210">
        <f>+'Rate Design (PSE)'!Z82</f>
        <v>0.35875040453382573</v>
      </c>
      <c r="E7" s="210">
        <f>+'Rate Design (Kro)'!X82</f>
        <v>0.30925694679186855</v>
      </c>
      <c r="F7" s="210">
        <f>+'Rate Design (Kro)'!Z82</f>
        <v>0.37514328242098677</v>
      </c>
    </row>
    <row r="8" spans="1:6" x14ac:dyDescent="0.25">
      <c r="A8" s="268" t="s">
        <v>75</v>
      </c>
      <c r="B8" s="270">
        <f>SUM(B5:B7)</f>
        <v>1</v>
      </c>
      <c r="C8" s="270">
        <f t="shared" ref="C8:D8" si="0">SUM(C5:C7)</f>
        <v>1</v>
      </c>
      <c r="D8" s="270">
        <f t="shared" si="0"/>
        <v>1</v>
      </c>
      <c r="E8" s="270">
        <f t="shared" ref="E8" si="1">SUM(E5:E7)</f>
        <v>1</v>
      </c>
      <c r="F8" s="270">
        <f t="shared" ref="F8" si="2">SUM(F5:F7)</f>
        <v>1</v>
      </c>
    </row>
  </sheetData>
  <mergeCells count="2">
    <mergeCell ref="C3:D3"/>
    <mergeCell ref="E3:F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C353D-9D7E-46AB-8E03-D1EDCE0B6C42}">
  <sheetPr transitionEvaluation="1" transitionEntry="1">
    <pageSetUpPr fitToPage="1"/>
  </sheetPr>
  <dimension ref="A1:J62"/>
  <sheetViews>
    <sheetView zoomScaleNormal="100" zoomScaleSheetLayoutView="80" workbookViewId="0">
      <selection activeCell="G10" sqref="G10"/>
    </sheetView>
  </sheetViews>
  <sheetFormatPr defaultColWidth="11.7109375" defaultRowHeight="15.75" x14ac:dyDescent="0.25"/>
  <cols>
    <col min="1" max="1" width="5.85546875" style="212" bestFit="1" customWidth="1"/>
    <col min="2" max="2" width="39.85546875" style="211" customWidth="1"/>
    <col min="3" max="3" width="18.42578125" style="211" bestFit="1" customWidth="1"/>
    <col min="4" max="4" width="32.7109375" style="211" bestFit="1" customWidth="1"/>
    <col min="5" max="5" width="19" style="211" bestFit="1" customWidth="1"/>
    <col min="6" max="6" width="15.42578125" style="211" bestFit="1" customWidth="1"/>
    <col min="7" max="8" width="17.5703125" style="211" bestFit="1" customWidth="1"/>
    <col min="9" max="10" width="18.28515625" style="211" bestFit="1" customWidth="1"/>
    <col min="11" max="16384" width="11.7109375" style="211"/>
  </cols>
  <sheetData>
    <row r="1" spans="1:10" ht="20.100000000000001" customHeight="1" x14ac:dyDescent="0.3">
      <c r="A1" s="294" t="s">
        <v>226</v>
      </c>
      <c r="B1" s="294"/>
      <c r="C1" s="294"/>
      <c r="D1" s="294"/>
      <c r="E1" s="294"/>
      <c r="F1" s="294"/>
      <c r="G1" s="294"/>
      <c r="H1" s="294"/>
      <c r="I1" s="294"/>
      <c r="J1" s="294"/>
    </row>
    <row r="2" spans="1:10" ht="20.100000000000001" customHeight="1" x14ac:dyDescent="0.3">
      <c r="A2" s="294" t="s">
        <v>227</v>
      </c>
      <c r="B2" s="294"/>
      <c r="C2" s="294"/>
      <c r="D2" s="294"/>
      <c r="E2" s="294"/>
      <c r="F2" s="294"/>
      <c r="G2" s="294"/>
      <c r="H2" s="294"/>
      <c r="I2" s="294"/>
      <c r="J2" s="294"/>
    </row>
    <row r="3" spans="1:10" x14ac:dyDescent="0.25">
      <c r="B3" s="213"/>
      <c r="C3" s="213"/>
      <c r="D3" s="213"/>
      <c r="E3" s="213"/>
      <c r="F3" s="213"/>
      <c r="G3" s="213"/>
      <c r="H3" s="213"/>
      <c r="I3" s="213"/>
      <c r="J3" s="213"/>
    </row>
    <row r="4" spans="1:10" ht="15.75" customHeight="1" x14ac:dyDescent="0.25">
      <c r="B4" s="214"/>
      <c r="C4" s="295" t="s">
        <v>129</v>
      </c>
      <c r="D4" s="296"/>
      <c r="E4" s="297"/>
      <c r="F4" s="295" t="s">
        <v>130</v>
      </c>
      <c r="G4" s="296"/>
      <c r="H4" s="297"/>
      <c r="I4" s="298" t="s">
        <v>132</v>
      </c>
      <c r="J4" s="299"/>
    </row>
    <row r="5" spans="1:10" ht="31.5" x14ac:dyDescent="0.25">
      <c r="A5" s="217" t="s">
        <v>134</v>
      </c>
      <c r="B5" s="218" t="s">
        <v>135</v>
      </c>
      <c r="C5" s="219" t="s">
        <v>136</v>
      </c>
      <c r="D5" s="215" t="s">
        <v>5</v>
      </c>
      <c r="E5" s="216" t="s">
        <v>6</v>
      </c>
      <c r="F5" s="220" t="str">
        <f>C5</f>
        <v xml:space="preserve">Test Year </v>
      </c>
      <c r="G5" s="215" t="str">
        <f>D5</f>
        <v>MYRP 2025</v>
      </c>
      <c r="H5" s="216" t="str">
        <f>E5</f>
        <v>MYRP 2026</v>
      </c>
      <c r="I5" s="215" t="str">
        <f>G5</f>
        <v>MYRP 2025</v>
      </c>
      <c r="J5" s="216" t="str">
        <f>H5</f>
        <v>MYRP 2026</v>
      </c>
    </row>
    <row r="7" spans="1:10" x14ac:dyDescent="0.25">
      <c r="A7" s="212">
        <f t="shared" ref="A7:A61" si="0">A6+1</f>
        <v>1</v>
      </c>
      <c r="B7" s="221" t="s">
        <v>95</v>
      </c>
    </row>
    <row r="8" spans="1:10" x14ac:dyDescent="0.25">
      <c r="A8" s="212">
        <f t="shared" si="0"/>
        <v>2</v>
      </c>
      <c r="B8" s="222" t="s">
        <v>96</v>
      </c>
    </row>
    <row r="9" spans="1:10" x14ac:dyDescent="0.25">
      <c r="A9" s="212">
        <f t="shared" si="0"/>
        <v>3</v>
      </c>
    </row>
    <row r="10" spans="1:10" x14ac:dyDescent="0.25">
      <c r="A10" s="212">
        <f t="shared" si="0"/>
        <v>4</v>
      </c>
      <c r="B10" s="211" t="s">
        <v>35</v>
      </c>
      <c r="C10" s="223">
        <v>10443</v>
      </c>
      <c r="D10" s="223">
        <v>12832.950278385571</v>
      </c>
      <c r="E10" s="223">
        <v>14912.048410558225</v>
      </c>
      <c r="F10" s="224">
        <v>109.08</v>
      </c>
      <c r="G10" s="225">
        <f>'Rate Design (Kro)'!H80</f>
        <v>218.16</v>
      </c>
      <c r="H10" s="225">
        <f>'Rate Design (Kro)'!I80</f>
        <v>436.32</v>
      </c>
      <c r="I10" s="226">
        <f>G10*D10</f>
        <v>2799636.4327325961</v>
      </c>
      <c r="J10" s="226">
        <f>H10*E10</f>
        <v>6506424.9624947645</v>
      </c>
    </row>
    <row r="11" spans="1:10" x14ac:dyDescent="0.25">
      <c r="A11" s="212">
        <f t="shared" si="0"/>
        <v>5</v>
      </c>
      <c r="B11" s="211" t="s">
        <v>98</v>
      </c>
      <c r="C11" s="223"/>
      <c r="D11" s="223"/>
      <c r="E11" s="223"/>
      <c r="F11" s="227"/>
      <c r="G11" s="226"/>
      <c r="H11" s="226"/>
      <c r="I11" s="228"/>
      <c r="J11" s="228"/>
    </row>
    <row r="12" spans="1:10" x14ac:dyDescent="0.25">
      <c r="A12" s="212">
        <f t="shared" si="0"/>
        <v>6</v>
      </c>
      <c r="B12" s="229" t="s">
        <v>99</v>
      </c>
      <c r="C12" s="223">
        <v>1799236030</v>
      </c>
      <c r="D12" s="223">
        <v>2001418768.871773</v>
      </c>
      <c r="E12" s="223">
        <v>2044052902.8306885</v>
      </c>
      <c r="F12" s="230">
        <v>5.7457000000000001E-2</v>
      </c>
      <c r="G12" s="231">
        <f>'Rate Design (Kro)'!H82</f>
        <v>7.1114166215229507E-2</v>
      </c>
      <c r="H12" s="231">
        <f>'Rate Design (Kro)'!I82</f>
        <v>6.8453228055838283E-2</v>
      </c>
      <c r="I12" s="226">
        <f>G12*D12</f>
        <v>142329226.99582729</v>
      </c>
      <c r="J12" s="226">
        <f>H12*E12</f>
        <v>139922019.51566738</v>
      </c>
    </row>
    <row r="13" spans="1:10" x14ac:dyDescent="0.25">
      <c r="A13" s="212">
        <f t="shared" si="0"/>
        <v>7</v>
      </c>
      <c r="B13" s="232" t="s">
        <v>74</v>
      </c>
      <c r="C13" s="233">
        <f>SUM(C12:C12)</f>
        <v>1799236030</v>
      </c>
      <c r="D13" s="233">
        <f>SUM(D12:D12)</f>
        <v>2001418768.871773</v>
      </c>
      <c r="E13" s="233">
        <f>SUM(E12:E12)</f>
        <v>2044052902.8306885</v>
      </c>
      <c r="F13" s="234"/>
      <c r="G13" s="226"/>
      <c r="H13" s="226"/>
      <c r="I13" s="235">
        <f>SUM(I12:I12)</f>
        <v>142329226.99582729</v>
      </c>
      <c r="J13" s="235">
        <f>SUM(J12:J12)</f>
        <v>139922019.51566738</v>
      </c>
    </row>
    <row r="14" spans="1:10" x14ac:dyDescent="0.25">
      <c r="A14" s="212">
        <f t="shared" si="0"/>
        <v>8</v>
      </c>
      <c r="B14" s="229" t="s">
        <v>101</v>
      </c>
      <c r="C14" s="223">
        <v>-11237911.493177326</v>
      </c>
      <c r="D14" s="236" t="s">
        <v>102</v>
      </c>
      <c r="E14" s="236"/>
      <c r="F14" s="237">
        <f>'Rate Design (Kro)'!G84</f>
        <v>8.4230686509203997E-2</v>
      </c>
      <c r="G14" s="226"/>
      <c r="H14" s="226"/>
      <c r="I14" s="226">
        <f>G14*D14</f>
        <v>0</v>
      </c>
      <c r="J14" s="226">
        <f>H14*E14</f>
        <v>0</v>
      </c>
    </row>
    <row r="15" spans="1:10" x14ac:dyDescent="0.25">
      <c r="A15" s="212">
        <f t="shared" si="0"/>
        <v>9</v>
      </c>
      <c r="B15" s="238" t="s">
        <v>103</v>
      </c>
      <c r="C15" s="223">
        <v>13270755</v>
      </c>
      <c r="D15" s="236" t="s">
        <v>102</v>
      </c>
      <c r="E15" s="236"/>
      <c r="F15" s="237">
        <f>'Rate Design (Kro)'!G85</f>
        <v>8.2366376291326301E-2</v>
      </c>
      <c r="G15" s="226"/>
      <c r="H15" s="226"/>
      <c r="I15" s="226">
        <f>G15*D15</f>
        <v>0</v>
      </c>
      <c r="J15" s="226">
        <f>H15*E15</f>
        <v>0</v>
      </c>
    </row>
    <row r="16" spans="1:10" x14ac:dyDescent="0.25">
      <c r="A16" s="212">
        <f t="shared" si="0"/>
        <v>10</v>
      </c>
      <c r="B16" s="232" t="s">
        <v>74</v>
      </c>
      <c r="C16" s="233">
        <f>SUM(C13:C15)</f>
        <v>1801268873.5068226</v>
      </c>
      <c r="D16" s="233">
        <f>SUM(D13:D15)</f>
        <v>2001418768.871773</v>
      </c>
      <c r="E16" s="233">
        <f>SUM(E13:E15)</f>
        <v>2044052902.8306885</v>
      </c>
      <c r="G16" s="226"/>
      <c r="H16" s="226"/>
      <c r="I16" s="235">
        <f>SUM(I13:I15)</f>
        <v>142329226.99582729</v>
      </c>
      <c r="J16" s="235">
        <f>SUM(J13:J15)</f>
        <v>139922019.51566738</v>
      </c>
    </row>
    <row r="17" spans="1:10" x14ac:dyDescent="0.25">
      <c r="A17" s="212">
        <f t="shared" si="0"/>
        <v>11</v>
      </c>
      <c r="B17" s="211" t="s">
        <v>104</v>
      </c>
      <c r="C17" s="223"/>
      <c r="D17" s="223"/>
      <c r="E17" s="223"/>
      <c r="F17" s="239"/>
      <c r="G17" s="226"/>
      <c r="H17" s="226"/>
      <c r="I17" s="228"/>
      <c r="J17" s="228"/>
    </row>
    <row r="18" spans="1:10" x14ac:dyDescent="0.25">
      <c r="A18" s="212">
        <f t="shared" si="0"/>
        <v>12</v>
      </c>
      <c r="B18" s="229" t="s">
        <v>105</v>
      </c>
      <c r="C18" s="223">
        <v>2145569</v>
      </c>
      <c r="D18" s="223">
        <v>2204133.5296230405</v>
      </c>
      <c r="E18" s="223">
        <v>2242797.6603778745</v>
      </c>
      <c r="F18" s="224">
        <v>12.23</v>
      </c>
      <c r="G18" s="225">
        <f>'Rate Design (Kro)'!H88</f>
        <v>16.265900000000002</v>
      </c>
      <c r="H18" s="225">
        <f>'Rate Design (Kro)'!I88</f>
        <v>21.633647000000003</v>
      </c>
      <c r="I18" s="226">
        <f>G18*D18</f>
        <v>35852215.579495415</v>
      </c>
      <c r="J18" s="226">
        <f>H18*E18</f>
        <v>48519892.877040833</v>
      </c>
    </row>
    <row r="19" spans="1:10" x14ac:dyDescent="0.25">
      <c r="A19" s="212">
        <f t="shared" si="0"/>
        <v>13</v>
      </c>
      <c r="B19" s="229" t="s">
        <v>107</v>
      </c>
      <c r="C19" s="223">
        <v>2227459</v>
      </c>
      <c r="D19" s="223">
        <v>2310653.8082797262</v>
      </c>
      <c r="E19" s="223">
        <v>2352216.0436157929</v>
      </c>
      <c r="F19" s="224">
        <v>8.15</v>
      </c>
      <c r="G19" s="225">
        <f>'Rate Design (Kro)'!H89</f>
        <v>10.839500000000001</v>
      </c>
      <c r="H19" s="225">
        <f>'Rate Design (Kro)'!I89</f>
        <v>14.416535000000001</v>
      </c>
      <c r="I19" s="226">
        <f>G19*D19</f>
        <v>25046331.954848096</v>
      </c>
      <c r="J19" s="226">
        <f>H19*E19</f>
        <v>33910804.920348607</v>
      </c>
    </row>
    <row r="20" spans="1:10" x14ac:dyDescent="0.25">
      <c r="A20" s="212">
        <f t="shared" si="0"/>
        <v>14</v>
      </c>
      <c r="B20" s="232" t="s">
        <v>74</v>
      </c>
      <c r="C20" s="233">
        <f>SUM(C18:C19)</f>
        <v>4373028</v>
      </c>
      <c r="D20" s="233">
        <f>SUM(D18:D19)</f>
        <v>4514787.3379027667</v>
      </c>
      <c r="E20" s="233">
        <f>SUM(E18:E19)</f>
        <v>4595013.7039936669</v>
      </c>
      <c r="F20" s="239"/>
      <c r="I20" s="235">
        <f>SUM(I18:I19)</f>
        <v>60898547.534343511</v>
      </c>
      <c r="J20" s="235">
        <f>SUM(J18:J19)</f>
        <v>82430697.797389448</v>
      </c>
    </row>
    <row r="21" spans="1:10" x14ac:dyDescent="0.25">
      <c r="A21" s="212">
        <f t="shared" si="0"/>
        <v>15</v>
      </c>
      <c r="C21" s="223"/>
      <c r="D21" s="223"/>
      <c r="E21" s="223"/>
      <c r="F21" s="223"/>
      <c r="I21" s="228"/>
      <c r="J21" s="228"/>
    </row>
    <row r="22" spans="1:10" x14ac:dyDescent="0.25">
      <c r="A22" s="212">
        <f t="shared" si="0"/>
        <v>16</v>
      </c>
      <c r="B22" s="211" t="s">
        <v>108</v>
      </c>
      <c r="C22" s="223">
        <v>716546266</v>
      </c>
      <c r="D22" s="223">
        <v>798755476.69555104</v>
      </c>
      <c r="E22" s="223">
        <v>814488448.04873681</v>
      </c>
      <c r="F22" s="240">
        <v>1.2999999999999999E-3</v>
      </c>
      <c r="G22" s="241">
        <f>'Rate Design (Kro)'!H92</f>
        <v>1.6899999999999999E-3</v>
      </c>
      <c r="H22" s="241">
        <f>'Rate Design (Kro)'!I92</f>
        <v>2.1969999999999997E-3</v>
      </c>
      <c r="I22" s="226">
        <f>G22*D22</f>
        <v>1349896.7556154812</v>
      </c>
      <c r="J22" s="226">
        <f>H22*E22</f>
        <v>1789431.1203630746</v>
      </c>
    </row>
    <row r="23" spans="1:10" x14ac:dyDescent="0.25">
      <c r="A23" s="212">
        <f t="shared" si="0"/>
        <v>17</v>
      </c>
      <c r="C23" s="223"/>
      <c r="D23" s="223"/>
      <c r="E23" s="223"/>
      <c r="F23" s="223"/>
      <c r="I23" s="228"/>
      <c r="J23" s="228"/>
    </row>
    <row r="24" spans="1:10" ht="16.5" thickBot="1" x14ac:dyDescent="0.3">
      <c r="A24" s="212">
        <f t="shared" si="0"/>
        <v>18</v>
      </c>
      <c r="B24" s="211" t="s">
        <v>110</v>
      </c>
      <c r="C24" s="223"/>
      <c r="D24" s="223"/>
      <c r="E24" s="223"/>
      <c r="F24" s="223"/>
      <c r="I24" s="242">
        <f>SUM(I10,I16,I20,I22)</f>
        <v>207377307.71851885</v>
      </c>
      <c r="J24" s="242">
        <f>SUM(J10,J16,J20,J22)</f>
        <v>230648573.39591467</v>
      </c>
    </row>
    <row r="25" spans="1:10" ht="16.5" thickTop="1" x14ac:dyDescent="0.25">
      <c r="B25" s="222"/>
    </row>
    <row r="26" spans="1:10" x14ac:dyDescent="0.25">
      <c r="A26" s="212">
        <v>19</v>
      </c>
      <c r="B26" s="221" t="s">
        <v>115</v>
      </c>
    </row>
    <row r="27" spans="1:10" x14ac:dyDescent="0.25">
      <c r="A27" s="212">
        <f t="shared" si="0"/>
        <v>20</v>
      </c>
      <c r="B27" s="222" t="s">
        <v>96</v>
      </c>
    </row>
    <row r="28" spans="1:10" x14ac:dyDescent="0.25">
      <c r="A28" s="212">
        <f t="shared" si="0"/>
        <v>21</v>
      </c>
    </row>
    <row r="29" spans="1:10" x14ac:dyDescent="0.25">
      <c r="A29" s="212">
        <f t="shared" si="0"/>
        <v>22</v>
      </c>
      <c r="B29" s="211" t="s">
        <v>116</v>
      </c>
      <c r="C29" s="223"/>
      <c r="F29" s="239"/>
      <c r="G29" s="226"/>
      <c r="H29" s="226"/>
      <c r="I29" s="228"/>
      <c r="J29" s="228"/>
    </row>
    <row r="30" spans="1:10" x14ac:dyDescent="0.25">
      <c r="A30" s="212">
        <f t="shared" si="0"/>
        <v>23</v>
      </c>
      <c r="B30" s="229" t="s">
        <v>105</v>
      </c>
      <c r="C30" s="223">
        <v>97882</v>
      </c>
      <c r="D30" s="223">
        <v>110140.17513922267</v>
      </c>
      <c r="E30" s="223">
        <v>112072.21513394637</v>
      </c>
      <c r="F30" s="224">
        <v>5.79</v>
      </c>
      <c r="G30" s="225">
        <f>'Rate Design (Kro)'!H105</f>
        <v>8.9462450000000011</v>
      </c>
      <c r="H30" s="225">
        <f>'Rate Design (Kro)'!I105</f>
        <v>11.898505850000001</v>
      </c>
      <c r="I30" s="226">
        <f>G30*D30</f>
        <v>985340.99113839527</v>
      </c>
      <c r="J30" s="226">
        <f>H30*E30</f>
        <v>1333491.9073937195</v>
      </c>
    </row>
    <row r="31" spans="1:10" x14ac:dyDescent="0.25">
      <c r="A31" s="212">
        <f t="shared" si="0"/>
        <v>24</v>
      </c>
      <c r="B31" s="229" t="s">
        <v>107</v>
      </c>
      <c r="C31" s="223">
        <v>97918</v>
      </c>
      <c r="D31" s="223">
        <v>111217.80136788196</v>
      </c>
      <c r="E31" s="223">
        <v>113218.30028184659</v>
      </c>
      <c r="F31" s="224">
        <v>3.86</v>
      </c>
      <c r="G31" s="225">
        <f>'Rate Design (Kro)'!H106</f>
        <v>5.9617250000000004</v>
      </c>
      <c r="H31" s="225">
        <f>'Rate Design (Kro)'!I106</f>
        <v>7.9290942500000003</v>
      </c>
      <c r="I31" s="226">
        <f>G31*D31</f>
        <v>663049.94685993611</v>
      </c>
      <c r="J31" s="226">
        <f>H31*E31</f>
        <v>897718.57375956327</v>
      </c>
    </row>
    <row r="32" spans="1:10" x14ac:dyDescent="0.25">
      <c r="A32" s="212">
        <f t="shared" si="0"/>
        <v>25</v>
      </c>
      <c r="B32" s="232" t="s">
        <v>74</v>
      </c>
      <c r="C32" s="233">
        <f>SUM(C30:C31)</f>
        <v>195800</v>
      </c>
      <c r="D32" s="233">
        <f>SUM(D30:D31)</f>
        <v>221357.97650710464</v>
      </c>
      <c r="E32" s="233">
        <f>SUM(E30:E31)</f>
        <v>225290.51541579296</v>
      </c>
      <c r="F32" s="239"/>
      <c r="G32" s="226"/>
      <c r="H32" s="226"/>
      <c r="I32" s="235">
        <f>SUM(I30:I31)</f>
        <v>1648390.9379983314</v>
      </c>
      <c r="J32" s="235">
        <f>SUM(J30:J31)</f>
        <v>2231210.4811532828</v>
      </c>
    </row>
    <row r="33" spans="1:10" x14ac:dyDescent="0.25">
      <c r="A33" s="212">
        <f t="shared" si="0"/>
        <v>26</v>
      </c>
      <c r="B33" s="232"/>
      <c r="C33" s="223"/>
      <c r="D33" s="223"/>
      <c r="E33" s="223"/>
      <c r="F33" s="239"/>
      <c r="G33" s="226"/>
      <c r="H33" s="226"/>
      <c r="I33" s="228"/>
      <c r="J33" s="228"/>
    </row>
    <row r="34" spans="1:10" x14ac:dyDescent="0.25">
      <c r="A34" s="212">
        <f t="shared" si="0"/>
        <v>27</v>
      </c>
      <c r="B34" s="211" t="s">
        <v>117</v>
      </c>
      <c r="C34" s="223"/>
      <c r="D34" s="223"/>
      <c r="E34" s="223"/>
      <c r="F34" s="239"/>
      <c r="G34" s="226"/>
      <c r="H34" s="226"/>
      <c r="I34" s="228"/>
      <c r="J34" s="228"/>
    </row>
    <row r="35" spans="1:10" x14ac:dyDescent="0.25">
      <c r="A35" s="212">
        <f t="shared" si="0"/>
        <v>28</v>
      </c>
      <c r="B35" s="229" t="s">
        <v>105</v>
      </c>
      <c r="C35" s="223">
        <v>73992</v>
      </c>
      <c r="D35" s="223">
        <v>83258.329814484416</v>
      </c>
      <c r="E35" s="223">
        <v>84718.817986871538</v>
      </c>
      <c r="F35" s="224">
        <v>6.44</v>
      </c>
      <c r="G35" s="225">
        <f>'Rate Design (Kro)'!H110</f>
        <v>7.3196550000000009</v>
      </c>
      <c r="H35" s="225">
        <f>'Rate Design (Kro)'!I110</f>
        <v>9.7351411500000022</v>
      </c>
      <c r="I35" s="226">
        <f>G35*D35</f>
        <v>609422.25011824002</v>
      </c>
      <c r="J35" s="226">
        <f>H35*E35</f>
        <v>824749.65116335347</v>
      </c>
    </row>
    <row r="36" spans="1:10" x14ac:dyDescent="0.25">
      <c r="A36" s="212">
        <f t="shared" si="0"/>
        <v>29</v>
      </c>
      <c r="B36" s="229" t="s">
        <v>107</v>
      </c>
      <c r="C36" s="223">
        <v>84471</v>
      </c>
      <c r="D36" s="223">
        <v>95944.350368127998</v>
      </c>
      <c r="E36" s="223">
        <v>97670.122379009597</v>
      </c>
      <c r="F36" s="224">
        <v>4.29</v>
      </c>
      <c r="G36" s="225">
        <f>'Rate Design (Kro)'!H111</f>
        <v>4.8777750000000006</v>
      </c>
      <c r="H36" s="225">
        <f>'Rate Design (Kro)'!I111</f>
        <v>6.4874407500000011</v>
      </c>
      <c r="I36" s="226">
        <f>G36*D36</f>
        <v>467994.9536168956</v>
      </c>
      <c r="J36" s="226">
        <f>H36*E36</f>
        <v>633629.13197907386</v>
      </c>
    </row>
    <row r="37" spans="1:10" x14ac:dyDescent="0.25">
      <c r="A37" s="212">
        <f t="shared" si="0"/>
        <v>30</v>
      </c>
      <c r="B37" s="232" t="s">
        <v>74</v>
      </c>
      <c r="C37" s="233">
        <f>SUM(C35:C36)</f>
        <v>158463</v>
      </c>
      <c r="D37" s="233">
        <f>SUM(D35:D36)</f>
        <v>179202.68018261241</v>
      </c>
      <c r="E37" s="233">
        <f>SUM(E35:E36)</f>
        <v>182388.94036588114</v>
      </c>
      <c r="F37" s="239"/>
      <c r="G37" s="226"/>
      <c r="H37" s="226"/>
      <c r="I37" s="235">
        <f>SUM(I35:I36)</f>
        <v>1077417.2037351355</v>
      </c>
      <c r="J37" s="235">
        <f>SUM(J35:J36)</f>
        <v>1458378.7831424274</v>
      </c>
    </row>
    <row r="38" spans="1:10" x14ac:dyDescent="0.25">
      <c r="A38" s="212">
        <f t="shared" si="0"/>
        <v>31</v>
      </c>
      <c r="B38" s="232"/>
      <c r="C38" s="223"/>
      <c r="D38" s="223"/>
      <c r="E38" s="223"/>
      <c r="F38" s="239"/>
      <c r="G38" s="226"/>
      <c r="H38" s="226"/>
      <c r="I38" s="228"/>
      <c r="J38" s="228"/>
    </row>
    <row r="39" spans="1:10" ht="16.5" thickBot="1" x14ac:dyDescent="0.3">
      <c r="A39" s="212">
        <f t="shared" si="0"/>
        <v>32</v>
      </c>
      <c r="B39" s="211" t="s">
        <v>110</v>
      </c>
      <c r="C39" s="223"/>
      <c r="D39" s="223"/>
      <c r="E39" s="223"/>
      <c r="F39" s="223"/>
      <c r="I39" s="242">
        <f>SUM(I32,I37)</f>
        <v>2725808.1417334666</v>
      </c>
      <c r="J39" s="242">
        <f>SUM(J32,J37)</f>
        <v>3689589.2642957103</v>
      </c>
    </row>
    <row r="40" spans="1:10" ht="16.5" thickTop="1" x14ac:dyDescent="0.25">
      <c r="B40" s="232"/>
      <c r="C40" s="223"/>
      <c r="D40" s="223"/>
      <c r="E40" s="223"/>
      <c r="F40" s="239"/>
      <c r="G40" s="226"/>
      <c r="H40" s="226"/>
      <c r="I40" s="228"/>
      <c r="J40" s="228"/>
    </row>
    <row r="41" spans="1:10" x14ac:dyDescent="0.25">
      <c r="A41" s="212">
        <v>33</v>
      </c>
      <c r="B41" s="221" t="s">
        <v>124</v>
      </c>
    </row>
    <row r="42" spans="1:10" x14ac:dyDescent="0.25">
      <c r="A42" s="212">
        <f t="shared" si="0"/>
        <v>34</v>
      </c>
      <c r="B42" s="222" t="s">
        <v>96</v>
      </c>
    </row>
    <row r="43" spans="1:10" x14ac:dyDescent="0.25">
      <c r="A43" s="212">
        <f t="shared" si="0"/>
        <v>35</v>
      </c>
      <c r="B43" s="211" t="s">
        <v>35</v>
      </c>
      <c r="C43" s="223">
        <v>23</v>
      </c>
      <c r="D43" s="223">
        <v>28.326089865918249</v>
      </c>
      <c r="E43" s="223">
        <v>32.915270004111242</v>
      </c>
      <c r="F43" s="224">
        <v>109.08</v>
      </c>
      <c r="G43" s="225">
        <f>'Rate Design (Kro)'!H127</f>
        <v>218.16</v>
      </c>
      <c r="H43" s="225">
        <f>'Rate Design (Kro)'!I127</f>
        <v>436.32</v>
      </c>
      <c r="I43" s="226">
        <f>G43*D43</f>
        <v>6179.6197651487255</v>
      </c>
      <c r="J43" s="226">
        <f>H43*E43</f>
        <v>14361.590608193817</v>
      </c>
    </row>
    <row r="44" spans="1:10" x14ac:dyDescent="0.25">
      <c r="A44" s="212">
        <f t="shared" si="0"/>
        <v>36</v>
      </c>
      <c r="B44" s="238" t="s">
        <v>125</v>
      </c>
      <c r="C44" s="243">
        <f>C43</f>
        <v>23</v>
      </c>
      <c r="D44" s="243">
        <f>D43</f>
        <v>28.326089865918249</v>
      </c>
      <c r="E44" s="243">
        <f>E43</f>
        <v>32.915270004111242</v>
      </c>
      <c r="F44" s="224">
        <v>249.03000000000003</v>
      </c>
      <c r="G44" s="225">
        <f>'Rate Design (Kro)'!H128</f>
        <v>498.06000000000006</v>
      </c>
      <c r="H44" s="225">
        <f>'Rate Design (Kro)'!I128</f>
        <v>996.12000000000012</v>
      </c>
      <c r="I44" s="226">
        <f>G44*D44</f>
        <v>14108.092318619245</v>
      </c>
      <c r="J44" s="226">
        <f>H44*E44</f>
        <v>32787.558756495295</v>
      </c>
    </row>
    <row r="45" spans="1:10" x14ac:dyDescent="0.25">
      <c r="A45" s="212">
        <f t="shared" si="0"/>
        <v>37</v>
      </c>
      <c r="B45" s="232" t="s">
        <v>74</v>
      </c>
      <c r="C45" s="223"/>
      <c r="D45" s="223"/>
      <c r="E45" s="223"/>
      <c r="F45" s="244">
        <f>SUM(F43:F44)</f>
        <v>358.11</v>
      </c>
      <c r="G45" s="244">
        <f>SUM(G43:G44)</f>
        <v>716.22</v>
      </c>
      <c r="H45" s="244">
        <f>SUM(H43:H44)</f>
        <v>1432.44</v>
      </c>
      <c r="I45" s="235">
        <f>SUM(I43:I44)</f>
        <v>20287.712083767969</v>
      </c>
      <c r="J45" s="235">
        <f>SUM(J43:J44)</f>
        <v>47149.14936468911</v>
      </c>
    </row>
    <row r="46" spans="1:10" x14ac:dyDescent="0.25">
      <c r="A46" s="212">
        <f t="shared" si="0"/>
        <v>38</v>
      </c>
      <c r="B46" s="211" t="s">
        <v>98</v>
      </c>
      <c r="C46" s="223"/>
      <c r="D46" s="223"/>
      <c r="E46" s="223"/>
      <c r="F46" s="227"/>
      <c r="I46" s="228"/>
      <c r="J46" s="228"/>
    </row>
    <row r="47" spans="1:10" x14ac:dyDescent="0.25">
      <c r="A47" s="212">
        <f t="shared" si="0"/>
        <v>39</v>
      </c>
      <c r="B47" s="229" t="s">
        <v>99</v>
      </c>
      <c r="C47" s="223">
        <v>11143500</v>
      </c>
      <c r="D47" s="223">
        <v>12472961.92827482</v>
      </c>
      <c r="E47" s="223">
        <v>12738660.410763964</v>
      </c>
      <c r="F47" s="230">
        <v>5.6055000000000001E-2</v>
      </c>
      <c r="G47" s="231">
        <f>'Rate Design (Kro)'!H131</f>
        <v>6.9712166215229507E-2</v>
      </c>
      <c r="H47" s="231">
        <f>'Rate Design (Kro)'!I131</f>
        <v>6.7051228055838283E-2</v>
      </c>
      <c r="I47" s="226">
        <f>G47*D47</f>
        <v>869517.19514012372</v>
      </c>
      <c r="J47" s="226">
        <f>H47*E47</f>
        <v>854142.82432801311</v>
      </c>
    </row>
    <row r="48" spans="1:10" x14ac:dyDescent="0.25">
      <c r="A48" s="212">
        <f t="shared" si="0"/>
        <v>40</v>
      </c>
      <c r="B48" s="232" t="s">
        <v>74</v>
      </c>
      <c r="C48" s="233">
        <f>SUM(C47)</f>
        <v>11143500</v>
      </c>
      <c r="D48" s="233">
        <f>SUM(D47)</f>
        <v>12472961.92827482</v>
      </c>
      <c r="E48" s="233">
        <f>SUM(E47)</f>
        <v>12738660.410763964</v>
      </c>
      <c r="F48" s="245">
        <f>SUM(F47:F47)</f>
        <v>5.6055000000000001E-2</v>
      </c>
      <c r="G48" s="245">
        <f>SUM(G47:G47)</f>
        <v>6.9712166215229507E-2</v>
      </c>
      <c r="H48" s="245">
        <f>SUM(H47:H47)</f>
        <v>6.7051228055838283E-2</v>
      </c>
      <c r="I48" s="235">
        <f>SUM(I47:I47)</f>
        <v>869517.19514012372</v>
      </c>
      <c r="J48" s="235">
        <f>SUM(J47:J47)</f>
        <v>854142.82432801311</v>
      </c>
    </row>
    <row r="49" spans="1:10" x14ac:dyDescent="0.25">
      <c r="A49" s="212">
        <f t="shared" si="0"/>
        <v>41</v>
      </c>
      <c r="B49" s="229" t="s">
        <v>101</v>
      </c>
      <c r="C49" s="223">
        <v>0</v>
      </c>
      <c r="D49" s="223">
        <v>0</v>
      </c>
      <c r="E49" s="223">
        <v>0</v>
      </c>
      <c r="F49" s="237"/>
      <c r="I49" s="226">
        <f>G49*D49</f>
        <v>0</v>
      </c>
      <c r="J49" s="226">
        <f>H49*E49</f>
        <v>0</v>
      </c>
    </row>
    <row r="50" spans="1:10" x14ac:dyDescent="0.25">
      <c r="A50" s="212">
        <f t="shared" si="0"/>
        <v>42</v>
      </c>
      <c r="B50" s="238" t="s">
        <v>103</v>
      </c>
      <c r="C50" s="223">
        <v>0</v>
      </c>
      <c r="D50" s="223">
        <v>0</v>
      </c>
      <c r="E50" s="223">
        <v>0</v>
      </c>
      <c r="F50" s="237"/>
      <c r="I50" s="226">
        <f>G50*D50</f>
        <v>0</v>
      </c>
      <c r="J50" s="226">
        <f>H50*E50</f>
        <v>0</v>
      </c>
    </row>
    <row r="51" spans="1:10" x14ac:dyDescent="0.25">
      <c r="A51" s="212">
        <f t="shared" si="0"/>
        <v>43</v>
      </c>
      <c r="B51" s="232" t="s">
        <v>74</v>
      </c>
      <c r="C51" s="233">
        <f>SUM(C48:C50)</f>
        <v>11143500</v>
      </c>
      <c r="D51" s="233">
        <f>SUM(D48:D50)</f>
        <v>12472961.92827482</v>
      </c>
      <c r="E51" s="233">
        <f>SUM(E48:E50)</f>
        <v>12738660.410763964</v>
      </c>
      <c r="I51" s="235">
        <f>SUM(I48:I50)</f>
        <v>869517.19514012372</v>
      </c>
      <c r="J51" s="235">
        <f>SUM(J48:J50)</f>
        <v>854142.82432801311</v>
      </c>
    </row>
    <row r="52" spans="1:10" x14ac:dyDescent="0.25">
      <c r="A52" s="212">
        <f t="shared" si="0"/>
        <v>44</v>
      </c>
      <c r="B52" s="211" t="s">
        <v>104</v>
      </c>
      <c r="C52" s="223"/>
      <c r="D52" s="223"/>
      <c r="E52" s="223"/>
      <c r="F52" s="239"/>
      <c r="I52" s="228"/>
      <c r="J52" s="228"/>
    </row>
    <row r="53" spans="1:10" x14ac:dyDescent="0.25">
      <c r="A53" s="212">
        <f t="shared" si="0"/>
        <v>45</v>
      </c>
      <c r="B53" s="229" t="s">
        <v>105</v>
      </c>
      <c r="C53" s="223">
        <v>14873</v>
      </c>
      <c r="D53" s="223">
        <v>16735.608435112266</v>
      </c>
      <c r="E53" s="223">
        <v>17029.178558746087</v>
      </c>
      <c r="F53" s="224">
        <v>11.98</v>
      </c>
      <c r="G53" s="225">
        <f>'Rate Design (Kro)'!H137</f>
        <v>15.933400000000001</v>
      </c>
      <c r="H53" s="225">
        <f>'Rate Design (Kro)'!I137</f>
        <v>21.191422000000003</v>
      </c>
      <c r="I53" s="226">
        <f>G53*D53</f>
        <v>266655.14344001777</v>
      </c>
      <c r="J53" s="226">
        <f>H53*E53</f>
        <v>360872.50915174017</v>
      </c>
    </row>
    <row r="54" spans="1:10" x14ac:dyDescent="0.25">
      <c r="A54" s="212">
        <f t="shared" si="0"/>
        <v>46</v>
      </c>
      <c r="B54" s="229" t="s">
        <v>107</v>
      </c>
      <c r="C54" s="223">
        <v>10732</v>
      </c>
      <c r="D54" s="223">
        <v>12189.683656530047</v>
      </c>
      <c r="E54" s="223">
        <v>12408.942162061903</v>
      </c>
      <c r="F54" s="224">
        <v>7.9</v>
      </c>
      <c r="G54" s="225">
        <f>'Rate Design (Kro)'!H138</f>
        <v>10.507000000000001</v>
      </c>
      <c r="H54" s="225">
        <f>'Rate Design (Kro)'!I138</f>
        <v>13.974310000000003</v>
      </c>
      <c r="I54" s="226">
        <f>G54*D54</f>
        <v>128077.00617916122</v>
      </c>
      <c r="J54" s="226">
        <f>H54*E54</f>
        <v>173406.40454472331</v>
      </c>
    </row>
    <row r="55" spans="1:10" x14ac:dyDescent="0.25">
      <c r="A55" s="212">
        <f t="shared" si="0"/>
        <v>47</v>
      </c>
      <c r="B55" s="232" t="s">
        <v>74</v>
      </c>
      <c r="C55" s="233">
        <f>SUM(C53:C54)</f>
        <v>25605</v>
      </c>
      <c r="D55" s="233">
        <f>SUM(D53:D54)</f>
        <v>28925.292091642314</v>
      </c>
      <c r="E55" s="233">
        <f>SUM(E53:E54)</f>
        <v>29438.12072080799</v>
      </c>
      <c r="F55" s="225"/>
      <c r="G55" s="225"/>
      <c r="H55" s="225"/>
      <c r="I55" s="235">
        <f>SUM(I53:I54)</f>
        <v>394732.14961917896</v>
      </c>
      <c r="J55" s="235">
        <f>SUM(J53:J54)</f>
        <v>534278.91369646345</v>
      </c>
    </row>
    <row r="56" spans="1:10" x14ac:dyDescent="0.25">
      <c r="A56" s="212">
        <f t="shared" si="0"/>
        <v>48</v>
      </c>
      <c r="B56" s="232"/>
      <c r="C56" s="223"/>
      <c r="D56" s="223"/>
      <c r="E56" s="223"/>
      <c r="F56" s="225"/>
      <c r="G56" s="225"/>
      <c r="H56" s="225"/>
      <c r="I56" s="228"/>
      <c r="J56" s="228"/>
    </row>
    <row r="57" spans="1:10" x14ac:dyDescent="0.25">
      <c r="A57" s="212">
        <f t="shared" si="0"/>
        <v>49</v>
      </c>
      <c r="C57" s="223"/>
      <c r="D57" s="223"/>
      <c r="E57" s="223"/>
      <c r="F57" s="225"/>
      <c r="G57" s="225"/>
      <c r="H57" s="225"/>
      <c r="I57" s="228"/>
      <c r="J57" s="228"/>
    </row>
    <row r="58" spans="1:10" x14ac:dyDescent="0.25">
      <c r="A58" s="212">
        <f t="shared" si="0"/>
        <v>50</v>
      </c>
      <c r="B58" s="211" t="s">
        <v>108</v>
      </c>
      <c r="C58" s="246">
        <v>3222826</v>
      </c>
      <c r="D58" s="246">
        <v>3608811.6183828413</v>
      </c>
      <c r="E58" s="246">
        <v>3679893.8600294953</v>
      </c>
      <c r="F58" s="240">
        <v>1.2699999999999999E-3</v>
      </c>
      <c r="G58" s="225">
        <f>'Rate Design (Kro)'!H142</f>
        <v>1.6509999999999999E-3</v>
      </c>
      <c r="H58" s="225">
        <f>'Rate Design (Kro)'!I142</f>
        <v>2.1462999999999999E-3</v>
      </c>
      <c r="I58" s="226">
        <f>G58*D58</f>
        <v>5958.147981950071</v>
      </c>
      <c r="J58" s="226">
        <f>H58*E58</f>
        <v>7898.1561917813051</v>
      </c>
    </row>
    <row r="59" spans="1:10" x14ac:dyDescent="0.25">
      <c r="A59" s="212">
        <f t="shared" si="0"/>
        <v>51</v>
      </c>
      <c r="B59" s="232" t="s">
        <v>74</v>
      </c>
      <c r="F59" s="247">
        <f>SUM(F58:F58)</f>
        <v>1.2699999999999999E-3</v>
      </c>
      <c r="G59" s="247">
        <f>SUM(G58:G58)</f>
        <v>1.6509999999999999E-3</v>
      </c>
      <c r="H59" s="247">
        <f>SUM(H58:H58)</f>
        <v>2.1462999999999999E-3</v>
      </c>
      <c r="I59" s="235">
        <f>SUM(I56:I58)</f>
        <v>5958.147981950071</v>
      </c>
      <c r="J59" s="235">
        <f>SUM(J56:J58)</f>
        <v>7898.1561917813051</v>
      </c>
    </row>
    <row r="60" spans="1:10" x14ac:dyDescent="0.25">
      <c r="A60" s="212">
        <f t="shared" si="0"/>
        <v>52</v>
      </c>
      <c r="I60" s="228"/>
      <c r="J60" s="228"/>
    </row>
    <row r="61" spans="1:10" ht="16.5" thickBot="1" x14ac:dyDescent="0.3">
      <c r="A61" s="212">
        <f t="shared" si="0"/>
        <v>53</v>
      </c>
      <c r="B61" s="211" t="s">
        <v>110</v>
      </c>
      <c r="I61" s="248">
        <f>SUM(I59,I55,I51,I45)</f>
        <v>1290495.2048250206</v>
      </c>
      <c r="J61" s="248">
        <f>SUM(J59,J55,J51,J45)</f>
        <v>1443469.043580947</v>
      </c>
    </row>
    <row r="62" spans="1:10" ht="16.5" thickTop="1" x14ac:dyDescent="0.25"/>
  </sheetData>
  <mergeCells count="5">
    <mergeCell ref="A1:J1"/>
    <mergeCell ref="A2:J2"/>
    <mergeCell ref="C4:E4"/>
    <mergeCell ref="F4:H4"/>
    <mergeCell ref="I4:J4"/>
  </mergeCells>
  <printOptions horizontalCentered="1"/>
  <pageMargins left="0.7" right="0.7" top="1.2266666666666666" bottom="0.75" header="0.3" footer="0.3"/>
  <pageSetup scale="60" fitToHeight="0" orientation="landscape" r:id="rId1"/>
  <headerFooter scaleWithDoc="0" alignWithMargins="0">
    <oddHeader>&amp;R&amp;"Times New Roman,Bold"&amp;12Kroger
&amp;A
Case No. 240004-05 &amp; 240004-06
&amp;P of &amp;N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BA0C7-9DF8-4F79-8C8C-3F2EE772CB51}">
  <sheetPr>
    <pageSetUpPr fitToPage="1"/>
  </sheetPr>
  <dimension ref="A1:J33"/>
  <sheetViews>
    <sheetView zoomScaleNormal="100" zoomScaleSheetLayoutView="100" workbookViewId="0">
      <pane ySplit="6" topLeftCell="A7" activePane="bottomLeft" state="frozen"/>
      <selection activeCell="D24" sqref="D24"/>
      <selection pane="bottomLeft" activeCell="F7" sqref="F7"/>
    </sheetView>
  </sheetViews>
  <sheetFormatPr defaultColWidth="9.42578125" defaultRowHeight="15.75" x14ac:dyDescent="0.25"/>
  <cols>
    <col min="1" max="1" width="5.28515625" style="249" customWidth="1"/>
    <col min="2" max="2" width="15" style="249" bestFit="1" customWidth="1"/>
    <col min="3" max="3" width="14.42578125" style="249" bestFit="1" customWidth="1"/>
    <col min="4" max="4" width="9.140625" style="249" bestFit="1" customWidth="1"/>
    <col min="5" max="9" width="15.7109375" style="249" customWidth="1"/>
    <col min="10" max="10" width="7.140625" style="249" customWidth="1"/>
    <col min="11" max="16384" width="9.42578125" style="249"/>
  </cols>
  <sheetData>
    <row r="1" spans="1:10" ht="22.5" x14ac:dyDescent="0.3">
      <c r="A1" s="304" t="s">
        <v>228</v>
      </c>
      <c r="B1" s="304"/>
      <c r="C1" s="304"/>
      <c r="D1" s="304"/>
      <c r="E1" s="304"/>
      <c r="F1" s="304"/>
      <c r="G1" s="304"/>
      <c r="H1" s="304"/>
      <c r="I1" s="304"/>
      <c r="J1" s="260"/>
    </row>
    <row r="2" spans="1:10" ht="22.5" customHeight="1" x14ac:dyDescent="0.3">
      <c r="A2" s="304" t="s">
        <v>227</v>
      </c>
      <c r="B2" s="304"/>
      <c r="C2" s="304"/>
      <c r="D2" s="304"/>
      <c r="E2" s="304"/>
      <c r="F2" s="304"/>
      <c r="G2" s="304"/>
      <c r="H2" s="304"/>
      <c r="I2" s="304"/>
      <c r="J2" s="260"/>
    </row>
    <row r="3" spans="1:10" x14ac:dyDescent="0.25">
      <c r="A3" s="260"/>
      <c r="B3" s="260"/>
      <c r="C3" s="260"/>
      <c r="D3" s="260"/>
      <c r="E3" s="260"/>
      <c r="F3" s="260"/>
      <c r="G3" s="260"/>
      <c r="H3" s="260"/>
      <c r="I3" s="260"/>
      <c r="J3" s="260"/>
    </row>
    <row r="4" spans="1:10" x14ac:dyDescent="0.25">
      <c r="A4" s="251"/>
      <c r="B4" s="252"/>
      <c r="C4" s="252"/>
      <c r="D4" s="251"/>
      <c r="E4" s="300" t="s">
        <v>7</v>
      </c>
      <c r="F4" s="301"/>
      <c r="G4" s="302"/>
      <c r="H4" s="303" t="s">
        <v>8</v>
      </c>
      <c r="I4" s="302"/>
      <c r="J4" s="253"/>
    </row>
    <row r="5" spans="1:10" ht="31.5" x14ac:dyDescent="0.25">
      <c r="A5" s="254" t="s">
        <v>9</v>
      </c>
      <c r="B5" s="255" t="s">
        <v>10</v>
      </c>
      <c r="C5" s="255" t="s">
        <v>11</v>
      </c>
      <c r="D5" s="255" t="s">
        <v>12</v>
      </c>
      <c r="E5" s="256" t="s">
        <v>229</v>
      </c>
      <c r="F5" s="256" t="s">
        <v>230</v>
      </c>
      <c r="G5" s="256" t="s">
        <v>231</v>
      </c>
      <c r="H5" s="256" t="s">
        <v>16</v>
      </c>
      <c r="I5" s="256" t="s">
        <v>17</v>
      </c>
      <c r="J5" s="253"/>
    </row>
    <row r="6" spans="1:10" x14ac:dyDescent="0.25">
      <c r="B6" s="250"/>
      <c r="C6" s="250"/>
      <c r="D6" s="250"/>
      <c r="E6" s="250"/>
      <c r="F6" s="250"/>
      <c r="G6" s="250"/>
      <c r="H6" s="250"/>
      <c r="I6" s="250"/>
      <c r="J6" s="250"/>
    </row>
    <row r="7" spans="1:10" x14ac:dyDescent="0.25">
      <c r="A7" s="250">
        <v>1</v>
      </c>
      <c r="B7" s="250">
        <v>350</v>
      </c>
      <c r="C7" s="250">
        <v>300</v>
      </c>
      <c r="D7" s="261">
        <f>ROUND((B$7*C7),0)</f>
        <v>105000</v>
      </c>
      <c r="E7" s="262">
        <f>+IF(ISBLANK('Sch 26 Bill Impact (Kro)'!F10),"",'Sch 26 Bill Impact (Kro)'!F10)</f>
        <v>12229.253450000002</v>
      </c>
      <c r="F7" s="262">
        <f>+IF(ISBLANK('Sch 26 Bill Impact (Kro)'!G10),"",'Sch 26 Bill Impact (Kro)'!G10)</f>
        <v>13959.681516583627</v>
      </c>
      <c r="G7" s="262">
        <f>+IF(ISBLANK('Sch 26 Bill Impact (Kro)'!H10),"",'Sch 26 Bill Impact (Kro)'!H10)</f>
        <v>15644.788070422666</v>
      </c>
      <c r="H7" s="263">
        <f t="shared" ref="H7:I9" si="0">ROUND((+F7-E7)/E7,3)</f>
        <v>0.14099999999999999</v>
      </c>
      <c r="I7" s="263">
        <f t="shared" si="0"/>
        <v>0.121</v>
      </c>
      <c r="J7" s="257"/>
    </row>
    <row r="8" spans="1:10" x14ac:dyDescent="0.25">
      <c r="A8" s="250">
        <f t="shared" ref="A8:A33" si="1">A7+1</f>
        <v>2</v>
      </c>
      <c r="B8" s="250">
        <f>+B7</f>
        <v>350</v>
      </c>
      <c r="C8" s="250">
        <v>500</v>
      </c>
      <c r="D8" s="261">
        <f>ROUND((B$7*C8),0)</f>
        <v>175000</v>
      </c>
      <c r="E8" s="262">
        <f>+IF(ISBLANK('Sch 26 Bill Impact (Kro)'!F11),"",'Sch 26 Bill Impact (Kro)'!F11)</f>
        <v>17939.993450000002</v>
      </c>
      <c r="F8" s="262">
        <f>+IF(ISBLANK('Sch 26 Bill Impact (Kro)'!G11),"",'Sch 26 Bill Impact (Kro)'!G11)</f>
        <v>19872.423490532463</v>
      </c>
      <c r="G8" s="262">
        <f>+IF(ISBLANK('Sch 26 Bill Impact (Kro)'!H11),"",'Sch 26 Bill Impact (Kro)'!H11)</f>
        <v>21384.904001246447</v>
      </c>
      <c r="H8" s="263">
        <f t="shared" si="0"/>
        <v>0.108</v>
      </c>
      <c r="I8" s="263">
        <f t="shared" si="0"/>
        <v>7.5999999999999998E-2</v>
      </c>
      <c r="J8" s="257"/>
    </row>
    <row r="9" spans="1:10" x14ac:dyDescent="0.25">
      <c r="A9" s="250">
        <f t="shared" si="1"/>
        <v>3</v>
      </c>
      <c r="B9" s="250">
        <f>+B8</f>
        <v>350</v>
      </c>
      <c r="C9" s="250">
        <v>700</v>
      </c>
      <c r="D9" s="261">
        <f>ROUND((B$7*C9),0)</f>
        <v>245000</v>
      </c>
      <c r="E9" s="262">
        <f>+IF(ISBLANK('Sch 26 Bill Impact (Kro)'!F12),"",'Sch 26 Bill Impact (Kro)'!F12)</f>
        <v>23650.733450000003</v>
      </c>
      <c r="F9" s="262">
        <f>+IF(ISBLANK('Sch 26 Bill Impact (Kro)'!G12),"",'Sch 26 Bill Impact (Kro)'!G12)</f>
        <v>25785.165464481295</v>
      </c>
      <c r="G9" s="262">
        <f>+IF(ISBLANK('Sch 26 Bill Impact (Kro)'!H12),"",'Sch 26 Bill Impact (Kro)'!H12)</f>
        <v>27125.019932070227</v>
      </c>
      <c r="H9" s="263">
        <f t="shared" si="0"/>
        <v>0.09</v>
      </c>
      <c r="I9" s="263">
        <f t="shared" si="0"/>
        <v>5.1999999999999998E-2</v>
      </c>
      <c r="J9" s="257"/>
    </row>
    <row r="10" spans="1:10" x14ac:dyDescent="0.25">
      <c r="A10" s="250">
        <f t="shared" si="1"/>
        <v>4</v>
      </c>
      <c r="B10" s="250"/>
      <c r="C10" s="250"/>
      <c r="D10" s="250"/>
      <c r="E10" s="262" t="str">
        <f>+IF(ISBLANK('Sch 26 Bill Impact (Kro)'!F13),"",'Sch 26 Bill Impact (Kro)'!F13)</f>
        <v/>
      </c>
      <c r="F10" s="262" t="str">
        <f>+IF(ISBLANK('Sch 26 Bill Impact (Kro)'!G13),"",'Sch 26 Bill Impact (Kro)'!G13)</f>
        <v/>
      </c>
      <c r="G10" s="262" t="str">
        <f>+IF(ISBLANK('Sch 26 Bill Impact (Kro)'!H13),"",'Sch 26 Bill Impact (Kro)'!H13)</f>
        <v/>
      </c>
      <c r="H10" s="250"/>
      <c r="I10" s="250"/>
      <c r="J10" s="258"/>
    </row>
    <row r="11" spans="1:10" x14ac:dyDescent="0.25">
      <c r="A11" s="250">
        <f t="shared" si="1"/>
        <v>5</v>
      </c>
      <c r="B11" s="250">
        <f>+B9+50</f>
        <v>400</v>
      </c>
      <c r="C11" s="250">
        <v>300</v>
      </c>
      <c r="D11" s="261">
        <f>ROUND((B$11*C11),0)</f>
        <v>120000</v>
      </c>
      <c r="E11" s="262">
        <f>+IF(ISBLANK('Sch 26 Bill Impact (Kro)'!F14),"",'Sch 26 Bill Impact (Kro)'!F14)</f>
        <v>13960.706800000004</v>
      </c>
      <c r="F11" s="262">
        <f>+IF(ISBLANK('Sch 26 Bill Impact (Kro)'!G14),"",'Sch 26 Bill Impact (Kro)'!G14)</f>
        <v>15922.756018952718</v>
      </c>
      <c r="G11" s="262">
        <f>+IF(ISBLANK('Sch 26 Bill Impact (Kro)'!H14),"",'Sch 26 Bill Impact (Kro)'!H14)</f>
        <v>17817.426366197331</v>
      </c>
      <c r="H11" s="263">
        <f t="shared" ref="H11:I13" si="2">ROUND((+F11-E11)/E11,3)</f>
        <v>0.14099999999999999</v>
      </c>
      <c r="I11" s="263">
        <f t="shared" si="2"/>
        <v>0.11899999999999999</v>
      </c>
      <c r="J11" s="257"/>
    </row>
    <row r="12" spans="1:10" x14ac:dyDescent="0.25">
      <c r="A12" s="250">
        <f t="shared" si="1"/>
        <v>6</v>
      </c>
      <c r="B12" s="250">
        <f>+B11</f>
        <v>400</v>
      </c>
      <c r="C12" s="250">
        <v>500</v>
      </c>
      <c r="D12" s="261">
        <f>ROUND((B$11*C12),0)</f>
        <v>200000</v>
      </c>
      <c r="E12" s="262">
        <f>+IF(ISBLANK('Sch 26 Bill Impact (Kro)'!F15),"",'Sch 26 Bill Impact (Kro)'!F15)</f>
        <v>20487.266800000005</v>
      </c>
      <c r="F12" s="262">
        <f>+IF(ISBLANK('Sch 26 Bill Impact (Kro)'!G15),"",'Sch 26 Bill Impact (Kro)'!G15)</f>
        <v>22680.175417751383</v>
      </c>
      <c r="G12" s="262">
        <f>+IF(ISBLANK('Sch 26 Bill Impact (Kro)'!H15),"",'Sch 26 Bill Impact (Kro)'!H15)</f>
        <v>24377.558858567369</v>
      </c>
      <c r="H12" s="263">
        <f t="shared" si="2"/>
        <v>0.107</v>
      </c>
      <c r="I12" s="263">
        <f t="shared" si="2"/>
        <v>7.4999999999999997E-2</v>
      </c>
      <c r="J12" s="257"/>
    </row>
    <row r="13" spans="1:10" x14ac:dyDescent="0.25">
      <c r="A13" s="250">
        <f t="shared" si="1"/>
        <v>7</v>
      </c>
      <c r="B13" s="250">
        <f>+B12</f>
        <v>400</v>
      </c>
      <c r="C13" s="250">
        <v>700</v>
      </c>
      <c r="D13" s="261">
        <f>ROUND((B$11*C13),0)</f>
        <v>280000</v>
      </c>
      <c r="E13" s="262">
        <f>+IF(ISBLANK('Sch 26 Bill Impact (Kro)'!F16),"",'Sch 26 Bill Impact (Kro)'!F16)</f>
        <v>27013.826800000003</v>
      </c>
      <c r="F13" s="262">
        <f>+IF(ISBLANK('Sch 26 Bill Impact (Kro)'!G16),"",'Sch 26 Bill Impact (Kro)'!G16)</f>
        <v>29437.594816550052</v>
      </c>
      <c r="G13" s="262">
        <f>+IF(ISBLANK('Sch 26 Bill Impact (Kro)'!H16),"",'Sch 26 Bill Impact (Kro)'!H16)</f>
        <v>30937.691350937403</v>
      </c>
      <c r="H13" s="263">
        <f t="shared" si="2"/>
        <v>0.09</v>
      </c>
      <c r="I13" s="263">
        <f t="shared" si="2"/>
        <v>5.0999999999999997E-2</v>
      </c>
      <c r="J13" s="257"/>
    </row>
    <row r="14" spans="1:10" x14ac:dyDescent="0.25">
      <c r="A14" s="250">
        <f t="shared" si="1"/>
        <v>8</v>
      </c>
      <c r="B14" s="250"/>
      <c r="C14" s="250"/>
      <c r="D14" s="250"/>
      <c r="E14" s="262" t="str">
        <f>+IF(ISBLANK('Sch 26 Bill Impact (Kro)'!F17),"",'Sch 26 Bill Impact (Kro)'!F17)</f>
        <v/>
      </c>
      <c r="F14" s="262" t="str">
        <f>+IF(ISBLANK('Sch 26 Bill Impact (Kro)'!G17),"",'Sch 26 Bill Impact (Kro)'!G17)</f>
        <v/>
      </c>
      <c r="G14" s="262" t="str">
        <f>+IF(ISBLANK('Sch 26 Bill Impact (Kro)'!H17),"",'Sch 26 Bill Impact (Kro)'!H17)</f>
        <v/>
      </c>
      <c r="H14" s="264"/>
      <c r="I14" s="264"/>
      <c r="J14" s="259"/>
    </row>
    <row r="15" spans="1:10" x14ac:dyDescent="0.25">
      <c r="A15" s="250">
        <f t="shared" si="1"/>
        <v>9</v>
      </c>
      <c r="B15" s="250">
        <f>+B13+100</f>
        <v>500</v>
      </c>
      <c r="C15" s="250">
        <v>300</v>
      </c>
      <c r="D15" s="261">
        <f>ROUND((B$15*C15),0)</f>
        <v>150000</v>
      </c>
      <c r="E15" s="262">
        <f>+IF(ISBLANK('Sch 26 Bill Impact (Kro)'!F18),"",'Sch 26 Bill Impact (Kro)'!F18)</f>
        <v>17423.613500000003</v>
      </c>
      <c r="F15" s="262">
        <f>+IF(ISBLANK('Sch 26 Bill Impact (Kro)'!G18),"",'Sch 26 Bill Impact (Kro)'!G18)</f>
        <v>19848.905023690895</v>
      </c>
      <c r="G15" s="262">
        <f>+IF(ISBLANK('Sch 26 Bill Impact (Kro)'!H18),"",'Sch 26 Bill Impact (Kro)'!H18)</f>
        <v>22162.702957746667</v>
      </c>
      <c r="H15" s="263">
        <f t="shared" ref="H15:I17" si="3">ROUND((+F15-E15)/E15,3)</f>
        <v>0.13900000000000001</v>
      </c>
      <c r="I15" s="263">
        <f t="shared" si="3"/>
        <v>0.11700000000000001</v>
      </c>
      <c r="J15" s="257"/>
    </row>
    <row r="16" spans="1:10" x14ac:dyDescent="0.25">
      <c r="A16" s="250">
        <f t="shared" si="1"/>
        <v>10</v>
      </c>
      <c r="B16" s="250">
        <f>+B15</f>
        <v>500</v>
      </c>
      <c r="C16" s="250">
        <v>500</v>
      </c>
      <c r="D16" s="261">
        <f>ROUND((B$15*C16),0)</f>
        <v>250000</v>
      </c>
      <c r="E16" s="262">
        <f>+IF(ISBLANK('Sch 26 Bill Impact (Kro)'!F19),"",'Sch 26 Bill Impact (Kro)'!F19)</f>
        <v>25581.813500000004</v>
      </c>
      <c r="F16" s="262">
        <f>+IF(ISBLANK('Sch 26 Bill Impact (Kro)'!G19),"",'Sch 26 Bill Impact (Kro)'!G19)</f>
        <v>28295.679272189234</v>
      </c>
      <c r="G16" s="262">
        <f>+IF(ISBLANK('Sch 26 Bill Impact (Kro)'!H19),"",'Sch 26 Bill Impact (Kro)'!H19)</f>
        <v>30362.868573209209</v>
      </c>
      <c r="H16" s="263">
        <f t="shared" si="3"/>
        <v>0.106</v>
      </c>
      <c r="I16" s="263">
        <f t="shared" si="3"/>
        <v>7.2999999999999995E-2</v>
      </c>
      <c r="J16" s="257"/>
    </row>
    <row r="17" spans="1:10" x14ac:dyDescent="0.25">
      <c r="A17" s="250">
        <f t="shared" si="1"/>
        <v>11</v>
      </c>
      <c r="B17" s="250">
        <f>+B16</f>
        <v>500</v>
      </c>
      <c r="C17" s="250">
        <v>700</v>
      </c>
      <c r="D17" s="261">
        <f>ROUND((B$15*C17),0)</f>
        <v>350000</v>
      </c>
      <c r="E17" s="262">
        <f>+IF(ISBLANK('Sch 26 Bill Impact (Kro)'!F20),"",'Sch 26 Bill Impact (Kro)'!F20)</f>
        <v>33740.013500000001</v>
      </c>
      <c r="F17" s="262">
        <f>+IF(ISBLANK('Sch 26 Bill Impact (Kro)'!G20),"",'Sch 26 Bill Impact (Kro)'!G20)</f>
        <v>36742.453520687566</v>
      </c>
      <c r="G17" s="262">
        <f>+IF(ISBLANK('Sch 26 Bill Impact (Kro)'!H20),"",'Sch 26 Bill Impact (Kro)'!H20)</f>
        <v>38563.034188671751</v>
      </c>
      <c r="H17" s="263">
        <f t="shared" si="3"/>
        <v>8.8999999999999996E-2</v>
      </c>
      <c r="I17" s="263">
        <f t="shared" si="3"/>
        <v>0.05</v>
      </c>
      <c r="J17" s="257"/>
    </row>
    <row r="18" spans="1:10" x14ac:dyDescent="0.25">
      <c r="A18" s="250">
        <f t="shared" si="1"/>
        <v>12</v>
      </c>
      <c r="B18" s="250"/>
      <c r="C18" s="250"/>
      <c r="D18" s="250"/>
      <c r="E18" s="262" t="str">
        <f>+IF(ISBLANK('Sch 26 Bill Impact (Kro)'!F21),"",'Sch 26 Bill Impact (Kro)'!F21)</f>
        <v/>
      </c>
      <c r="F18" s="262" t="str">
        <f>+IF(ISBLANK('Sch 26 Bill Impact (Kro)'!G21),"",'Sch 26 Bill Impact (Kro)'!G21)</f>
        <v/>
      </c>
      <c r="G18" s="262" t="str">
        <f>+IF(ISBLANK('Sch 26 Bill Impact (Kro)'!H21),"",'Sch 26 Bill Impact (Kro)'!H21)</f>
        <v/>
      </c>
      <c r="H18" s="264"/>
      <c r="I18" s="264"/>
      <c r="J18" s="259"/>
    </row>
    <row r="19" spans="1:10" x14ac:dyDescent="0.25">
      <c r="A19" s="250">
        <f t="shared" si="1"/>
        <v>13</v>
      </c>
      <c r="B19" s="250">
        <f>+B17+100</f>
        <v>600</v>
      </c>
      <c r="C19" s="250">
        <v>300</v>
      </c>
      <c r="D19" s="261">
        <f>ROUND((B$19*C19),0)</f>
        <v>180000</v>
      </c>
      <c r="E19" s="262">
        <f>+IF(ISBLANK('Sch 26 Bill Impact (Kro)'!F22),"",'Sch 26 Bill Impact (Kro)'!F22)</f>
        <v>20886.520200000003</v>
      </c>
      <c r="F19" s="262">
        <f>+IF(ISBLANK('Sch 26 Bill Impact (Kro)'!G22),"",'Sch 26 Bill Impact (Kro)'!G22)</f>
        <v>23775.054028429076</v>
      </c>
      <c r="G19" s="262">
        <f>+IF(ISBLANK('Sch 26 Bill Impact (Kro)'!H22),"",'Sch 26 Bill Impact (Kro)'!H22)</f>
        <v>26507.979549295997</v>
      </c>
      <c r="H19" s="263">
        <f t="shared" ref="H19:I21" si="4">ROUND((+F19-E19)/E19,3)</f>
        <v>0.13800000000000001</v>
      </c>
      <c r="I19" s="263">
        <f t="shared" si="4"/>
        <v>0.115</v>
      </c>
      <c r="J19" s="257"/>
    </row>
    <row r="20" spans="1:10" x14ac:dyDescent="0.25">
      <c r="A20" s="250">
        <f t="shared" si="1"/>
        <v>14</v>
      </c>
      <c r="B20" s="250">
        <f>+B19</f>
        <v>600</v>
      </c>
      <c r="C20" s="250">
        <v>500</v>
      </c>
      <c r="D20" s="261">
        <f>ROUND((B$19*C20),0)</f>
        <v>300000</v>
      </c>
      <c r="E20" s="262">
        <f>+IF(ISBLANK('Sch 26 Bill Impact (Kro)'!F23),"",'Sch 26 Bill Impact (Kro)'!F23)</f>
        <v>30676.360200000006</v>
      </c>
      <c r="F20" s="262">
        <f>+IF(ISBLANK('Sch 26 Bill Impact (Kro)'!G23),"",'Sch 26 Bill Impact (Kro)'!G23)</f>
        <v>33911.183126627075</v>
      </c>
      <c r="G20" s="262">
        <f>+IF(ISBLANK('Sch 26 Bill Impact (Kro)'!H23),"",'Sch 26 Bill Impact (Kro)'!H23)</f>
        <v>36348.178287851049</v>
      </c>
      <c r="H20" s="263">
        <f t="shared" si="4"/>
        <v>0.105</v>
      </c>
      <c r="I20" s="263">
        <f t="shared" si="4"/>
        <v>7.1999999999999995E-2</v>
      </c>
      <c r="J20" s="257"/>
    </row>
    <row r="21" spans="1:10" x14ac:dyDescent="0.25">
      <c r="A21" s="250">
        <f t="shared" si="1"/>
        <v>15</v>
      </c>
      <c r="B21" s="250">
        <f>+B20</f>
        <v>600</v>
      </c>
      <c r="C21" s="250">
        <v>700</v>
      </c>
      <c r="D21" s="261">
        <f>ROUND((B$19*C21),0)</f>
        <v>420000</v>
      </c>
      <c r="E21" s="262">
        <f>+IF(ISBLANK('Sch 26 Bill Impact (Kro)'!F24),"",'Sch 26 Bill Impact (Kro)'!F24)</f>
        <v>40466.200200000007</v>
      </c>
      <c r="F21" s="262">
        <f>+IF(ISBLANK('Sch 26 Bill Impact (Kro)'!G24),"",'Sch 26 Bill Impact (Kro)'!G24)</f>
        <v>44047.312224825073</v>
      </c>
      <c r="G21" s="262">
        <f>+IF(ISBLANK('Sch 26 Bill Impact (Kro)'!H24),"",'Sch 26 Bill Impact (Kro)'!H24)</f>
        <v>46188.37702640611</v>
      </c>
      <c r="H21" s="263">
        <f t="shared" si="4"/>
        <v>8.7999999999999995E-2</v>
      </c>
      <c r="I21" s="263">
        <f t="shared" si="4"/>
        <v>4.9000000000000002E-2</v>
      </c>
      <c r="J21" s="257"/>
    </row>
    <row r="22" spans="1:10" x14ac:dyDescent="0.25">
      <c r="A22" s="250">
        <f t="shared" si="1"/>
        <v>16</v>
      </c>
      <c r="B22" s="250"/>
      <c r="C22" s="250"/>
      <c r="D22" s="250"/>
      <c r="E22" s="262" t="str">
        <f>+IF(ISBLANK('Sch 26 Bill Impact (Kro)'!F25),"",'Sch 26 Bill Impact (Kro)'!F25)</f>
        <v/>
      </c>
      <c r="F22" s="262" t="str">
        <f>+IF(ISBLANK('Sch 26 Bill Impact (Kro)'!G25),"",'Sch 26 Bill Impact (Kro)'!G25)</f>
        <v/>
      </c>
      <c r="G22" s="262" t="str">
        <f>+IF(ISBLANK('Sch 26 Bill Impact (Kro)'!H25),"",'Sch 26 Bill Impact (Kro)'!H25)</f>
        <v/>
      </c>
      <c r="H22" s="264"/>
      <c r="I22" s="264"/>
      <c r="J22" s="259"/>
    </row>
    <row r="23" spans="1:10" x14ac:dyDescent="0.25">
      <c r="A23" s="250">
        <f t="shared" si="1"/>
        <v>17</v>
      </c>
      <c r="B23" s="250">
        <f>+B21+100</f>
        <v>700</v>
      </c>
      <c r="C23" s="250">
        <v>300</v>
      </c>
      <c r="D23" s="261">
        <f>ROUND((B$23*C23),0)</f>
        <v>210000</v>
      </c>
      <c r="E23" s="262">
        <f>+IF(ISBLANK('Sch 26 Bill Impact (Kro)'!F26),"",'Sch 26 Bill Impact (Kro)'!F26)</f>
        <v>24349.426900000006</v>
      </c>
      <c r="F23" s="262">
        <f>+IF(ISBLANK('Sch 26 Bill Impact (Kro)'!G26),"",'Sch 26 Bill Impact (Kro)'!G26)</f>
        <v>27701.203033167254</v>
      </c>
      <c r="G23" s="262">
        <f>+IF(ISBLANK('Sch 26 Bill Impact (Kro)'!H26),"",'Sch 26 Bill Impact (Kro)'!H26)</f>
        <v>30853.256140845333</v>
      </c>
      <c r="H23" s="263">
        <f t="shared" ref="H23:I25" si="5">ROUND((+F23-E23)/E23,3)</f>
        <v>0.13800000000000001</v>
      </c>
      <c r="I23" s="263">
        <f t="shared" si="5"/>
        <v>0.114</v>
      </c>
      <c r="J23" s="257"/>
    </row>
    <row r="24" spans="1:10" x14ac:dyDescent="0.25">
      <c r="A24" s="250">
        <f t="shared" si="1"/>
        <v>18</v>
      </c>
      <c r="B24" s="250">
        <f>+B23</f>
        <v>700</v>
      </c>
      <c r="C24" s="250">
        <v>500</v>
      </c>
      <c r="D24" s="261">
        <f>ROUND((B$23*C24),0)</f>
        <v>350000</v>
      </c>
      <c r="E24" s="262">
        <f>+IF(ISBLANK('Sch 26 Bill Impact (Kro)'!F27),"",'Sch 26 Bill Impact (Kro)'!F27)</f>
        <v>35770.906900000002</v>
      </c>
      <c r="F24" s="262">
        <f>+IF(ISBLANK('Sch 26 Bill Impact (Kro)'!G27),"",'Sch 26 Bill Impact (Kro)'!G27)</f>
        <v>39526.686981064922</v>
      </c>
      <c r="G24" s="262">
        <f>+IF(ISBLANK('Sch 26 Bill Impact (Kro)'!H27),"",'Sch 26 Bill Impact (Kro)'!H27)</f>
        <v>42333.488002492893</v>
      </c>
      <c r="H24" s="263">
        <f t="shared" si="5"/>
        <v>0.105</v>
      </c>
      <c r="I24" s="263">
        <f t="shared" si="5"/>
        <v>7.0999999999999994E-2</v>
      </c>
      <c r="J24" s="257"/>
    </row>
    <row r="25" spans="1:10" x14ac:dyDescent="0.25">
      <c r="A25" s="250">
        <f t="shared" si="1"/>
        <v>19</v>
      </c>
      <c r="B25" s="250">
        <f>+B24</f>
        <v>700</v>
      </c>
      <c r="C25" s="250">
        <v>700</v>
      </c>
      <c r="D25" s="261">
        <f>ROUND((B$23*C25),0)</f>
        <v>490000</v>
      </c>
      <c r="E25" s="262">
        <f>+IF(ISBLANK('Sch 26 Bill Impact (Kro)'!F28),"",'Sch 26 Bill Impact (Kro)'!F28)</f>
        <v>47192.386900000005</v>
      </c>
      <c r="F25" s="262">
        <f>+IF(ISBLANK('Sch 26 Bill Impact (Kro)'!G28),"",'Sch 26 Bill Impact (Kro)'!G28)</f>
        <v>51352.170928962594</v>
      </c>
      <c r="G25" s="262">
        <f>+IF(ISBLANK('Sch 26 Bill Impact (Kro)'!H28),"",'Sch 26 Bill Impact (Kro)'!H28)</f>
        <v>53813.719864140454</v>
      </c>
      <c r="H25" s="263">
        <f t="shared" si="5"/>
        <v>8.7999999999999995E-2</v>
      </c>
      <c r="I25" s="263">
        <f t="shared" si="5"/>
        <v>4.8000000000000001E-2</v>
      </c>
      <c r="J25" s="257"/>
    </row>
    <row r="26" spans="1:10" x14ac:dyDescent="0.25">
      <c r="A26" s="250">
        <f t="shared" si="1"/>
        <v>20</v>
      </c>
      <c r="B26" s="250"/>
      <c r="C26" s="250"/>
      <c r="D26" s="250"/>
      <c r="E26" s="262" t="str">
        <f>+IF(ISBLANK('Sch 26 Bill Impact (Kro)'!F29),"",'Sch 26 Bill Impact (Kro)'!F29)</f>
        <v/>
      </c>
      <c r="F26" s="262" t="str">
        <f>+IF(ISBLANK('Sch 26 Bill Impact (Kro)'!G29),"",'Sch 26 Bill Impact (Kro)'!G29)</f>
        <v/>
      </c>
      <c r="G26" s="262" t="str">
        <f>+IF(ISBLANK('Sch 26 Bill Impact (Kro)'!H29),"",'Sch 26 Bill Impact (Kro)'!H29)</f>
        <v/>
      </c>
      <c r="H26" s="264"/>
      <c r="I26" s="264"/>
      <c r="J26" s="259"/>
    </row>
    <row r="27" spans="1:10" x14ac:dyDescent="0.25">
      <c r="A27" s="250">
        <f t="shared" si="1"/>
        <v>21</v>
      </c>
      <c r="B27" s="250">
        <f>+B25+100</f>
        <v>800</v>
      </c>
      <c r="C27" s="250">
        <v>300</v>
      </c>
      <c r="D27" s="261">
        <f>ROUND((B$27*C27),0)</f>
        <v>240000</v>
      </c>
      <c r="E27" s="262">
        <f>+IF(ISBLANK('Sch 26 Bill Impact (Kro)'!F30),"",'Sch 26 Bill Impact (Kro)'!F30)</f>
        <v>27812.333600000005</v>
      </c>
      <c r="F27" s="262">
        <f>+IF(ISBLANK('Sch 26 Bill Impact (Kro)'!G30),"",'Sch 26 Bill Impact (Kro)'!G30)</f>
        <v>31627.352037905439</v>
      </c>
      <c r="G27" s="262">
        <f>+IF(ISBLANK('Sch 26 Bill Impact (Kro)'!H30),"",'Sch 26 Bill Impact (Kro)'!H30)</f>
        <v>35198.532732394662</v>
      </c>
      <c r="H27" s="263">
        <f t="shared" ref="H27:I29" si="6">ROUND((+F27-E27)/E27,3)</f>
        <v>0.13700000000000001</v>
      </c>
      <c r="I27" s="263">
        <f t="shared" si="6"/>
        <v>0.113</v>
      </c>
      <c r="J27" s="257"/>
    </row>
    <row r="28" spans="1:10" x14ac:dyDescent="0.25">
      <c r="A28" s="250">
        <f t="shared" si="1"/>
        <v>22</v>
      </c>
      <c r="B28" s="250">
        <f>+B27</f>
        <v>800</v>
      </c>
      <c r="C28" s="250">
        <v>500</v>
      </c>
      <c r="D28" s="261">
        <f>ROUND((B$27*C28),0)</f>
        <v>400000</v>
      </c>
      <c r="E28" s="262">
        <f>+IF(ISBLANK('Sch 26 Bill Impact (Kro)'!F31),"",'Sch 26 Bill Impact (Kro)'!F31)</f>
        <v>40865.453600000008</v>
      </c>
      <c r="F28" s="262">
        <f>+IF(ISBLANK('Sch 26 Bill Impact (Kro)'!G31),"",'Sch 26 Bill Impact (Kro)'!G31)</f>
        <v>45142.19083550277</v>
      </c>
      <c r="G28" s="262">
        <f>+IF(ISBLANK('Sch 26 Bill Impact (Kro)'!H31),"",'Sch 26 Bill Impact (Kro)'!H31)</f>
        <v>48318.797717134737</v>
      </c>
      <c r="H28" s="263">
        <f t="shared" si="6"/>
        <v>0.105</v>
      </c>
      <c r="I28" s="263">
        <f t="shared" si="6"/>
        <v>7.0000000000000007E-2</v>
      </c>
      <c r="J28" s="257"/>
    </row>
    <row r="29" spans="1:10" x14ac:dyDescent="0.25">
      <c r="A29" s="250">
        <f t="shared" si="1"/>
        <v>23</v>
      </c>
      <c r="B29" s="250">
        <f>+B28</f>
        <v>800</v>
      </c>
      <c r="C29" s="250">
        <v>700</v>
      </c>
      <c r="D29" s="261">
        <f>ROUND((B$27*C29),0)</f>
        <v>560000</v>
      </c>
      <c r="E29" s="262">
        <f>+IF(ISBLANK('Sch 26 Bill Impact (Kro)'!F32),"",'Sch 26 Bill Impact (Kro)'!F32)</f>
        <v>53918.573600000003</v>
      </c>
      <c r="F29" s="262">
        <f>+IF(ISBLANK('Sch 26 Bill Impact (Kro)'!G32),"",'Sch 26 Bill Impact (Kro)'!G32)</f>
        <v>58657.029633100108</v>
      </c>
      <c r="G29" s="262">
        <f>+IF(ISBLANK('Sch 26 Bill Impact (Kro)'!H32),"",'Sch 26 Bill Impact (Kro)'!H32)</f>
        <v>61439.062701874805</v>
      </c>
      <c r="H29" s="263">
        <f t="shared" si="6"/>
        <v>8.7999999999999995E-2</v>
      </c>
      <c r="I29" s="263">
        <f t="shared" si="6"/>
        <v>4.7E-2</v>
      </c>
      <c r="J29" s="257"/>
    </row>
    <row r="30" spans="1:10" x14ac:dyDescent="0.25">
      <c r="A30" s="250">
        <f t="shared" si="1"/>
        <v>24</v>
      </c>
      <c r="B30" s="250"/>
      <c r="C30" s="250"/>
      <c r="D30" s="250"/>
      <c r="E30" s="262" t="str">
        <f>+IF(ISBLANK('Sch 26 Bill Impact (Kro)'!F33),"",'Sch 26 Bill Impact (Kro)'!F33)</f>
        <v/>
      </c>
      <c r="F30" s="262" t="str">
        <f>+IF(ISBLANK('Sch 26 Bill Impact (Kro)'!G33),"",'Sch 26 Bill Impact (Kro)'!G33)</f>
        <v/>
      </c>
      <c r="G30" s="262" t="str">
        <f>+IF(ISBLANK('Sch 26 Bill Impact (Kro)'!H33),"",'Sch 26 Bill Impact (Kro)'!H33)</f>
        <v/>
      </c>
      <c r="H30" s="264"/>
      <c r="I30" s="264"/>
      <c r="J30" s="259"/>
    </row>
    <row r="31" spans="1:10" x14ac:dyDescent="0.25">
      <c r="A31" s="250">
        <f t="shared" si="1"/>
        <v>25</v>
      </c>
      <c r="B31" s="250">
        <f>+B29+200</f>
        <v>1000</v>
      </c>
      <c r="C31" s="250">
        <v>300</v>
      </c>
      <c r="D31" s="261">
        <f>ROUND((B$31*C31),0)</f>
        <v>300000</v>
      </c>
      <c r="E31" s="262">
        <f>+IF(ISBLANK('Sch 26 Bill Impact (Kro)'!F34),"",'Sch 26 Bill Impact (Kro)'!F34)</f>
        <v>34738.147000000004</v>
      </c>
      <c r="F31" s="262">
        <f>+IF(ISBLANK('Sch 26 Bill Impact (Kro)'!G34),"",'Sch 26 Bill Impact (Kro)'!G34)</f>
        <v>39479.650047381794</v>
      </c>
      <c r="G31" s="262">
        <f>+IF(ISBLANK('Sch 26 Bill Impact (Kro)'!H34),"",'Sch 26 Bill Impact (Kro)'!H34)</f>
        <v>43889.085915493328</v>
      </c>
      <c r="H31" s="263">
        <f t="shared" ref="H31:I33" si="7">ROUND((+F31-E31)/E31,3)</f>
        <v>0.13600000000000001</v>
      </c>
      <c r="I31" s="263">
        <f t="shared" si="7"/>
        <v>0.112</v>
      </c>
      <c r="J31" s="257"/>
    </row>
    <row r="32" spans="1:10" x14ac:dyDescent="0.25">
      <c r="A32" s="250">
        <f t="shared" si="1"/>
        <v>26</v>
      </c>
      <c r="B32" s="250">
        <f>+B31</f>
        <v>1000</v>
      </c>
      <c r="C32" s="250">
        <v>500</v>
      </c>
      <c r="D32" s="261">
        <f>ROUND((B$31*C32),0)</f>
        <v>500000</v>
      </c>
      <c r="E32" s="262">
        <f>+IF(ISBLANK('Sch 26 Bill Impact (Kro)'!F35),"",'Sch 26 Bill Impact (Kro)'!F35)</f>
        <v>51054.547000000006</v>
      </c>
      <c r="F32" s="262">
        <f>+IF(ISBLANK('Sch 26 Bill Impact (Kro)'!G35),"",'Sch 26 Bill Impact (Kro)'!G35)</f>
        <v>56373.198544378465</v>
      </c>
      <c r="G32" s="262">
        <f>+IF(ISBLANK('Sch 26 Bill Impact (Kro)'!H35),"",'Sch 26 Bill Impact (Kro)'!H35)</f>
        <v>60289.417146418418</v>
      </c>
      <c r="H32" s="263">
        <f t="shared" si="7"/>
        <v>0.104</v>
      </c>
      <c r="I32" s="263">
        <f t="shared" si="7"/>
        <v>6.9000000000000006E-2</v>
      </c>
      <c r="J32" s="257"/>
    </row>
    <row r="33" spans="1:10" x14ac:dyDescent="0.25">
      <c r="A33" s="250">
        <f t="shared" si="1"/>
        <v>27</v>
      </c>
      <c r="B33" s="250">
        <f>+B32</f>
        <v>1000</v>
      </c>
      <c r="C33" s="250">
        <v>700</v>
      </c>
      <c r="D33" s="261">
        <f>ROUND((B$31*C33),0)</f>
        <v>700000</v>
      </c>
      <c r="E33" s="262">
        <f>+IF(ISBLANK('Sch 26 Bill Impact (Kro)'!F36),"",'Sch 26 Bill Impact (Kro)'!F36)</f>
        <v>67370.947000000015</v>
      </c>
      <c r="F33" s="262">
        <f>+IF(ISBLANK('Sch 26 Bill Impact (Kro)'!G36),"",'Sch 26 Bill Impact (Kro)'!G36)</f>
        <v>73266.747041375129</v>
      </c>
      <c r="G33" s="262">
        <f>+IF(ISBLANK('Sch 26 Bill Impact (Kro)'!H36),"",'Sch 26 Bill Impact (Kro)'!H36)</f>
        <v>76689.748377343509</v>
      </c>
      <c r="H33" s="263">
        <f t="shared" si="7"/>
        <v>8.7999999999999995E-2</v>
      </c>
      <c r="I33" s="263">
        <f t="shared" si="7"/>
        <v>4.7E-2</v>
      </c>
      <c r="J33" s="257"/>
    </row>
  </sheetData>
  <mergeCells count="4">
    <mergeCell ref="E4:G4"/>
    <mergeCell ref="H4:I4"/>
    <mergeCell ref="A1:I1"/>
    <mergeCell ref="A2:I2"/>
  </mergeCells>
  <pageMargins left="0.7" right="0.7" top="1.4447916666666667" bottom="0.75" header="0.3" footer="0.3"/>
  <pageSetup scale="73" fitToHeight="0" orientation="portrait" horizontalDpi="360" verticalDpi="360" r:id="rId1"/>
  <headerFooter scaleWithDoc="0">
    <oddHeader>&amp;R&amp;"Times New Roman,Bold"&amp;12Kroger
&amp;A
Case No. 240004-05 &amp; 240004-06
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257A2-AAC5-4442-84ED-4229F5F1A10F}">
  <sheetPr transitionEvaluation="1" transitionEntry="1"/>
  <dimension ref="A1:Z396"/>
  <sheetViews>
    <sheetView zoomScaleNormal="100" zoomScaleSheetLayoutView="80" workbookViewId="0">
      <pane ySplit="10" topLeftCell="A72" activePane="bottomLeft" state="frozen"/>
      <selection sqref="A1:XFD1048576"/>
      <selection pane="bottomLeft" activeCell="D95" sqref="D95:D96"/>
    </sheetView>
  </sheetViews>
  <sheetFormatPr defaultColWidth="11.7109375" defaultRowHeight="11.25" outlineLevelRow="1" x14ac:dyDescent="0.2"/>
  <cols>
    <col min="1" max="1" width="5.28515625" style="80" customWidth="1"/>
    <col min="2" max="2" width="52" style="79" bestFit="1" customWidth="1"/>
    <col min="3" max="3" width="12.85546875" style="79" bestFit="1" customWidth="1"/>
    <col min="4" max="4" width="14.140625" style="79" customWidth="1"/>
    <col min="5" max="5" width="12.85546875" style="79" bestFit="1" customWidth="1"/>
    <col min="6" max="6" width="1" style="79" customWidth="1"/>
    <col min="7" max="7" width="11.28515625" style="79" bestFit="1" customWidth="1"/>
    <col min="8" max="9" width="11.5703125" style="79" bestFit="1" customWidth="1"/>
    <col min="10" max="10" width="1" style="79" customWidth="1"/>
    <col min="11" max="12" width="12.85546875" style="79" bestFit="1" customWidth="1"/>
    <col min="13" max="13" width="13.140625" style="79" customWidth="1"/>
    <col min="14" max="14" width="0.7109375" style="79" customWidth="1"/>
    <col min="15" max="15" width="15.140625" style="79" bestFit="1" customWidth="1"/>
    <col min="16" max="16" width="12.85546875" style="79" bestFit="1" customWidth="1"/>
    <col min="17" max="17" width="1" style="79" customWidth="1"/>
    <col min="18" max="18" width="12.85546875" style="79" bestFit="1" customWidth="1"/>
    <col min="19" max="19" width="13.42578125" style="79" bestFit="1" customWidth="1"/>
    <col min="20" max="20" width="1" style="79" customWidth="1"/>
    <col min="21" max="21" width="39.42578125" style="79" bestFit="1" customWidth="1"/>
    <col min="22" max="16384" width="11.7109375" style="79"/>
  </cols>
  <sheetData>
    <row r="1" spans="1:21" ht="15.75" x14ac:dyDescent="0.25">
      <c r="A1" s="271" t="s">
        <v>0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273"/>
      <c r="T1" s="273"/>
      <c r="U1" s="273"/>
    </row>
    <row r="2" spans="1:21" ht="15.75" customHeight="1" x14ac:dyDescent="0.25">
      <c r="A2" s="271" t="s">
        <v>1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  <c r="T2" s="273"/>
      <c r="U2" s="273"/>
    </row>
    <row r="3" spans="1:21" ht="15.75" x14ac:dyDescent="0.25">
      <c r="A3" s="271" t="s">
        <v>215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73"/>
      <c r="Q3" s="273"/>
      <c r="R3" s="273"/>
      <c r="S3" s="273"/>
      <c r="T3" s="273"/>
      <c r="U3" s="273"/>
    </row>
    <row r="4" spans="1:21" ht="15.75" x14ac:dyDescent="0.25">
      <c r="A4" s="271" t="s">
        <v>127</v>
      </c>
      <c r="B4" s="273"/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73"/>
      <c r="S4" s="273"/>
      <c r="T4" s="273"/>
      <c r="U4" s="273"/>
    </row>
    <row r="5" spans="1:21" ht="15.75" x14ac:dyDescent="0.25">
      <c r="A5" s="274" t="s">
        <v>128</v>
      </c>
      <c r="B5" s="273"/>
      <c r="C5" s="273"/>
      <c r="D5" s="273"/>
      <c r="E5" s="273"/>
      <c r="F5" s="273"/>
      <c r="G5" s="273"/>
      <c r="H5" s="273"/>
      <c r="I5" s="273"/>
      <c r="J5" s="273"/>
      <c r="K5" s="273"/>
      <c r="L5" s="273"/>
      <c r="M5" s="273"/>
      <c r="N5" s="273"/>
      <c r="O5" s="273"/>
      <c r="P5" s="273"/>
      <c r="Q5" s="273"/>
      <c r="R5" s="273"/>
      <c r="S5" s="273"/>
      <c r="T5" s="273"/>
      <c r="U5" s="273"/>
    </row>
    <row r="6" spans="1:21" x14ac:dyDescent="0.2">
      <c r="B6" s="81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</row>
    <row r="7" spans="1:21" x14ac:dyDescent="0.2"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</row>
    <row r="8" spans="1:21" ht="15.75" customHeight="1" x14ac:dyDescent="0.25">
      <c r="B8" s="83"/>
      <c r="C8" s="275" t="s">
        <v>129</v>
      </c>
      <c r="D8" s="276"/>
      <c r="E8" s="277"/>
      <c r="F8" s="86"/>
      <c r="G8" s="275" t="s">
        <v>130</v>
      </c>
      <c r="H8" s="276"/>
      <c r="I8" s="277"/>
      <c r="J8" s="87"/>
      <c r="K8" s="278" t="s">
        <v>131</v>
      </c>
      <c r="L8" s="279"/>
      <c r="M8" s="280"/>
      <c r="N8" s="82"/>
      <c r="O8" s="281" t="s">
        <v>132</v>
      </c>
      <c r="P8" s="280"/>
      <c r="Q8" s="88"/>
      <c r="R8" s="276" t="s">
        <v>133</v>
      </c>
      <c r="S8" s="277"/>
      <c r="T8" s="88"/>
      <c r="U8" s="82"/>
    </row>
    <row r="9" spans="1:21" ht="22.5" x14ac:dyDescent="0.2">
      <c r="A9" s="89" t="s">
        <v>134</v>
      </c>
      <c r="B9" s="90" t="s">
        <v>135</v>
      </c>
      <c r="C9" s="91" t="s">
        <v>136</v>
      </c>
      <c r="D9" s="84" t="s">
        <v>5</v>
      </c>
      <c r="E9" s="85" t="s">
        <v>6</v>
      </c>
      <c r="F9" s="86"/>
      <c r="G9" s="92" t="str">
        <f>C9</f>
        <v xml:space="preserve">Test Year </v>
      </c>
      <c r="H9" s="84" t="str">
        <f>D9</f>
        <v>MYRP 2025</v>
      </c>
      <c r="I9" s="85" t="str">
        <f>E9</f>
        <v>MYRP 2026</v>
      </c>
      <c r="J9" s="87"/>
      <c r="K9" s="92" t="str">
        <f>G9</f>
        <v xml:space="preserve">Test Year </v>
      </c>
      <c r="L9" s="84" t="str">
        <f>H9</f>
        <v>MYRP 2025</v>
      </c>
      <c r="M9" s="85" t="str">
        <f>I9</f>
        <v>MYRP 2026</v>
      </c>
      <c r="N9" s="82"/>
      <c r="O9" s="84" t="str">
        <f>H9</f>
        <v>MYRP 2025</v>
      </c>
      <c r="P9" s="85" t="str">
        <f>I9</f>
        <v>MYRP 2026</v>
      </c>
      <c r="Q9" s="88"/>
      <c r="R9" s="84" t="str">
        <f>O9</f>
        <v>MYRP 2025</v>
      </c>
      <c r="S9" s="85" t="str">
        <f>P9</f>
        <v>MYRP 2026</v>
      </c>
      <c r="T9" s="88"/>
      <c r="U9" s="93" t="s">
        <v>137</v>
      </c>
    </row>
    <row r="10" spans="1:21" x14ac:dyDescent="0.2">
      <c r="A10" s="94"/>
      <c r="B10" s="95" t="s">
        <v>21</v>
      </c>
      <c r="C10" s="95" t="s">
        <v>22</v>
      </c>
      <c r="D10" s="95" t="s">
        <v>23</v>
      </c>
      <c r="E10" s="95" t="s">
        <v>24</v>
      </c>
      <c r="F10" s="96"/>
      <c r="G10" s="95" t="s">
        <v>25</v>
      </c>
      <c r="H10" s="80" t="s">
        <v>26</v>
      </c>
      <c r="I10" s="80" t="s">
        <v>27</v>
      </c>
      <c r="J10" s="97"/>
      <c r="K10" s="95" t="s">
        <v>138</v>
      </c>
      <c r="L10" s="98" t="s">
        <v>139</v>
      </c>
      <c r="M10" s="98" t="s">
        <v>140</v>
      </c>
      <c r="N10" s="98"/>
      <c r="O10" s="80" t="s">
        <v>141</v>
      </c>
      <c r="P10" s="80" t="s">
        <v>142</v>
      </c>
      <c r="Q10" s="88"/>
      <c r="R10" s="80" t="s">
        <v>33</v>
      </c>
      <c r="S10" s="80" t="s">
        <v>34</v>
      </c>
      <c r="T10" s="88"/>
      <c r="U10" s="99" t="s">
        <v>143</v>
      </c>
    </row>
    <row r="11" spans="1:21" outlineLevel="1" x14ac:dyDescent="0.2">
      <c r="A11" s="80">
        <v>1</v>
      </c>
      <c r="B11" s="100" t="s">
        <v>204</v>
      </c>
      <c r="C11" s="101"/>
      <c r="D11" s="82"/>
      <c r="E11" s="82"/>
      <c r="F11" s="86"/>
      <c r="G11" s="101"/>
      <c r="H11" s="82"/>
      <c r="I11" s="82"/>
      <c r="J11" s="87"/>
      <c r="K11" s="101"/>
      <c r="L11" s="101"/>
      <c r="M11" s="101"/>
      <c r="N11" s="101"/>
      <c r="O11" s="82"/>
      <c r="P11" s="82"/>
      <c r="Q11" s="88"/>
      <c r="R11" s="82"/>
      <c r="S11" s="82"/>
      <c r="T11" s="88"/>
      <c r="U11" s="81"/>
    </row>
    <row r="12" spans="1:21" outlineLevel="1" x14ac:dyDescent="0.2">
      <c r="A12" s="80">
        <f t="shared" ref="A12:A75" si="0">A11+1</f>
        <v>2</v>
      </c>
      <c r="B12" s="102" t="s">
        <v>144</v>
      </c>
      <c r="F12" s="86"/>
      <c r="G12" s="103"/>
      <c r="H12" s="103"/>
      <c r="I12" s="103"/>
      <c r="J12" s="87"/>
      <c r="O12" s="103"/>
      <c r="T12" s="88"/>
    </row>
    <row r="13" spans="1:21" outlineLevel="1" x14ac:dyDescent="0.2">
      <c r="A13" s="80">
        <f t="shared" si="0"/>
        <v>3</v>
      </c>
      <c r="B13" s="79" t="s">
        <v>35</v>
      </c>
      <c r="C13" s="104"/>
      <c r="D13" s="104"/>
      <c r="E13" s="104"/>
      <c r="F13" s="104"/>
      <c r="G13" s="103"/>
      <c r="H13" s="103"/>
      <c r="I13" s="103"/>
      <c r="J13" s="87"/>
      <c r="O13" s="103"/>
      <c r="T13" s="88"/>
    </row>
    <row r="14" spans="1:21" outlineLevel="1" x14ac:dyDescent="0.2">
      <c r="A14" s="80">
        <f t="shared" si="0"/>
        <v>4</v>
      </c>
      <c r="B14" s="79" t="s">
        <v>145</v>
      </c>
      <c r="C14" s="104">
        <v>13063955</v>
      </c>
      <c r="D14" s="104">
        <v>13402924</v>
      </c>
      <c r="E14" s="104">
        <v>13545540</v>
      </c>
      <c r="F14" s="104"/>
      <c r="G14" s="88">
        <v>7.49</v>
      </c>
      <c r="H14" s="71">
        <f>G14*(1+R14)</f>
        <v>9.7370000000000001</v>
      </c>
      <c r="I14" s="71">
        <f>H14*(1+S14)</f>
        <v>12.658100000000001</v>
      </c>
      <c r="J14" s="87"/>
      <c r="K14" s="105">
        <f>G14*C14</f>
        <v>97849022.950000003</v>
      </c>
      <c r="L14" s="105">
        <f>G14*D14</f>
        <v>100387900.76000001</v>
      </c>
      <c r="M14" s="105">
        <f>G14*E14</f>
        <v>101456094.60000001</v>
      </c>
      <c r="N14" s="105"/>
      <c r="O14" s="105">
        <f>H14*D14</f>
        <v>130504270.98800001</v>
      </c>
      <c r="P14" s="105">
        <f>I14*E14</f>
        <v>171460799.87400001</v>
      </c>
      <c r="R14" s="72">
        <v>0.3</v>
      </c>
      <c r="S14" s="72">
        <f>R14</f>
        <v>0.3</v>
      </c>
      <c r="T14" s="88"/>
      <c r="U14" s="79" t="s">
        <v>97</v>
      </c>
    </row>
    <row r="15" spans="1:21" outlineLevel="1" x14ac:dyDescent="0.2">
      <c r="A15" s="80">
        <f t="shared" si="0"/>
        <v>5</v>
      </c>
      <c r="B15" s="79" t="s">
        <v>146</v>
      </c>
      <c r="C15" s="104">
        <v>4524</v>
      </c>
      <c r="D15" s="104">
        <v>4641</v>
      </c>
      <c r="E15" s="104">
        <v>4692</v>
      </c>
      <c r="F15" s="104"/>
      <c r="G15" s="88">
        <v>17.989999999999998</v>
      </c>
      <c r="H15" s="71">
        <f>G15*(1+R15)</f>
        <v>23.387</v>
      </c>
      <c r="I15" s="71">
        <f>H15*(1+S15)</f>
        <v>30.403100000000002</v>
      </c>
      <c r="J15" s="87"/>
      <c r="K15" s="105">
        <f>G15*C15</f>
        <v>81386.759999999995</v>
      </c>
      <c r="L15" s="105">
        <f>G15*D15</f>
        <v>83491.59</v>
      </c>
      <c r="M15" s="105">
        <f>G15*E15</f>
        <v>84409.079999999987</v>
      </c>
      <c r="N15" s="105"/>
      <c r="O15" s="105">
        <f>H15*D15</f>
        <v>108539.067</v>
      </c>
      <c r="P15" s="105">
        <f>I15*E15</f>
        <v>142651.34520000001</v>
      </c>
      <c r="R15" s="74">
        <f>R14</f>
        <v>0.3</v>
      </c>
      <c r="S15" s="74">
        <f>S14</f>
        <v>0.3</v>
      </c>
      <c r="T15" s="88"/>
      <c r="U15" s="79" t="s">
        <v>97</v>
      </c>
    </row>
    <row r="16" spans="1:21" outlineLevel="1" x14ac:dyDescent="0.2">
      <c r="A16" s="80">
        <f t="shared" si="0"/>
        <v>6</v>
      </c>
      <c r="B16" s="106" t="s">
        <v>74</v>
      </c>
      <c r="C16" s="107">
        <f>SUM(C14:C15)</f>
        <v>13068479</v>
      </c>
      <c r="D16" s="107">
        <f>SUM(D14:D15)</f>
        <v>13407565</v>
      </c>
      <c r="E16" s="107">
        <f>SUM(E14:E15)</f>
        <v>13550232</v>
      </c>
      <c r="F16" s="104"/>
      <c r="G16" s="108"/>
      <c r="H16" s="71"/>
      <c r="I16" s="71"/>
      <c r="J16" s="87"/>
      <c r="K16" s="109">
        <f>SUM(K14:K15)</f>
        <v>97930409.710000008</v>
      </c>
      <c r="L16" s="109">
        <f>SUM(L14:L15)</f>
        <v>100471392.35000001</v>
      </c>
      <c r="M16" s="109">
        <f>SUM(M14:M15)</f>
        <v>101540503.68000001</v>
      </c>
      <c r="N16" s="109"/>
      <c r="O16" s="109">
        <f>SUM(O14:O15)</f>
        <v>130612810.05500001</v>
      </c>
      <c r="P16" s="109">
        <f>SUM(P14:P15)</f>
        <v>171603451.21920002</v>
      </c>
      <c r="R16" s="74"/>
      <c r="S16" s="74"/>
      <c r="T16" s="88"/>
    </row>
    <row r="17" spans="1:21" outlineLevel="1" x14ac:dyDescent="0.2">
      <c r="A17" s="80">
        <f t="shared" si="0"/>
        <v>7</v>
      </c>
      <c r="B17" s="79" t="s">
        <v>147</v>
      </c>
      <c r="C17" s="104"/>
      <c r="D17" s="104"/>
      <c r="E17" s="104"/>
      <c r="F17" s="104"/>
      <c r="G17" s="108"/>
      <c r="J17" s="87"/>
      <c r="K17" s="105"/>
      <c r="L17" s="105"/>
      <c r="M17" s="105"/>
      <c r="N17" s="105"/>
      <c r="O17" s="105"/>
      <c r="P17" s="105"/>
      <c r="R17" s="76"/>
      <c r="S17" s="76"/>
      <c r="T17" s="88"/>
      <c r="U17" s="110"/>
    </row>
    <row r="18" spans="1:21" outlineLevel="1" x14ac:dyDescent="0.2">
      <c r="A18" s="80">
        <f t="shared" si="0"/>
        <v>8</v>
      </c>
      <c r="B18" s="111" t="s">
        <v>148</v>
      </c>
      <c r="C18" s="104">
        <v>6506331253</v>
      </c>
      <c r="D18" s="104">
        <v>6356287865.579875</v>
      </c>
      <c r="E18" s="104">
        <v>6454126299.9336367</v>
      </c>
      <c r="F18" s="104"/>
      <c r="G18" s="112">
        <v>8.9437000000000003E-2</v>
      </c>
      <c r="H18" s="112">
        <f>G18+R18</f>
        <v>0.11651582591302051</v>
      </c>
      <c r="I18" s="112">
        <f>H18+S18</f>
        <v>0.12567450443201938</v>
      </c>
      <c r="J18" s="87"/>
      <c r="K18" s="105">
        <f>G18*C18</f>
        <v>581906748.27456105</v>
      </c>
      <c r="L18" s="105">
        <f>G18*D18</f>
        <v>568487317.83386731</v>
      </c>
      <c r="M18" s="105">
        <f>G18*E18</f>
        <v>577237693.88716471</v>
      </c>
      <c r="N18" s="105"/>
      <c r="O18" s="105">
        <f>H18*D18</f>
        <v>740608130.39894938</v>
      </c>
      <c r="P18" s="105">
        <f>I18*E18</f>
        <v>811119124.28582275</v>
      </c>
      <c r="R18" s="112">
        <f>(R25-(O16-L16))/D23</f>
        <v>2.70788259130205E-2</v>
      </c>
      <c r="S18" s="112">
        <f>((S25+R25)-(P16-M16))/E23-R18</f>
        <v>9.1586785189988612E-3</v>
      </c>
      <c r="T18" s="88"/>
      <c r="U18" s="102" t="s">
        <v>100</v>
      </c>
    </row>
    <row r="19" spans="1:21" outlineLevel="1" x14ac:dyDescent="0.2">
      <c r="A19" s="80">
        <f t="shared" si="0"/>
        <v>9</v>
      </c>
      <c r="B19" s="111" t="s">
        <v>149</v>
      </c>
      <c r="C19" s="104">
        <v>5206810367</v>
      </c>
      <c r="D19" s="104">
        <v>4921917985.8154898</v>
      </c>
      <c r="E19" s="104">
        <v>4993522939.7803335</v>
      </c>
      <c r="F19" s="104"/>
      <c r="G19" s="112">
        <v>0.10885400000000001</v>
      </c>
      <c r="H19" s="112">
        <f>G19+R19</f>
        <v>0.1359328259130205</v>
      </c>
      <c r="I19" s="112">
        <f>H19+S19</f>
        <v>0.14509150443201935</v>
      </c>
      <c r="J19" s="87"/>
      <c r="K19" s="105">
        <f>G19*C19</f>
        <v>566782135.68941808</v>
      </c>
      <c r="L19" s="105">
        <f>G19*D19</f>
        <v>535770460.42795938</v>
      </c>
      <c r="M19" s="105">
        <f>G19*E19</f>
        <v>543564946.0868485</v>
      </c>
      <c r="N19" s="105"/>
      <c r="O19" s="105">
        <f>H19*D19</f>
        <v>669050220.72402143</v>
      </c>
      <c r="P19" s="105">
        <f>I19*E19</f>
        <v>724517755.74852848</v>
      </c>
      <c r="R19" s="112">
        <f>R18</f>
        <v>2.70788259130205E-2</v>
      </c>
      <c r="S19" s="112">
        <f>S18</f>
        <v>9.1586785189988612E-3</v>
      </c>
      <c r="T19" s="88"/>
      <c r="U19" s="102" t="s">
        <v>100</v>
      </c>
    </row>
    <row r="20" spans="1:21" outlineLevel="1" x14ac:dyDescent="0.2">
      <c r="A20" s="80">
        <f t="shared" si="0"/>
        <v>10</v>
      </c>
      <c r="B20" s="106" t="s">
        <v>74</v>
      </c>
      <c r="C20" s="107">
        <f>SUM(C18:C19)</f>
        <v>11713141620</v>
      </c>
      <c r="D20" s="107">
        <f>SUM(D18:D19)</f>
        <v>11278205851.395365</v>
      </c>
      <c r="E20" s="107">
        <f>SUM(E18:E19)</f>
        <v>11447649239.71397</v>
      </c>
      <c r="F20" s="104"/>
      <c r="G20" s="113"/>
      <c r="H20" s="113"/>
      <c r="I20" s="113"/>
      <c r="J20" s="87"/>
      <c r="K20" s="109">
        <f>SUM(K18:K19)</f>
        <v>1148688883.9639792</v>
      </c>
      <c r="L20" s="109">
        <f>SUM(L18:L19)</f>
        <v>1104257778.2618268</v>
      </c>
      <c r="M20" s="109">
        <f>SUM(M18:M19)</f>
        <v>1120802639.9740133</v>
      </c>
      <c r="N20" s="109"/>
      <c r="O20" s="109">
        <f>SUM(O18:O19)</f>
        <v>1409658351.1229708</v>
      </c>
      <c r="P20" s="109">
        <f>SUM(P18:P19)</f>
        <v>1535636880.0343513</v>
      </c>
      <c r="T20" s="88"/>
    </row>
    <row r="21" spans="1:21" outlineLevel="1" x14ac:dyDescent="0.2">
      <c r="A21" s="80">
        <f t="shared" si="0"/>
        <v>11</v>
      </c>
      <c r="B21" s="114" t="s">
        <v>101</v>
      </c>
      <c r="C21" s="104">
        <v>-508914814.87916487</v>
      </c>
      <c r="D21" s="115" t="s">
        <v>102</v>
      </c>
      <c r="E21" s="115"/>
      <c r="F21" s="104"/>
      <c r="G21" s="112">
        <f>K21/C21</f>
        <v>0.10632400043777007</v>
      </c>
      <c r="H21" s="113"/>
      <c r="I21" s="113"/>
      <c r="J21" s="87"/>
      <c r="K21" s="105">
        <v>-54109859</v>
      </c>
      <c r="L21" s="105">
        <f>G21*D21</f>
        <v>0</v>
      </c>
      <c r="M21" s="105">
        <f>G21*E21</f>
        <v>0</v>
      </c>
      <c r="N21" s="105"/>
      <c r="O21" s="105">
        <f>H21*D21</f>
        <v>0</v>
      </c>
      <c r="P21" s="105">
        <f>I21*E21</f>
        <v>0</v>
      </c>
      <c r="T21" s="88"/>
    </row>
    <row r="22" spans="1:21" outlineLevel="1" x14ac:dyDescent="0.2">
      <c r="A22" s="80">
        <f t="shared" si="0"/>
        <v>12</v>
      </c>
      <c r="B22" s="114" t="s">
        <v>103</v>
      </c>
      <c r="C22" s="104">
        <v>18614228</v>
      </c>
      <c r="D22" s="115" t="s">
        <v>102</v>
      </c>
      <c r="E22" s="115"/>
      <c r="F22" s="104"/>
      <c r="G22" s="112">
        <f>K22/C22</f>
        <v>0.10585622997633853</v>
      </c>
      <c r="H22" s="113"/>
      <c r="I22" s="113"/>
      <c r="J22" s="87"/>
      <c r="K22" s="116">
        <v>1970432</v>
      </c>
      <c r="L22" s="105">
        <f>G22*D22</f>
        <v>0</v>
      </c>
      <c r="M22" s="105">
        <f>G22*E22</f>
        <v>0</v>
      </c>
      <c r="N22" s="105"/>
      <c r="O22" s="105">
        <f>H22*D22</f>
        <v>0</v>
      </c>
      <c r="P22" s="105">
        <f>I22*E22</f>
        <v>0</v>
      </c>
      <c r="T22" s="88"/>
    </row>
    <row r="23" spans="1:21" ht="12" outlineLevel="1" thickBot="1" x14ac:dyDescent="0.25">
      <c r="A23" s="80">
        <f t="shared" si="0"/>
        <v>13</v>
      </c>
      <c r="B23" s="106" t="s">
        <v>74</v>
      </c>
      <c r="C23" s="117">
        <f>SUM(C20:C22)</f>
        <v>11222841033.120834</v>
      </c>
      <c r="D23" s="117">
        <f>SUM(D20:D22)</f>
        <v>11278205851.395365</v>
      </c>
      <c r="E23" s="117">
        <f>SUM(E20:E22)</f>
        <v>11447649239.71397</v>
      </c>
      <c r="F23" s="104"/>
      <c r="G23" s="112"/>
      <c r="H23" s="113"/>
      <c r="I23" s="113"/>
      <c r="J23" s="87"/>
      <c r="K23" s="105">
        <f>SUM(K20:K22)</f>
        <v>1096549456.9639792</v>
      </c>
      <c r="L23" s="109">
        <f>SUM(L20:L22)</f>
        <v>1104257778.2618268</v>
      </c>
      <c r="M23" s="109">
        <f>SUM(M20:M22)</f>
        <v>1120802639.9740133</v>
      </c>
      <c r="N23" s="109"/>
      <c r="O23" s="109">
        <f>SUM(O20:O22)</f>
        <v>1409658351.1229708</v>
      </c>
      <c r="P23" s="109">
        <f>SUM(P20:P22)</f>
        <v>1535636880.0343513</v>
      </c>
      <c r="T23" s="88"/>
    </row>
    <row r="24" spans="1:21" ht="12.75" outlineLevel="1" thickTop="1" thickBot="1" x14ac:dyDescent="0.25">
      <c r="A24" s="80">
        <f t="shared" si="0"/>
        <v>14</v>
      </c>
      <c r="B24" s="79" t="s">
        <v>75</v>
      </c>
      <c r="G24" s="118">
        <f>K24/C23</f>
        <v>0.10643293112223828</v>
      </c>
      <c r="H24" s="118">
        <f>O24/D23</f>
        <v>0.13657058414015427</v>
      </c>
      <c r="I24" s="118">
        <f>P24/E23</f>
        <v>0.14913457737076929</v>
      </c>
      <c r="J24" s="87"/>
      <c r="K24" s="119">
        <f>SUM(K23,K16)</f>
        <v>1194479866.6739793</v>
      </c>
      <c r="L24" s="119">
        <f>SUM(L23,L16)</f>
        <v>1204729170.6118267</v>
      </c>
      <c r="M24" s="119">
        <f>SUM(M23,M16)</f>
        <v>1222343143.6540134</v>
      </c>
      <c r="N24" s="119"/>
      <c r="O24" s="119">
        <f>SUM(O23,O16)</f>
        <v>1540271161.1779709</v>
      </c>
      <c r="P24" s="119">
        <f>SUM(P23,P16)</f>
        <v>1707240331.2535515</v>
      </c>
      <c r="R24" s="119">
        <v>1540271161.1779709</v>
      </c>
      <c r="S24" s="119">
        <v>1707240331.2535515</v>
      </c>
      <c r="T24" s="105"/>
    </row>
    <row r="25" spans="1:21" ht="12" outlineLevel="1" thickTop="1" x14ac:dyDescent="0.2">
      <c r="A25" s="80">
        <f t="shared" si="0"/>
        <v>15</v>
      </c>
      <c r="B25" s="102" t="s">
        <v>111</v>
      </c>
      <c r="G25" s="112"/>
      <c r="H25" s="112"/>
      <c r="I25" s="112"/>
      <c r="J25" s="87"/>
      <c r="K25" s="105"/>
      <c r="L25" s="105"/>
      <c r="M25" s="105"/>
      <c r="N25" s="105"/>
      <c r="O25" s="105"/>
      <c r="P25" s="105"/>
      <c r="R25" s="105">
        <f>R24-L24</f>
        <v>335541990.56614423</v>
      </c>
      <c r="S25" s="105">
        <f>S24-M24-R25</f>
        <v>149355197.03339386</v>
      </c>
      <c r="T25" s="105"/>
    </row>
    <row r="26" spans="1:21" outlineLevel="1" x14ac:dyDescent="0.2">
      <c r="A26" s="80">
        <f t="shared" si="0"/>
        <v>16</v>
      </c>
      <c r="B26" s="102" t="s">
        <v>112</v>
      </c>
      <c r="G26" s="112"/>
      <c r="H26" s="120"/>
      <c r="I26" s="120"/>
      <c r="J26" s="87"/>
      <c r="K26" s="112"/>
      <c r="L26" s="112"/>
      <c r="M26" s="112"/>
      <c r="N26" s="121"/>
      <c r="O26" s="105"/>
      <c r="P26" s="105"/>
      <c r="R26" s="76">
        <f>R25/L24</f>
        <v>0.27852068228391769</v>
      </c>
      <c r="S26" s="76">
        <f>S25/M24</f>
        <v>0.12218761794410583</v>
      </c>
      <c r="T26" s="105"/>
    </row>
    <row r="27" spans="1:21" outlineLevel="1" x14ac:dyDescent="0.2">
      <c r="A27" s="80">
        <f t="shared" si="0"/>
        <v>17</v>
      </c>
      <c r="B27" s="122" t="s">
        <v>113</v>
      </c>
      <c r="C27" s="103">
        <v>0.2949981689453125</v>
      </c>
      <c r="H27" s="112"/>
      <c r="I27" s="123"/>
      <c r="J27" s="87"/>
      <c r="K27" s="103">
        <v>-1.6739792823791504</v>
      </c>
      <c r="L27" s="105">
        <v>0</v>
      </c>
      <c r="M27" s="105">
        <v>0</v>
      </c>
      <c r="N27" s="105"/>
      <c r="O27" s="105"/>
      <c r="P27" s="105"/>
      <c r="R27" s="105">
        <f>R24-O24</f>
        <v>0</v>
      </c>
      <c r="S27" s="105">
        <f>S24-P24</f>
        <v>0</v>
      </c>
      <c r="T27" s="124"/>
    </row>
    <row r="28" spans="1:21" outlineLevel="1" x14ac:dyDescent="0.2">
      <c r="A28" s="80">
        <f t="shared" si="0"/>
        <v>18</v>
      </c>
      <c r="B28" s="125"/>
      <c r="C28" s="126"/>
      <c r="D28" s="126"/>
      <c r="E28" s="126"/>
      <c r="F28" s="126"/>
      <c r="G28" s="127"/>
      <c r="H28" s="128"/>
      <c r="I28" s="128"/>
      <c r="J28" s="126"/>
      <c r="K28" s="126"/>
      <c r="L28" s="126"/>
      <c r="M28" s="126"/>
      <c r="N28" s="126"/>
      <c r="O28" s="126" t="s">
        <v>41</v>
      </c>
      <c r="P28" s="126"/>
      <c r="Q28" s="126"/>
      <c r="R28" s="126"/>
      <c r="S28" s="126"/>
      <c r="T28" s="126"/>
    </row>
    <row r="29" spans="1:21" outlineLevel="1" x14ac:dyDescent="0.2">
      <c r="A29" s="80">
        <f t="shared" si="0"/>
        <v>19</v>
      </c>
      <c r="B29" s="83"/>
      <c r="C29" s="101"/>
      <c r="D29" s="82"/>
      <c r="E29" s="82"/>
      <c r="F29" s="86"/>
      <c r="G29" s="101"/>
      <c r="H29" s="82"/>
      <c r="I29" s="82"/>
      <c r="J29" s="87"/>
      <c r="K29" s="101"/>
      <c r="L29" s="101"/>
      <c r="M29" s="101"/>
      <c r="N29" s="101"/>
      <c r="O29" s="82"/>
      <c r="P29" s="82"/>
      <c r="Q29" s="88"/>
      <c r="R29" s="82"/>
      <c r="S29" s="82"/>
      <c r="T29" s="88"/>
      <c r="U29" s="81"/>
    </row>
    <row r="30" spans="1:21" outlineLevel="1" x14ac:dyDescent="0.2">
      <c r="A30" s="80">
        <f t="shared" si="0"/>
        <v>20</v>
      </c>
      <c r="B30" s="100" t="s">
        <v>205</v>
      </c>
    </row>
    <row r="31" spans="1:21" outlineLevel="1" x14ac:dyDescent="0.2">
      <c r="A31" s="80">
        <f t="shared" si="0"/>
        <v>21</v>
      </c>
      <c r="B31" s="102" t="s">
        <v>150</v>
      </c>
    </row>
    <row r="32" spans="1:21" outlineLevel="1" x14ac:dyDescent="0.2">
      <c r="A32" s="80">
        <f t="shared" si="0"/>
        <v>22</v>
      </c>
      <c r="B32" s="79" t="s">
        <v>35</v>
      </c>
    </row>
    <row r="33" spans="1:21" outlineLevel="1" x14ac:dyDescent="0.2">
      <c r="A33" s="80">
        <f t="shared" si="0"/>
        <v>23</v>
      </c>
      <c r="B33" s="79" t="s">
        <v>145</v>
      </c>
      <c r="C33" s="103">
        <v>1134095</v>
      </c>
      <c r="D33" s="103">
        <v>1164314</v>
      </c>
      <c r="E33" s="103">
        <v>1177319</v>
      </c>
      <c r="G33" s="71">
        <v>10.210000000000001</v>
      </c>
      <c r="H33" s="71">
        <f>G33*(1+R33)</f>
        <v>13.273000000000001</v>
      </c>
      <c r="I33" s="71">
        <f>H33*(1+S33)</f>
        <v>17.254900000000003</v>
      </c>
      <c r="K33" s="105">
        <f>G33*C33</f>
        <v>11579109.950000001</v>
      </c>
      <c r="L33" s="105">
        <f>G33*D33</f>
        <v>11887645.940000001</v>
      </c>
      <c r="M33" s="105">
        <f>G33*E33</f>
        <v>12020426.99</v>
      </c>
      <c r="N33" s="105"/>
      <c r="O33" s="105">
        <f>H33*D33</f>
        <v>15453939.722000001</v>
      </c>
      <c r="P33" s="105">
        <f>I33*E33</f>
        <v>20314521.613100003</v>
      </c>
      <c r="R33" s="72">
        <v>0.3</v>
      </c>
      <c r="S33" s="72">
        <f>R33</f>
        <v>0.3</v>
      </c>
      <c r="U33" s="79" t="s">
        <v>97</v>
      </c>
    </row>
    <row r="34" spans="1:21" outlineLevel="1" x14ac:dyDescent="0.2">
      <c r="A34" s="80">
        <f t="shared" si="0"/>
        <v>24</v>
      </c>
      <c r="B34" s="79" t="s">
        <v>146</v>
      </c>
      <c r="C34" s="103">
        <v>482155</v>
      </c>
      <c r="D34" s="103">
        <v>495002</v>
      </c>
      <c r="E34" s="103">
        <v>500533</v>
      </c>
      <c r="G34" s="71">
        <v>25.95</v>
      </c>
      <c r="H34" s="71">
        <f>G34*(1+R34)</f>
        <v>33.734999999999999</v>
      </c>
      <c r="I34" s="71">
        <f>H34*(1+S34)</f>
        <v>43.855499999999999</v>
      </c>
      <c r="K34" s="105">
        <f>G34*C34</f>
        <v>12511922.25</v>
      </c>
      <c r="L34" s="105">
        <f>G34*D34</f>
        <v>12845301.9</v>
      </c>
      <c r="M34" s="105">
        <f>G34*E34</f>
        <v>12988831.35</v>
      </c>
      <c r="N34" s="105"/>
      <c r="O34" s="105">
        <f>H34*D34</f>
        <v>16698892.469999999</v>
      </c>
      <c r="P34" s="105">
        <f>I34*E34</f>
        <v>21951124.9815</v>
      </c>
      <c r="R34" s="74">
        <f>R33</f>
        <v>0.3</v>
      </c>
      <c r="S34" s="74">
        <f>S33</f>
        <v>0.3</v>
      </c>
      <c r="U34" s="79" t="s">
        <v>97</v>
      </c>
    </row>
    <row r="35" spans="1:21" outlineLevel="1" x14ac:dyDescent="0.2">
      <c r="A35" s="80">
        <f t="shared" si="0"/>
        <v>25</v>
      </c>
      <c r="B35" s="106" t="s">
        <v>74</v>
      </c>
      <c r="C35" s="129">
        <f>SUM(C33:C34)</f>
        <v>1616250</v>
      </c>
      <c r="D35" s="129">
        <f>SUM(D33:D34)</f>
        <v>1659316</v>
      </c>
      <c r="E35" s="129">
        <f>SUM(E33:E34)</f>
        <v>1677852</v>
      </c>
      <c r="H35" s="71"/>
      <c r="I35" s="71"/>
      <c r="K35" s="109">
        <f>SUM(K33:K34)</f>
        <v>24091032.200000003</v>
      </c>
      <c r="L35" s="109">
        <f>SUM(L33:L34)</f>
        <v>24732947.840000004</v>
      </c>
      <c r="M35" s="109">
        <f>SUM(M33:M34)</f>
        <v>25009258.34</v>
      </c>
      <c r="N35" s="109"/>
      <c r="O35" s="109">
        <f>SUM(O33:O34)</f>
        <v>32152832.192000002</v>
      </c>
      <c r="P35" s="109">
        <f>SUM(P33:P34)</f>
        <v>42265646.594600007</v>
      </c>
      <c r="R35" s="74"/>
      <c r="S35" s="74"/>
      <c r="T35" s="103"/>
    </row>
    <row r="36" spans="1:21" outlineLevel="1" x14ac:dyDescent="0.2">
      <c r="A36" s="80">
        <f t="shared" si="0"/>
        <v>26</v>
      </c>
      <c r="B36" s="79" t="s">
        <v>147</v>
      </c>
      <c r="C36" s="103"/>
      <c r="D36" s="103"/>
      <c r="E36" s="103"/>
      <c r="K36" s="105"/>
      <c r="L36" s="105"/>
      <c r="M36" s="105"/>
      <c r="N36" s="105"/>
      <c r="O36" s="105"/>
      <c r="P36" s="105"/>
      <c r="R36" s="76"/>
      <c r="S36" s="76"/>
      <c r="U36" s="110"/>
    </row>
    <row r="37" spans="1:21" ht="15.75" customHeight="1" outlineLevel="1" x14ac:dyDescent="0.2">
      <c r="A37" s="80">
        <f t="shared" si="0"/>
        <v>27</v>
      </c>
      <c r="B37" s="111" t="s">
        <v>151</v>
      </c>
      <c r="C37" s="103">
        <v>1297397711</v>
      </c>
      <c r="D37" s="103">
        <v>1457771579.8610439</v>
      </c>
      <c r="E37" s="103">
        <v>1466038232.8208413</v>
      </c>
      <c r="G37" s="73">
        <v>9.2536999999999994E-2</v>
      </c>
      <c r="H37" s="112">
        <f>G37+R37</f>
        <v>0.11699587891915719</v>
      </c>
      <c r="I37" s="112">
        <f>H37+S37</f>
        <v>0.12560934039909302</v>
      </c>
      <c r="K37" s="105">
        <f>G37*C37</f>
        <v>120057291.982807</v>
      </c>
      <c r="L37" s="105">
        <f>G37*D37</f>
        <v>134897808.68560141</v>
      </c>
      <c r="M37" s="105">
        <f>G37*E37</f>
        <v>135662779.95054218</v>
      </c>
      <c r="N37" s="105"/>
      <c r="O37" s="105">
        <f>H37*D37</f>
        <v>170553267.24921119</v>
      </c>
      <c r="P37" s="105">
        <f>I37*E37</f>
        <v>184148095.42447785</v>
      </c>
      <c r="R37" s="112">
        <f>(R45-(O35-L35))/D43</f>
        <v>2.4458878919157205E-2</v>
      </c>
      <c r="S37" s="112">
        <f>((S45+R45)-(P35-M35))/E43-R37</f>
        <v>8.6134614799358369E-3</v>
      </c>
      <c r="U37" s="102" t="s">
        <v>100</v>
      </c>
    </row>
    <row r="38" spans="1:21" outlineLevel="1" x14ac:dyDescent="0.2">
      <c r="A38" s="80">
        <f t="shared" si="0"/>
        <v>28</v>
      </c>
      <c r="B38" s="114" t="s">
        <v>152</v>
      </c>
      <c r="C38" s="103">
        <v>1482649252</v>
      </c>
      <c r="D38" s="103">
        <v>1304864386.3086548</v>
      </c>
      <c r="E38" s="103">
        <v>1308929189.4485493</v>
      </c>
      <c r="G38" s="73">
        <v>8.9337E-2</v>
      </c>
      <c r="H38" s="112">
        <f>G38+R38</f>
        <v>0.11379587891915721</v>
      </c>
      <c r="I38" s="112">
        <f>H38+S38</f>
        <v>0.12240934039909304</v>
      </c>
      <c r="K38" s="105">
        <f>G38*C38</f>
        <v>132455436.225924</v>
      </c>
      <c r="L38" s="105">
        <f>G38*D38</f>
        <v>116572669.6796563</v>
      </c>
      <c r="M38" s="105">
        <f>G38*E38</f>
        <v>116935806.99776505</v>
      </c>
      <c r="N38" s="105"/>
      <c r="O38" s="105">
        <f>H38*D38</f>
        <v>148488189.71030006</v>
      </c>
      <c r="P38" s="105">
        <f>I38*E38</f>
        <v>160225158.70951641</v>
      </c>
      <c r="R38" s="112">
        <f>R37</f>
        <v>2.4458878919157205E-2</v>
      </c>
      <c r="S38" s="112">
        <f>S37</f>
        <v>8.6134614799358369E-3</v>
      </c>
      <c r="U38" s="102" t="s">
        <v>100</v>
      </c>
    </row>
    <row r="39" spans="1:21" outlineLevel="1" x14ac:dyDescent="0.2">
      <c r="A39" s="80">
        <f t="shared" si="0"/>
        <v>29</v>
      </c>
      <c r="B39" s="106" t="s">
        <v>74</v>
      </c>
      <c r="C39" s="129">
        <f>SUM(C37:C38)</f>
        <v>2780046963</v>
      </c>
      <c r="D39" s="129">
        <f>SUM(D37:D38)</f>
        <v>2762635966.1696987</v>
      </c>
      <c r="E39" s="129">
        <f>SUM(E37:E38)</f>
        <v>2774967422.2693906</v>
      </c>
      <c r="F39" s="103"/>
      <c r="G39" s="103"/>
      <c r="H39" s="113"/>
      <c r="I39" s="113"/>
      <c r="J39" s="103"/>
      <c r="K39" s="109">
        <f>SUM(K37:K38)</f>
        <v>252512728.208731</v>
      </c>
      <c r="L39" s="109">
        <f>SUM(L37:L38)</f>
        <v>251470478.36525771</v>
      </c>
      <c r="M39" s="109">
        <f>SUM(M37:M38)</f>
        <v>252598586.94830722</v>
      </c>
      <c r="N39" s="109"/>
      <c r="O39" s="109">
        <f>SUM(O37:O38)</f>
        <v>319041456.95951128</v>
      </c>
      <c r="P39" s="109">
        <f>SUM(P37:P38)</f>
        <v>344373254.13399422</v>
      </c>
      <c r="Q39" s="103"/>
    </row>
    <row r="40" spans="1:21" outlineLevel="1" x14ac:dyDescent="0.2">
      <c r="A40" s="80">
        <f t="shared" si="0"/>
        <v>30</v>
      </c>
      <c r="B40" s="111" t="s">
        <v>153</v>
      </c>
      <c r="C40" s="103">
        <v>-26017025.539350219</v>
      </c>
      <c r="D40" s="115" t="s">
        <v>102</v>
      </c>
      <c r="E40" s="115"/>
      <c r="F40" s="103"/>
      <c r="G40" s="73">
        <f>K40/C40</f>
        <v>0.10015034178519225</v>
      </c>
      <c r="H40" s="113"/>
      <c r="I40" s="113"/>
      <c r="J40" s="103"/>
      <c r="K40" s="105">
        <v>-2605614</v>
      </c>
      <c r="L40" s="105">
        <f>G40*D40</f>
        <v>0</v>
      </c>
      <c r="M40" s="105">
        <f>G40*E40</f>
        <v>0</v>
      </c>
      <c r="N40" s="105"/>
      <c r="O40" s="105">
        <f t="shared" ref="O40:P42" si="1">H40*D40</f>
        <v>0</v>
      </c>
      <c r="P40" s="105">
        <f t="shared" si="1"/>
        <v>0</v>
      </c>
      <c r="Q40" s="103"/>
    </row>
    <row r="41" spans="1:21" outlineLevel="1" x14ac:dyDescent="0.2">
      <c r="A41" s="80">
        <f t="shared" si="0"/>
        <v>31</v>
      </c>
      <c r="B41" s="111" t="s">
        <v>154</v>
      </c>
      <c r="C41" s="103">
        <v>-11651897.623968661</v>
      </c>
      <c r="D41" s="115" t="s">
        <v>102</v>
      </c>
      <c r="E41" s="115"/>
      <c r="F41" s="103"/>
      <c r="G41" s="73">
        <f>K41/C41</f>
        <v>0.10015029634310652</v>
      </c>
      <c r="H41" s="113"/>
      <c r="I41" s="113"/>
      <c r="J41" s="103"/>
      <c r="K41" s="105">
        <v>-1166941</v>
      </c>
      <c r="L41" s="105">
        <f>G41*D41</f>
        <v>0</v>
      </c>
      <c r="M41" s="105">
        <f>G41*E41</f>
        <v>0</v>
      </c>
      <c r="N41" s="105"/>
      <c r="O41" s="105">
        <f t="shared" si="1"/>
        <v>0</v>
      </c>
      <c r="P41" s="105">
        <f t="shared" si="1"/>
        <v>0</v>
      </c>
      <c r="Q41" s="103"/>
    </row>
    <row r="42" spans="1:21" ht="10.5" customHeight="1" outlineLevel="1" x14ac:dyDescent="0.2">
      <c r="A42" s="80">
        <f t="shared" si="0"/>
        <v>32</v>
      </c>
      <c r="B42" s="114" t="s">
        <v>103</v>
      </c>
      <c r="C42" s="130">
        <v>16441044</v>
      </c>
      <c r="D42" s="115" t="s">
        <v>102</v>
      </c>
      <c r="E42" s="115"/>
      <c r="F42" s="105"/>
      <c r="G42" s="73">
        <f>K42/C42</f>
        <v>9.6465285294534825E-2</v>
      </c>
      <c r="H42" s="113"/>
      <c r="I42" s="113"/>
      <c r="J42" s="105"/>
      <c r="K42" s="105">
        <v>1585990</v>
      </c>
      <c r="L42" s="105">
        <f>G42*D42</f>
        <v>0</v>
      </c>
      <c r="M42" s="105">
        <f>G42*E42</f>
        <v>0</v>
      </c>
      <c r="N42" s="105"/>
      <c r="O42" s="105">
        <f t="shared" si="1"/>
        <v>0</v>
      </c>
      <c r="P42" s="105">
        <f t="shared" si="1"/>
        <v>0</v>
      </c>
      <c r="Q42" s="105"/>
    </row>
    <row r="43" spans="1:21" outlineLevel="1" x14ac:dyDescent="0.2">
      <c r="A43" s="80">
        <f t="shared" si="0"/>
        <v>33</v>
      </c>
      <c r="B43" s="106" t="s">
        <v>74</v>
      </c>
      <c r="C43" s="107">
        <f>SUM(C39:C42)</f>
        <v>2758819083.8366814</v>
      </c>
      <c r="D43" s="107">
        <f>SUM(D39:D42)</f>
        <v>2762635966.1696987</v>
      </c>
      <c r="E43" s="107">
        <f>SUM(E39:E42)</f>
        <v>2774967422.2693906</v>
      </c>
      <c r="F43" s="105"/>
      <c r="G43" s="105"/>
      <c r="H43" s="113"/>
      <c r="I43" s="113"/>
      <c r="J43" s="105"/>
      <c r="K43" s="109">
        <f>SUM(K39:K42)</f>
        <v>250326163.208731</v>
      </c>
      <c r="L43" s="109">
        <f>SUM(L39:L42)</f>
        <v>251470478.36525771</v>
      </c>
      <c r="M43" s="109">
        <f>SUM(M39:M42)</f>
        <v>252598586.94830722</v>
      </c>
      <c r="N43" s="109"/>
      <c r="O43" s="109">
        <f>SUM(O39:O42)</f>
        <v>319041456.95951128</v>
      </c>
      <c r="P43" s="109">
        <f>SUM(P39:P42)</f>
        <v>344373254.13399422</v>
      </c>
      <c r="Q43" s="105"/>
      <c r="R43" s="105"/>
      <c r="S43" s="105"/>
      <c r="T43" s="105"/>
      <c r="U43" s="105"/>
    </row>
    <row r="44" spans="1:21" ht="12" outlineLevel="1" thickBot="1" x14ac:dyDescent="0.25">
      <c r="A44" s="80">
        <f t="shared" si="0"/>
        <v>34</v>
      </c>
      <c r="B44" s="79" t="s">
        <v>110</v>
      </c>
      <c r="G44" s="118">
        <f>K43/C43</f>
        <v>9.0736708570466743E-2</v>
      </c>
      <c r="H44" s="118">
        <f>O43/D43</f>
        <v>0.11548443619296372</v>
      </c>
      <c r="I44" s="118">
        <f>P43/E43</f>
        <v>0.12409992685692973</v>
      </c>
      <c r="K44" s="119">
        <f>SUM(K43,K35)</f>
        <v>274417195.40873098</v>
      </c>
      <c r="L44" s="119">
        <f>SUM(L43,L35)</f>
        <v>276203426.20525771</v>
      </c>
      <c r="M44" s="119">
        <f>SUM(M43,M35)</f>
        <v>277607845.28830719</v>
      </c>
      <c r="N44" s="119"/>
      <c r="O44" s="119">
        <f>SUM(O43,O35)</f>
        <v>351194289.15151131</v>
      </c>
      <c r="P44" s="119">
        <f>SUM(P43,P35)</f>
        <v>386638900.72859424</v>
      </c>
      <c r="R44" s="119">
        <v>351194289.15151125</v>
      </c>
      <c r="S44" s="119">
        <v>386638900.72859424</v>
      </c>
      <c r="T44" s="105"/>
    </row>
    <row r="45" spans="1:21" ht="12" outlineLevel="1" thickTop="1" x14ac:dyDescent="0.2">
      <c r="A45" s="80">
        <f t="shared" si="0"/>
        <v>35</v>
      </c>
      <c r="B45" s="102" t="s">
        <v>111</v>
      </c>
      <c r="K45" s="105"/>
      <c r="L45" s="105"/>
      <c r="M45" s="105"/>
      <c r="N45" s="105"/>
      <c r="O45" s="105"/>
      <c r="P45" s="105"/>
      <c r="R45" s="105">
        <f>R44-L44</f>
        <v>74990862.946253538</v>
      </c>
      <c r="S45" s="105">
        <f>S44-M44-R45</f>
        <v>34040192.494033515</v>
      </c>
      <c r="T45" s="105"/>
    </row>
    <row r="46" spans="1:21" outlineLevel="1" x14ac:dyDescent="0.2">
      <c r="A46" s="80">
        <f t="shared" si="0"/>
        <v>36</v>
      </c>
      <c r="B46" s="102" t="s">
        <v>112</v>
      </c>
      <c r="K46" s="105"/>
      <c r="L46" s="105"/>
      <c r="M46" s="105"/>
      <c r="N46" s="105"/>
      <c r="O46" s="105"/>
      <c r="P46" s="105"/>
      <c r="R46" s="76">
        <f>R45/L44</f>
        <v>0.27150591133697544</v>
      </c>
      <c r="S46" s="76">
        <f>S45/M44</f>
        <v>0.12261970643762381</v>
      </c>
      <c r="T46" s="105"/>
    </row>
    <row r="47" spans="1:21" outlineLevel="1" x14ac:dyDescent="0.2">
      <c r="A47" s="80">
        <f t="shared" si="0"/>
        <v>37</v>
      </c>
      <c r="B47" s="122" t="s">
        <v>113</v>
      </c>
      <c r="C47" s="103">
        <v>-1.5469999313354492</v>
      </c>
      <c r="K47" s="103">
        <v>-0.40873098373413086</v>
      </c>
      <c r="L47" s="105">
        <v>0</v>
      </c>
      <c r="M47" s="105">
        <v>0</v>
      </c>
      <c r="N47" s="105"/>
      <c r="R47" s="105">
        <f>R44-O44</f>
        <v>0</v>
      </c>
      <c r="S47" s="105">
        <f>S44-P44</f>
        <v>0</v>
      </c>
      <c r="T47" s="124"/>
    </row>
    <row r="48" spans="1:21" outlineLevel="1" x14ac:dyDescent="0.2">
      <c r="A48" s="80">
        <f t="shared" si="0"/>
        <v>38</v>
      </c>
      <c r="B48" s="125"/>
      <c r="C48" s="126"/>
      <c r="D48" s="126"/>
      <c r="E48" s="126"/>
      <c r="G48" s="127"/>
      <c r="H48" s="128"/>
      <c r="I48" s="128"/>
      <c r="J48" s="126"/>
      <c r="K48" s="126"/>
      <c r="L48" s="126"/>
      <c r="M48" s="126"/>
      <c r="N48" s="126"/>
      <c r="O48" s="126"/>
      <c r="P48" s="126"/>
      <c r="Q48" s="126"/>
      <c r="R48" s="126"/>
      <c r="S48" s="126"/>
      <c r="T48" s="126"/>
    </row>
    <row r="49" spans="1:21" outlineLevel="1" x14ac:dyDescent="0.2">
      <c r="A49" s="80">
        <f t="shared" si="0"/>
        <v>39</v>
      </c>
    </row>
    <row r="50" spans="1:21" outlineLevel="1" x14ac:dyDescent="0.2">
      <c r="A50" s="80">
        <f t="shared" si="0"/>
        <v>40</v>
      </c>
      <c r="B50" s="100" t="s">
        <v>206</v>
      </c>
    </row>
    <row r="51" spans="1:21" outlineLevel="1" x14ac:dyDescent="0.2">
      <c r="A51" s="80">
        <f t="shared" si="0"/>
        <v>41</v>
      </c>
      <c r="B51" s="102" t="s">
        <v>155</v>
      </c>
    </row>
    <row r="52" spans="1:21" outlineLevel="1" x14ac:dyDescent="0.2">
      <c r="A52" s="80">
        <f t="shared" si="0"/>
        <v>42</v>
      </c>
    </row>
    <row r="53" spans="1:21" outlineLevel="1" x14ac:dyDescent="0.2">
      <c r="A53" s="80">
        <f t="shared" si="0"/>
        <v>43</v>
      </c>
      <c r="B53" s="79" t="s">
        <v>35</v>
      </c>
      <c r="C53" s="104">
        <v>100522</v>
      </c>
      <c r="D53" s="104">
        <v>104091.5758044844</v>
      </c>
      <c r="E53" s="104">
        <v>106231.43807201592</v>
      </c>
      <c r="F53" s="105"/>
      <c r="G53" s="88">
        <v>53.95</v>
      </c>
      <c r="H53" s="71">
        <f>G53*(1+R53)</f>
        <v>70.135000000000005</v>
      </c>
      <c r="I53" s="71">
        <f>H53*(1+S53)</f>
        <v>91.175500000000014</v>
      </c>
      <c r="J53" s="105"/>
      <c r="K53" s="105">
        <f>G53*C53</f>
        <v>5423161.9000000004</v>
      </c>
      <c r="L53" s="105">
        <f>G53*D53</f>
        <v>5615740.5146519337</v>
      </c>
      <c r="M53" s="105">
        <f>G53*E53</f>
        <v>5731186.0839852598</v>
      </c>
      <c r="N53" s="105"/>
      <c r="O53" s="105">
        <f>H53*D53</f>
        <v>7300462.669047514</v>
      </c>
      <c r="P53" s="105">
        <f>I53*E53</f>
        <v>9685704.4819350895</v>
      </c>
      <c r="Q53" s="105"/>
      <c r="R53" s="72">
        <v>0.3</v>
      </c>
      <c r="S53" s="72">
        <f>R53</f>
        <v>0.3</v>
      </c>
      <c r="U53" s="79" t="s">
        <v>97</v>
      </c>
    </row>
    <row r="54" spans="1:21" outlineLevel="1" x14ac:dyDescent="0.2">
      <c r="A54" s="80">
        <f t="shared" si="0"/>
        <v>44</v>
      </c>
      <c r="B54" s="79" t="s">
        <v>98</v>
      </c>
      <c r="C54" s="104"/>
      <c r="D54" s="104"/>
      <c r="E54" s="104"/>
      <c r="F54" s="105"/>
      <c r="G54" s="131"/>
      <c r="H54" s="105"/>
      <c r="I54" s="105"/>
      <c r="J54" s="105"/>
      <c r="K54" s="124"/>
      <c r="L54" s="124"/>
      <c r="M54" s="124"/>
      <c r="N54" s="124"/>
      <c r="O54" s="124"/>
      <c r="P54" s="124"/>
      <c r="Q54" s="105"/>
      <c r="R54" s="105"/>
      <c r="S54" s="105"/>
      <c r="T54" s="105"/>
    </row>
    <row r="55" spans="1:21" outlineLevel="1" x14ac:dyDescent="0.2">
      <c r="A55" s="80">
        <f t="shared" si="0"/>
        <v>45</v>
      </c>
      <c r="B55" s="111" t="s">
        <v>156</v>
      </c>
      <c r="C55" s="104">
        <v>782914394</v>
      </c>
      <c r="D55" s="104">
        <v>764890777.36825001</v>
      </c>
      <c r="E55" s="104">
        <v>768227524.74642587</v>
      </c>
      <c r="F55" s="105"/>
      <c r="G55" s="112">
        <v>9.0594999999999995E-2</v>
      </c>
      <c r="H55" s="112">
        <f t="shared" ref="H55:I57" si="2">G55+R55</f>
        <v>0.11068380767349564</v>
      </c>
      <c r="I55" s="112">
        <f t="shared" si="2"/>
        <v>0.11577050127427037</v>
      </c>
      <c r="J55" s="105"/>
      <c r="K55" s="105">
        <f>G55*C55</f>
        <v>70928129.524429992</v>
      </c>
      <c r="L55" s="105">
        <f>G55*D55</f>
        <v>69295279.975676611</v>
      </c>
      <c r="M55" s="105">
        <f>G55*E55</f>
        <v>69597572.604402453</v>
      </c>
      <c r="N55" s="105"/>
      <c r="O55" s="105">
        <f t="shared" ref="O55:P57" si="3">H55*D55</f>
        <v>84661023.693457961</v>
      </c>
      <c r="P55" s="105">
        <f t="shared" si="3"/>
        <v>88938085.63258566</v>
      </c>
      <c r="Q55" s="105"/>
      <c r="R55" s="112">
        <f>(R70-(O53-L53)-(O65-L65)-(O67-L67))/D61</f>
        <v>2.0088807673495641E-2</v>
      </c>
      <c r="S55" s="112">
        <f>((S70+R70)-(P53-M53)-(P65-M65)-(P67-M67))/E61-R55</f>
        <v>5.0866936007747249E-3</v>
      </c>
      <c r="U55" s="102" t="s">
        <v>100</v>
      </c>
    </row>
    <row r="56" spans="1:21" outlineLevel="1" x14ac:dyDescent="0.2">
      <c r="A56" s="80">
        <f t="shared" si="0"/>
        <v>46</v>
      </c>
      <c r="B56" s="111" t="s">
        <v>157</v>
      </c>
      <c r="C56" s="104">
        <v>764321170</v>
      </c>
      <c r="D56" s="104">
        <v>746887576.95007479</v>
      </c>
      <c r="E56" s="104">
        <v>747812352.02207935</v>
      </c>
      <c r="F56" s="105"/>
      <c r="G56" s="112">
        <v>8.1648999999999999E-2</v>
      </c>
      <c r="H56" s="112">
        <f t="shared" si="2"/>
        <v>0.10173780767349563</v>
      </c>
      <c r="I56" s="112">
        <f t="shared" si="2"/>
        <v>0.10682450127427036</v>
      </c>
      <c r="J56" s="105"/>
      <c r="K56" s="105">
        <f>G56*C56</f>
        <v>62406059.20933</v>
      </c>
      <c r="L56" s="105">
        <f>G56*D56</f>
        <v>60982623.770396657</v>
      </c>
      <c r="M56" s="105">
        <f>G56*E56</f>
        <v>61058130.730250753</v>
      </c>
      <c r="N56" s="105"/>
      <c r="O56" s="105">
        <f t="shared" si="3"/>
        <v>75986704.657469884</v>
      </c>
      <c r="P56" s="105">
        <f t="shared" si="3"/>
        <v>79884681.551497728</v>
      </c>
      <c r="Q56" s="105"/>
      <c r="R56" s="112">
        <f>R55</f>
        <v>2.0088807673495641E-2</v>
      </c>
      <c r="S56" s="112">
        <f>S55</f>
        <v>5.0866936007747249E-3</v>
      </c>
      <c r="T56" s="105"/>
      <c r="U56" s="102" t="s">
        <v>100</v>
      </c>
    </row>
    <row r="57" spans="1:21" outlineLevel="1" x14ac:dyDescent="0.2">
      <c r="A57" s="80">
        <f t="shared" si="0"/>
        <v>47</v>
      </c>
      <c r="B57" s="111" t="s">
        <v>158</v>
      </c>
      <c r="C57" s="104">
        <v>1484990644</v>
      </c>
      <c r="D57" s="104">
        <v>1448423920.4871457</v>
      </c>
      <c r="E57" s="104">
        <v>1452680297.8689337</v>
      </c>
      <c r="F57" s="105"/>
      <c r="G57" s="112">
        <v>6.4577999999999997E-2</v>
      </c>
      <c r="H57" s="112">
        <f t="shared" si="2"/>
        <v>8.4666807673495631E-2</v>
      </c>
      <c r="I57" s="112">
        <f t="shared" si="2"/>
        <v>8.9753501274270356E-2</v>
      </c>
      <c r="J57" s="105"/>
      <c r="K57" s="105">
        <f>G57*C57</f>
        <v>95897725.808231995</v>
      </c>
      <c r="L57" s="105">
        <f>G57*D57</f>
        <v>93536319.93721889</v>
      </c>
      <c r="M57" s="105">
        <f>G57*E57</f>
        <v>93811188.275779992</v>
      </c>
      <c r="N57" s="105"/>
      <c r="O57" s="105">
        <f t="shared" si="3"/>
        <v>122633429.50557569</v>
      </c>
      <c r="P57" s="105">
        <f t="shared" si="3"/>
        <v>130383142.96588677</v>
      </c>
      <c r="Q57" s="105"/>
      <c r="R57" s="112">
        <f>R56</f>
        <v>2.0088807673495641E-2</v>
      </c>
      <c r="S57" s="112">
        <f>S55</f>
        <v>5.0866936007747249E-3</v>
      </c>
      <c r="T57" s="105"/>
      <c r="U57" s="102" t="s">
        <v>100</v>
      </c>
    </row>
    <row r="58" spans="1:21" outlineLevel="1" x14ac:dyDescent="0.2">
      <c r="A58" s="80">
        <f t="shared" si="0"/>
        <v>48</v>
      </c>
      <c r="B58" s="106" t="s">
        <v>74</v>
      </c>
      <c r="C58" s="107">
        <f>SUM(C55:C57)</f>
        <v>3032226208</v>
      </c>
      <c r="D58" s="107">
        <f>SUM(D55:D57)</f>
        <v>2960202274.8054705</v>
      </c>
      <c r="E58" s="107">
        <f>SUM(E55:E57)</f>
        <v>2968720174.6374388</v>
      </c>
      <c r="F58" s="105"/>
      <c r="G58" s="112"/>
      <c r="H58" s="105"/>
      <c r="I58" s="105"/>
      <c r="J58" s="105"/>
      <c r="K58" s="132">
        <f>SUM(K55:K57)</f>
        <v>229231914.54199201</v>
      </c>
      <c r="L58" s="132">
        <f>SUM(L55:L57)</f>
        <v>223814223.68329215</v>
      </c>
      <c r="M58" s="132">
        <f>SUM(M55:M57)</f>
        <v>224466891.61043319</v>
      </c>
      <c r="N58" s="132"/>
      <c r="O58" s="132">
        <f>SUM(O55:O57)</f>
        <v>283281157.85650349</v>
      </c>
      <c r="P58" s="132">
        <f>SUM(P55:P57)</f>
        <v>299205910.14997017</v>
      </c>
      <c r="Q58" s="105"/>
      <c r="R58" s="105"/>
      <c r="S58" s="105"/>
      <c r="T58" s="105"/>
    </row>
    <row r="59" spans="1:21" outlineLevel="1" x14ac:dyDescent="0.2">
      <c r="A59" s="80">
        <f t="shared" si="0"/>
        <v>49</v>
      </c>
      <c r="B59" s="111" t="s">
        <v>101</v>
      </c>
      <c r="C59" s="104">
        <v>-32050105.587753978</v>
      </c>
      <c r="D59" s="115" t="s">
        <v>102</v>
      </c>
      <c r="E59" s="115"/>
      <c r="F59" s="105"/>
      <c r="G59" s="73">
        <f>K59/C59</f>
        <v>9.1438981128341867E-2</v>
      </c>
      <c r="H59" s="105"/>
      <c r="I59" s="105"/>
      <c r="J59" s="105"/>
      <c r="K59" s="124">
        <v>-2930629</v>
      </c>
      <c r="L59" s="105">
        <f>G59*D59</f>
        <v>0</v>
      </c>
      <c r="M59" s="105">
        <f>G59*E59</f>
        <v>0</v>
      </c>
      <c r="N59" s="105"/>
      <c r="O59" s="105">
        <f>H59*D59</f>
        <v>0</v>
      </c>
      <c r="P59" s="105">
        <f>I59*E59</f>
        <v>0</v>
      </c>
      <c r="Q59" s="105"/>
      <c r="R59" s="105"/>
      <c r="S59" s="105"/>
      <c r="T59" s="105"/>
      <c r="U59" s="102"/>
    </row>
    <row r="60" spans="1:21" ht="10.5" customHeight="1" outlineLevel="1" x14ac:dyDescent="0.2">
      <c r="A60" s="80">
        <f t="shared" si="0"/>
        <v>50</v>
      </c>
      <c r="B60" s="114" t="s">
        <v>103</v>
      </c>
      <c r="C60" s="104">
        <v>-5507858</v>
      </c>
      <c r="D60" s="115" t="s">
        <v>102</v>
      </c>
      <c r="E60" s="115"/>
      <c r="F60" s="105"/>
      <c r="G60" s="73">
        <f>K60/C60</f>
        <v>5.6991665362469406E-2</v>
      </c>
      <c r="H60" s="105"/>
      <c r="I60" s="105"/>
      <c r="J60" s="105"/>
      <c r="K60" s="124">
        <v>-313902</v>
      </c>
      <c r="L60" s="105">
        <f>G60*D60</f>
        <v>0</v>
      </c>
      <c r="M60" s="105">
        <f>G60*E60</f>
        <v>0</v>
      </c>
      <c r="N60" s="105"/>
      <c r="O60" s="105">
        <f>H60*D60</f>
        <v>0</v>
      </c>
      <c r="P60" s="105">
        <f>I60*E60</f>
        <v>0</v>
      </c>
      <c r="Q60" s="105"/>
      <c r="R60" s="105"/>
      <c r="S60" s="105"/>
      <c r="T60" s="105"/>
      <c r="U60" s="102"/>
    </row>
    <row r="61" spans="1:21" outlineLevel="1" x14ac:dyDescent="0.2">
      <c r="A61" s="80">
        <f t="shared" si="0"/>
        <v>51</v>
      </c>
      <c r="B61" s="106" t="s">
        <v>74</v>
      </c>
      <c r="C61" s="107">
        <f>SUM(C58:C60)</f>
        <v>2994668244.4122462</v>
      </c>
      <c r="D61" s="107">
        <f>SUM(D58:D60)</f>
        <v>2960202274.8054705</v>
      </c>
      <c r="E61" s="107">
        <f>SUM(E58:E60)</f>
        <v>2968720174.6374388</v>
      </c>
      <c r="F61" s="105"/>
      <c r="H61" s="105"/>
      <c r="I61" s="105"/>
      <c r="J61" s="105"/>
      <c r="K61" s="132">
        <f>SUM(K58:K60)</f>
        <v>225987383.54199201</v>
      </c>
      <c r="L61" s="132">
        <f>SUM(L58:L60)</f>
        <v>223814223.68329215</v>
      </c>
      <c r="M61" s="132">
        <f>SUM(M58:M60)</f>
        <v>224466891.61043319</v>
      </c>
      <c r="N61" s="132"/>
      <c r="O61" s="132">
        <f>SUM(O58:O60)</f>
        <v>283281157.85650349</v>
      </c>
      <c r="P61" s="132">
        <f>SUM(P58:P60)</f>
        <v>299205910.14997017</v>
      </c>
      <c r="Q61" s="105"/>
      <c r="R61" s="105"/>
      <c r="S61" s="105"/>
      <c r="T61" s="105"/>
      <c r="U61" s="74"/>
    </row>
    <row r="62" spans="1:21" outlineLevel="1" x14ac:dyDescent="0.2">
      <c r="A62" s="80">
        <f t="shared" si="0"/>
        <v>52</v>
      </c>
      <c r="B62" s="79" t="s">
        <v>104</v>
      </c>
      <c r="C62" s="104"/>
      <c r="D62" s="104"/>
      <c r="E62" s="104"/>
      <c r="F62" s="105"/>
      <c r="G62" s="108"/>
      <c r="H62" s="105"/>
      <c r="I62" s="105"/>
      <c r="J62" s="105"/>
      <c r="K62" s="124"/>
      <c r="L62" s="124"/>
      <c r="M62" s="124"/>
      <c r="N62" s="124"/>
      <c r="O62" s="124"/>
      <c r="P62" s="124"/>
      <c r="Q62" s="105"/>
      <c r="R62" s="105"/>
      <c r="S62" s="105"/>
      <c r="T62" s="105"/>
    </row>
    <row r="63" spans="1:21" outlineLevel="1" x14ac:dyDescent="0.2">
      <c r="A63" s="80">
        <f t="shared" si="0"/>
        <v>53</v>
      </c>
      <c r="B63" s="111" t="s">
        <v>159</v>
      </c>
      <c r="C63" s="104">
        <v>2378579</v>
      </c>
      <c r="D63" s="104">
        <v>2288723.4046284151</v>
      </c>
      <c r="E63" s="104">
        <v>2283097.2984594069</v>
      </c>
      <c r="F63" s="105"/>
      <c r="G63" s="88">
        <v>10.119999999999999</v>
      </c>
      <c r="H63" s="71">
        <f>G63*(1+R63)</f>
        <v>13.155999999999999</v>
      </c>
      <c r="I63" s="71">
        <f>H63*(1+S63)</f>
        <v>17.102799999999998</v>
      </c>
      <c r="J63" s="105"/>
      <c r="K63" s="105">
        <f>G63*C63</f>
        <v>24071219.479999997</v>
      </c>
      <c r="L63" s="105">
        <f>G63*D63</f>
        <v>23161880.85483956</v>
      </c>
      <c r="M63" s="105">
        <f>G63*E63</f>
        <v>23104944.660409197</v>
      </c>
      <c r="N63" s="105"/>
      <c r="O63" s="105">
        <f>H63*D63</f>
        <v>30110445.111291427</v>
      </c>
      <c r="P63" s="105">
        <f>I63*E63</f>
        <v>39047356.476091541</v>
      </c>
      <c r="Q63" s="105"/>
      <c r="R63" s="72">
        <v>0.3</v>
      </c>
      <c r="S63" s="72">
        <f>R63</f>
        <v>0.3</v>
      </c>
      <c r="T63" s="105"/>
      <c r="U63" s="102" t="s">
        <v>106</v>
      </c>
    </row>
    <row r="64" spans="1:21" outlineLevel="1" x14ac:dyDescent="0.2">
      <c r="A64" s="80">
        <f t="shared" si="0"/>
        <v>54</v>
      </c>
      <c r="B64" s="111" t="s">
        <v>160</v>
      </c>
      <c r="C64" s="104">
        <v>2294595</v>
      </c>
      <c r="D64" s="104">
        <v>2229163.6026629228</v>
      </c>
      <c r="E64" s="104">
        <v>2232411.6467305804</v>
      </c>
      <c r="F64" s="105"/>
      <c r="G64" s="88">
        <v>6.75</v>
      </c>
      <c r="H64" s="71">
        <f>G64*(1+R64)</f>
        <v>8.7750000000000004</v>
      </c>
      <c r="I64" s="71">
        <f>H64*(1+S64)</f>
        <v>11.407500000000001</v>
      </c>
      <c r="J64" s="105"/>
      <c r="K64" s="105">
        <f>G64*C64</f>
        <v>15488516.25</v>
      </c>
      <c r="L64" s="105">
        <f>G64*D64</f>
        <v>15046854.317974729</v>
      </c>
      <c r="M64" s="105">
        <f>G64*E64</f>
        <v>15068778.615431417</v>
      </c>
      <c r="N64" s="105"/>
      <c r="O64" s="105">
        <f>H64*D64</f>
        <v>19560910.613367148</v>
      </c>
      <c r="P64" s="105">
        <f>I64*E64</f>
        <v>25466235.860079098</v>
      </c>
      <c r="Q64" s="105"/>
      <c r="R64" s="74">
        <f>R63</f>
        <v>0.3</v>
      </c>
      <c r="S64" s="74">
        <f>S63</f>
        <v>0.3</v>
      </c>
      <c r="T64" s="105"/>
      <c r="U64" s="102" t="s">
        <v>106</v>
      </c>
    </row>
    <row r="65" spans="1:26" outlineLevel="1" x14ac:dyDescent="0.2">
      <c r="A65" s="80">
        <f t="shared" si="0"/>
        <v>55</v>
      </c>
      <c r="B65" s="106" t="s">
        <v>74</v>
      </c>
      <c r="C65" s="107">
        <f>SUM(C63:C64)</f>
        <v>4673174</v>
      </c>
      <c r="D65" s="107">
        <f>SUM(D63:D64)</f>
        <v>4517887.0072913375</v>
      </c>
      <c r="E65" s="107">
        <f>SUM(E63:E64)</f>
        <v>4515508.9451899873</v>
      </c>
      <c r="G65" s="108"/>
      <c r="K65" s="132">
        <f>SUM(K63:K64)</f>
        <v>39559735.729999997</v>
      </c>
      <c r="L65" s="132">
        <f>SUM(L63:L64)</f>
        <v>38208735.172814287</v>
      </c>
      <c r="M65" s="132">
        <f>SUM(M63:M64)</f>
        <v>38173723.27584061</v>
      </c>
      <c r="N65" s="132"/>
      <c r="O65" s="132">
        <f>SUM(O63:O64)</f>
        <v>49671355.724658579</v>
      </c>
      <c r="P65" s="132">
        <f>SUM(P63:P64)</f>
        <v>64513592.336170644</v>
      </c>
    </row>
    <row r="66" spans="1:26" outlineLevel="1" x14ac:dyDescent="0.2">
      <c r="A66" s="80">
        <f t="shared" si="0"/>
        <v>56</v>
      </c>
      <c r="C66" s="104"/>
      <c r="D66" s="104"/>
      <c r="E66" s="104"/>
      <c r="G66" s="103"/>
      <c r="K66" s="124"/>
      <c r="L66" s="124"/>
      <c r="M66" s="124"/>
      <c r="N66" s="124"/>
      <c r="O66" s="124"/>
      <c r="P66" s="124"/>
      <c r="U66" s="74"/>
    </row>
    <row r="67" spans="1:26" outlineLevel="1" x14ac:dyDescent="0.2">
      <c r="A67" s="80">
        <f t="shared" si="0"/>
        <v>57</v>
      </c>
      <c r="B67" s="79" t="s">
        <v>108</v>
      </c>
      <c r="C67" s="104">
        <v>583427299</v>
      </c>
      <c r="D67" s="104">
        <v>571159840.78918433</v>
      </c>
      <c r="E67" s="104">
        <v>572748098.34600949</v>
      </c>
      <c r="F67" s="105"/>
      <c r="G67" s="133">
        <v>3.1800000000000001E-3</v>
      </c>
      <c r="H67" s="75">
        <f>G67*(1+R67)</f>
        <v>4.1340000000000005E-3</v>
      </c>
      <c r="I67" s="75">
        <f>H67*(1+S67)</f>
        <v>5.3742000000000009E-3</v>
      </c>
      <c r="J67" s="105"/>
      <c r="K67" s="105">
        <f>G67*C67</f>
        <v>1855298.81082</v>
      </c>
      <c r="L67" s="105">
        <f>G67*D67</f>
        <v>1816288.2937096062</v>
      </c>
      <c r="M67" s="105">
        <f>G67*E67</f>
        <v>1821338.9527403102</v>
      </c>
      <c r="N67" s="105"/>
      <c r="O67" s="105">
        <f>H67*D67</f>
        <v>2361174.7818224882</v>
      </c>
      <c r="P67" s="105">
        <f>I67*E67</f>
        <v>3078062.8301311247</v>
      </c>
      <c r="Q67" s="105"/>
      <c r="R67" s="72">
        <v>0.3</v>
      </c>
      <c r="S67" s="72">
        <f>R67</f>
        <v>0.3</v>
      </c>
      <c r="T67" s="105"/>
      <c r="U67" s="102" t="s">
        <v>109</v>
      </c>
    </row>
    <row r="68" spans="1:26" outlineLevel="1" x14ac:dyDescent="0.2">
      <c r="A68" s="80">
        <f t="shared" si="0"/>
        <v>58</v>
      </c>
      <c r="C68" s="104"/>
      <c r="D68" s="104"/>
      <c r="E68" s="104"/>
      <c r="G68" s="103"/>
      <c r="K68" s="124"/>
      <c r="L68" s="124"/>
      <c r="M68" s="124"/>
      <c r="N68" s="124"/>
      <c r="O68" s="124"/>
      <c r="P68" s="124"/>
    </row>
    <row r="69" spans="1:26" ht="12" outlineLevel="1" thickBot="1" x14ac:dyDescent="0.25">
      <c r="A69" s="80">
        <f t="shared" si="0"/>
        <v>59</v>
      </c>
      <c r="B69" s="79" t="s">
        <v>110</v>
      </c>
      <c r="C69" s="103"/>
      <c r="D69" s="103"/>
      <c r="E69" s="103"/>
      <c r="G69" s="103"/>
      <c r="K69" s="134">
        <f>SUM(K53,K61,K65,K67)</f>
        <v>272825579.98281199</v>
      </c>
      <c r="L69" s="134">
        <f>SUM(L53,L61,L65,L67)</f>
        <v>269454987.66446799</v>
      </c>
      <c r="M69" s="134">
        <f>SUM(M53,M61,M65,M67)</f>
        <v>270193139.92299938</v>
      </c>
      <c r="N69" s="134"/>
      <c r="O69" s="134">
        <f>SUM(O53,O61,O65,O67)</f>
        <v>342614151.03203207</v>
      </c>
      <c r="P69" s="134">
        <f>SUM(P53,P61,P65,P67)</f>
        <v>376483269.79820698</v>
      </c>
      <c r="R69" s="119">
        <v>342614151.03203213</v>
      </c>
      <c r="S69" s="119">
        <v>376483269.79820704</v>
      </c>
      <c r="T69" s="105"/>
    </row>
    <row r="70" spans="1:26" ht="12" outlineLevel="1" thickTop="1" x14ac:dyDescent="0.2">
      <c r="A70" s="80">
        <f t="shared" si="0"/>
        <v>60</v>
      </c>
      <c r="B70" s="102" t="s">
        <v>111</v>
      </c>
      <c r="C70" s="103"/>
      <c r="D70" s="103"/>
      <c r="E70" s="103"/>
      <c r="G70" s="103"/>
      <c r="K70" s="124"/>
      <c r="L70" s="124"/>
      <c r="M70" s="124"/>
      <c r="N70" s="124"/>
      <c r="O70" s="124"/>
      <c r="P70" s="124"/>
      <c r="R70" s="105">
        <f>R69-L69</f>
        <v>73159163.367564142</v>
      </c>
      <c r="S70" s="105">
        <f>S69-M69-R70</f>
        <v>33130966.507643521</v>
      </c>
      <c r="T70" s="105"/>
    </row>
    <row r="71" spans="1:26" outlineLevel="1" x14ac:dyDescent="0.2">
      <c r="A71" s="80">
        <f t="shared" si="0"/>
        <v>61</v>
      </c>
      <c r="B71" s="102" t="s">
        <v>112</v>
      </c>
      <c r="C71" s="103"/>
      <c r="D71" s="103"/>
      <c r="E71" s="103"/>
      <c r="K71" s="124"/>
      <c r="L71" s="124"/>
      <c r="M71" s="124"/>
      <c r="N71" s="124"/>
      <c r="O71" s="124"/>
      <c r="P71" s="124"/>
      <c r="R71" s="76">
        <f>(R70/L69)</f>
        <v>0.27150792049417821</v>
      </c>
      <c r="S71" s="76">
        <f>(S70/M69)</f>
        <v>0.12261956953120758</v>
      </c>
      <c r="T71" s="105"/>
    </row>
    <row r="72" spans="1:26" outlineLevel="1" x14ac:dyDescent="0.2">
      <c r="A72" s="80">
        <f t="shared" si="0"/>
        <v>62</v>
      </c>
      <c r="B72" s="122" t="s">
        <v>113</v>
      </c>
      <c r="C72" s="103">
        <v>0.39800024032592773</v>
      </c>
      <c r="D72" s="103"/>
      <c r="E72" s="103"/>
      <c r="K72" s="103">
        <v>5.0171880125999451</v>
      </c>
      <c r="L72" s="105">
        <v>0</v>
      </c>
      <c r="M72" s="105">
        <v>0</v>
      </c>
      <c r="N72" s="105"/>
      <c r="O72" s="124"/>
      <c r="P72" s="124"/>
      <c r="R72" s="105">
        <f>R69-O69</f>
        <v>0</v>
      </c>
      <c r="S72" s="105">
        <f>S69-P69</f>
        <v>0</v>
      </c>
      <c r="T72" s="124"/>
    </row>
    <row r="73" spans="1:26" ht="12.75" customHeight="1" outlineLevel="1" x14ac:dyDescent="0.2">
      <c r="A73" s="80">
        <f t="shared" si="0"/>
        <v>63</v>
      </c>
      <c r="B73" s="135" t="s">
        <v>161</v>
      </c>
      <c r="C73" s="103"/>
      <c r="D73" s="103"/>
      <c r="E73" s="103"/>
      <c r="G73" s="136">
        <f>ROUND(SUM(K55:K56)/SUM(C55:C56),6)</f>
        <v>8.6176000000000003E-2</v>
      </c>
      <c r="H73" s="136">
        <f>ROUND(SUM(O55:O56)/SUM(C55:C56),6)</f>
        <v>0.103829</v>
      </c>
      <c r="I73" s="136">
        <f>ROUND(SUM(P55:P56)/SUM(C55:C56),6)</f>
        <v>0.109113</v>
      </c>
      <c r="K73" s="103"/>
      <c r="L73" s="105"/>
      <c r="M73" s="105"/>
      <c r="N73" s="105"/>
      <c r="O73" s="137"/>
      <c r="P73" s="137"/>
      <c r="Q73" s="137"/>
      <c r="R73" s="137"/>
      <c r="S73" s="137"/>
      <c r="T73" s="137"/>
    </row>
    <row r="74" spans="1:26" ht="12" outlineLevel="1" thickBot="1" x14ac:dyDescent="0.25">
      <c r="A74" s="80">
        <f t="shared" si="0"/>
        <v>64</v>
      </c>
      <c r="B74" s="135" t="s">
        <v>114</v>
      </c>
      <c r="G74" s="138">
        <f>ROUND(K65/C65,2)</f>
        <v>8.4700000000000006</v>
      </c>
      <c r="H74" s="138">
        <f>ROUND(O65/D65,2)</f>
        <v>10.99</v>
      </c>
      <c r="I74" s="138">
        <f>ROUND(P65/E65,2)</f>
        <v>14.29</v>
      </c>
      <c r="R74" s="137"/>
      <c r="S74" s="137"/>
    </row>
    <row r="75" spans="1:26" ht="12" outlineLevel="1" thickTop="1" x14ac:dyDescent="0.2">
      <c r="A75" s="80">
        <f t="shared" si="0"/>
        <v>65</v>
      </c>
      <c r="B75" s="125"/>
      <c r="C75" s="126"/>
      <c r="D75" s="126"/>
      <c r="E75" s="126"/>
      <c r="F75" s="126"/>
      <c r="G75" s="127"/>
      <c r="H75" s="127"/>
      <c r="I75" s="127"/>
      <c r="J75" s="126"/>
      <c r="K75" s="126"/>
      <c r="L75" s="126"/>
      <c r="M75" s="126"/>
      <c r="N75" s="126"/>
      <c r="O75" s="126"/>
      <c r="P75" s="126"/>
      <c r="Q75" s="126"/>
      <c r="R75" s="139"/>
      <c r="S75" s="139"/>
      <c r="T75" s="126"/>
      <c r="U75" s="126"/>
    </row>
    <row r="76" spans="1:26" x14ac:dyDescent="0.2">
      <c r="A76" s="80">
        <f t="shared" ref="A76:A139" si="4">A75+1</f>
        <v>66</v>
      </c>
    </row>
    <row r="77" spans="1:26" x14ac:dyDescent="0.2">
      <c r="A77" s="80">
        <f t="shared" si="4"/>
        <v>67</v>
      </c>
      <c r="B77" s="100" t="s">
        <v>95</v>
      </c>
    </row>
    <row r="78" spans="1:26" x14ac:dyDescent="0.2">
      <c r="A78" s="80">
        <f t="shared" si="4"/>
        <v>68</v>
      </c>
      <c r="B78" s="102" t="s">
        <v>96</v>
      </c>
    </row>
    <row r="79" spans="1:26" x14ac:dyDescent="0.2">
      <c r="A79" s="80">
        <f t="shared" si="4"/>
        <v>69</v>
      </c>
      <c r="W79" s="80" t="s">
        <v>236</v>
      </c>
      <c r="X79" s="80" t="s">
        <v>237</v>
      </c>
      <c r="Y79" s="80" t="s">
        <v>236</v>
      </c>
      <c r="Z79" s="80" t="s">
        <v>237</v>
      </c>
    </row>
    <row r="80" spans="1:26" x14ac:dyDescent="0.2">
      <c r="A80" s="80">
        <f t="shared" si="4"/>
        <v>70</v>
      </c>
      <c r="B80" s="79" t="s">
        <v>35</v>
      </c>
      <c r="C80" s="103">
        <v>10443</v>
      </c>
      <c r="D80" s="103">
        <v>12832.950278385571</v>
      </c>
      <c r="E80" s="103">
        <v>14912.048410558225</v>
      </c>
      <c r="F80" s="105"/>
      <c r="G80" s="88">
        <v>109.08</v>
      </c>
      <c r="H80" s="71">
        <f>G80*(1+R80)</f>
        <v>141.804</v>
      </c>
      <c r="I80" s="71">
        <f>H80*(1+S80)</f>
        <v>184.34520000000001</v>
      </c>
      <c r="J80" s="105"/>
      <c r="K80" s="105">
        <f>G80*C80</f>
        <v>1139122.44</v>
      </c>
      <c r="L80" s="105">
        <f>G80*D80</f>
        <v>1399818.216366298</v>
      </c>
      <c r="M80" s="105">
        <f>G80*E80</f>
        <v>1626606.2406236911</v>
      </c>
      <c r="N80" s="105"/>
      <c r="O80" s="105">
        <f>H80*D80</f>
        <v>1819763.6812761875</v>
      </c>
      <c r="P80" s="105">
        <f>I80*E80</f>
        <v>2748964.5466540381</v>
      </c>
      <c r="Q80" s="105"/>
      <c r="R80" s="72">
        <v>0.3</v>
      </c>
      <c r="S80" s="72">
        <f>R80</f>
        <v>0.3</v>
      </c>
      <c r="U80" s="79" t="s">
        <v>97</v>
      </c>
      <c r="V80" s="79" t="s">
        <v>73</v>
      </c>
      <c r="W80" s="189">
        <f>O80+O129</f>
        <v>1832950.6941306368</v>
      </c>
      <c r="X80" s="267">
        <f>W80/W$83</f>
        <v>8.6707951337581541E-3</v>
      </c>
      <c r="Y80" s="189">
        <f>P80+P129</f>
        <v>2768885.0622606194</v>
      </c>
      <c r="Z80" s="267">
        <f>Y80/Y$83</f>
        <v>1.174342989422995E-2</v>
      </c>
    </row>
    <row r="81" spans="1:26" x14ac:dyDescent="0.2">
      <c r="A81" s="80">
        <f t="shared" si="4"/>
        <v>71</v>
      </c>
      <c r="B81" s="79" t="s">
        <v>98</v>
      </c>
      <c r="C81" s="103"/>
      <c r="D81" s="103"/>
      <c r="E81" s="103"/>
      <c r="F81" s="105"/>
      <c r="G81" s="131"/>
      <c r="H81" s="105"/>
      <c r="I81" s="105"/>
      <c r="J81" s="105"/>
      <c r="K81" s="124"/>
      <c r="L81" s="124"/>
      <c r="M81" s="124"/>
      <c r="N81" s="124"/>
      <c r="O81" s="124"/>
      <c r="P81" s="124"/>
      <c r="Q81" s="105"/>
      <c r="R81" s="105"/>
      <c r="S81" s="105"/>
      <c r="T81" s="105"/>
      <c r="U81" s="105"/>
      <c r="V81" s="79" t="s">
        <v>72</v>
      </c>
      <c r="W81" s="189">
        <f>O86+O135</f>
        <v>145629757.21666884</v>
      </c>
      <c r="X81" s="267">
        <f t="shared" ref="X81:Z82" si="5">W81/W$83</f>
        <v>0.68890330451773607</v>
      </c>
      <c r="Y81" s="189">
        <f>P86+P135</f>
        <v>148425990.88615006</v>
      </c>
      <c r="Z81" s="267">
        <f t="shared" si="5"/>
        <v>0.62950616557194439</v>
      </c>
    </row>
    <row r="82" spans="1:26" x14ac:dyDescent="0.2">
      <c r="A82" s="80">
        <f t="shared" si="4"/>
        <v>72</v>
      </c>
      <c r="B82" s="111" t="s">
        <v>99</v>
      </c>
      <c r="C82" s="103">
        <v>1799236030</v>
      </c>
      <c r="D82" s="103">
        <v>2001418768.871773</v>
      </c>
      <c r="E82" s="103">
        <v>2044052902.8306885</v>
      </c>
      <c r="F82" s="105"/>
      <c r="G82" s="112">
        <v>5.7457000000000001E-2</v>
      </c>
      <c r="H82" s="112">
        <f>G82+R82</f>
        <v>7.2321288221106006E-2</v>
      </c>
      <c r="I82" s="112">
        <f>H82+S82</f>
        <v>7.2172529847459185E-2</v>
      </c>
      <c r="J82" s="105"/>
      <c r="K82" s="105">
        <f>G82*C82</f>
        <v>103378704.57571</v>
      </c>
      <c r="L82" s="105">
        <f>G82*D82</f>
        <v>114995518.20306547</v>
      </c>
      <c r="M82" s="105">
        <f>G82*E82</f>
        <v>117445147.63794287</v>
      </c>
      <c r="N82" s="105"/>
      <c r="O82" s="105">
        <f>H82*D82</f>
        <v>144745183.63470665</v>
      </c>
      <c r="P82" s="105">
        <f>I82*E82</f>
        <v>147524469.13933346</v>
      </c>
      <c r="Q82" s="105"/>
      <c r="R82" s="112">
        <f>(R95-(O80-L80)-(O90-L90)-(O92-L92)-(O114-L114)-(O129-L129)-(O139-L139)-(O143-L143))/(D86+D135)</f>
        <v>1.4864288221106001E-2</v>
      </c>
      <c r="S82" s="112">
        <f>((S95+R95)-(P80-M80)-(P90-M90)-(P92-M92)-(P114-M114)-(P129-M129)-(P139-M139)-(P143-M143))/(E86+E135)-R82</f>
        <v>-1.4875837364682239E-4</v>
      </c>
      <c r="U82" s="102" t="s">
        <v>100</v>
      </c>
      <c r="V82" s="79" t="s">
        <v>71</v>
      </c>
      <c r="W82" s="189">
        <f>O90+O92+O114+O139+O143</f>
        <v>63930903.154277883</v>
      </c>
      <c r="X82" s="267">
        <f t="shared" si="5"/>
        <v>0.30242590034850581</v>
      </c>
      <c r="Y82" s="189">
        <f>P90+P92+P114+P139+P143</f>
        <v>84586755.755380645</v>
      </c>
      <c r="Z82" s="267">
        <f t="shared" si="5"/>
        <v>0.35875040453382573</v>
      </c>
    </row>
    <row r="83" spans="1:26" x14ac:dyDescent="0.2">
      <c r="A83" s="80">
        <f t="shared" si="4"/>
        <v>73</v>
      </c>
      <c r="B83" s="106" t="s">
        <v>74</v>
      </c>
      <c r="C83" s="129">
        <f>SUM(C82:C82)</f>
        <v>1799236030</v>
      </c>
      <c r="D83" s="129">
        <f>SUM(D82:D82)</f>
        <v>2001418768.871773</v>
      </c>
      <c r="E83" s="129">
        <f>SUM(E82:E82)</f>
        <v>2044052902.8306885</v>
      </c>
      <c r="F83" s="105"/>
      <c r="G83" s="140"/>
      <c r="H83" s="105"/>
      <c r="I83" s="105"/>
      <c r="J83" s="105"/>
      <c r="K83" s="132">
        <f>SUM(K82:K82)</f>
        <v>103378704.57571</v>
      </c>
      <c r="L83" s="132">
        <f>SUM(L82:L82)</f>
        <v>114995518.20306547</v>
      </c>
      <c r="M83" s="132">
        <f>SUM(M82:M82)</f>
        <v>117445147.63794287</v>
      </c>
      <c r="N83" s="132"/>
      <c r="O83" s="132">
        <f>SUM(O82:O82)</f>
        <v>144745183.63470665</v>
      </c>
      <c r="P83" s="132">
        <f>SUM(P82:P82)</f>
        <v>147524469.13933346</v>
      </c>
      <c r="Q83" s="105"/>
      <c r="R83" s="105"/>
      <c r="S83" s="105"/>
      <c r="T83" s="105"/>
      <c r="U83" s="105"/>
      <c r="W83" s="189">
        <f>SUM(W80:W82)</f>
        <v>211393611.06507736</v>
      </c>
      <c r="Y83" s="189">
        <f>SUM(Y80:Y82)</f>
        <v>235781631.70379132</v>
      </c>
    </row>
    <row r="84" spans="1:26" x14ac:dyDescent="0.2">
      <c r="A84" s="80">
        <f t="shared" si="4"/>
        <v>74</v>
      </c>
      <c r="B84" s="111" t="s">
        <v>101</v>
      </c>
      <c r="C84" s="103">
        <v>-11237911.493177326</v>
      </c>
      <c r="D84" s="115" t="s">
        <v>102</v>
      </c>
      <c r="E84" s="115"/>
      <c r="F84" s="105"/>
      <c r="G84" s="73">
        <f>K84/C84</f>
        <v>8.4230686509203997E-2</v>
      </c>
      <c r="H84" s="105"/>
      <c r="I84" s="105"/>
      <c r="J84" s="105"/>
      <c r="K84" s="124">
        <v>-946577</v>
      </c>
      <c r="L84" s="105">
        <f>G84*D84</f>
        <v>0</v>
      </c>
      <c r="M84" s="105">
        <f>G84*E84</f>
        <v>0</v>
      </c>
      <c r="N84" s="105"/>
      <c r="O84" s="105">
        <f>H84*D84</f>
        <v>0</v>
      </c>
      <c r="P84" s="105">
        <f>I84*E84</f>
        <v>0</v>
      </c>
      <c r="Q84" s="105"/>
      <c r="R84" s="105"/>
      <c r="S84" s="105"/>
      <c r="T84" s="105"/>
      <c r="U84" s="105"/>
    </row>
    <row r="85" spans="1:26" ht="11.25" customHeight="1" x14ac:dyDescent="0.2">
      <c r="A85" s="80">
        <f t="shared" si="4"/>
        <v>75</v>
      </c>
      <c r="B85" s="114" t="s">
        <v>103</v>
      </c>
      <c r="C85" s="103">
        <v>13270755</v>
      </c>
      <c r="D85" s="115" t="s">
        <v>102</v>
      </c>
      <c r="E85" s="115"/>
      <c r="F85" s="105"/>
      <c r="G85" s="73">
        <f>K85/C85</f>
        <v>8.2366376291326301E-2</v>
      </c>
      <c r="H85" s="105"/>
      <c r="I85" s="105"/>
      <c r="J85" s="105"/>
      <c r="K85" s="124">
        <v>1093064</v>
      </c>
      <c r="L85" s="105">
        <f>G85*D85</f>
        <v>0</v>
      </c>
      <c r="M85" s="105">
        <f>G85*E85</f>
        <v>0</v>
      </c>
      <c r="N85" s="105"/>
      <c r="O85" s="105">
        <f>H85*D85</f>
        <v>0</v>
      </c>
      <c r="P85" s="105">
        <f>I85*E85</f>
        <v>0</v>
      </c>
      <c r="Q85" s="105"/>
      <c r="R85" s="105"/>
      <c r="S85" s="105"/>
      <c r="T85" s="105"/>
      <c r="U85" s="105"/>
    </row>
    <row r="86" spans="1:26" x14ac:dyDescent="0.2">
      <c r="A86" s="80">
        <f t="shared" si="4"/>
        <v>76</v>
      </c>
      <c r="B86" s="106" t="s">
        <v>74</v>
      </c>
      <c r="C86" s="129">
        <f>SUM(C83:C85)</f>
        <v>1801268873.5068226</v>
      </c>
      <c r="D86" s="129">
        <f>SUM(D83:D85)</f>
        <v>2001418768.871773</v>
      </c>
      <c r="E86" s="129">
        <f>SUM(E83:E85)</f>
        <v>2044052902.8306885</v>
      </c>
      <c r="F86" s="105"/>
      <c r="H86" s="105"/>
      <c r="I86" s="105"/>
      <c r="J86" s="105"/>
      <c r="K86" s="132">
        <f>SUM(K83:K85)</f>
        <v>103525191.57571</v>
      </c>
      <c r="L86" s="132">
        <f>SUM(L83:L85)</f>
        <v>114995518.20306547</v>
      </c>
      <c r="M86" s="132">
        <f>SUM(M83:M85)</f>
        <v>117445147.63794287</v>
      </c>
      <c r="N86" s="132"/>
      <c r="O86" s="132">
        <f>SUM(O83:O85)</f>
        <v>144745183.63470665</v>
      </c>
      <c r="P86" s="132">
        <f>SUM(P83:P85)</f>
        <v>147524469.13933346</v>
      </c>
      <c r="Q86" s="105"/>
      <c r="R86" s="105"/>
      <c r="S86" s="105"/>
      <c r="T86" s="105"/>
      <c r="U86" s="105"/>
    </row>
    <row r="87" spans="1:26" x14ac:dyDescent="0.2">
      <c r="A87" s="80">
        <f t="shared" si="4"/>
        <v>77</v>
      </c>
      <c r="B87" s="79" t="s">
        <v>104</v>
      </c>
      <c r="C87" s="103"/>
      <c r="D87" s="103"/>
      <c r="E87" s="103"/>
      <c r="F87" s="105"/>
      <c r="G87" s="108"/>
      <c r="H87" s="105"/>
      <c r="I87" s="105"/>
      <c r="J87" s="105"/>
      <c r="K87" s="124"/>
      <c r="L87" s="124"/>
      <c r="M87" s="124"/>
      <c r="N87" s="124"/>
      <c r="O87" s="124"/>
      <c r="P87" s="124"/>
      <c r="Q87" s="105"/>
      <c r="R87" s="105"/>
      <c r="S87" s="105"/>
      <c r="T87" s="105"/>
      <c r="U87" s="105"/>
    </row>
    <row r="88" spans="1:26" x14ac:dyDescent="0.2">
      <c r="A88" s="80">
        <f t="shared" si="4"/>
        <v>78</v>
      </c>
      <c r="B88" s="111" t="s">
        <v>105</v>
      </c>
      <c r="C88" s="103">
        <v>2145569</v>
      </c>
      <c r="D88" s="103">
        <v>2204133.5296230405</v>
      </c>
      <c r="E88" s="103">
        <v>2242797.6603778745</v>
      </c>
      <c r="F88" s="105"/>
      <c r="G88" s="88">
        <v>12.23</v>
      </c>
      <c r="H88" s="71">
        <f>G88*(1+R88)</f>
        <v>15.899000000000001</v>
      </c>
      <c r="I88" s="71">
        <f>H88*(1+S88)</f>
        <v>20.668700000000001</v>
      </c>
      <c r="J88" s="105"/>
      <c r="K88" s="105">
        <f>G88*C88</f>
        <v>26240308.870000001</v>
      </c>
      <c r="L88" s="105">
        <f>G88*D88</f>
        <v>26956553.067289785</v>
      </c>
      <c r="M88" s="105">
        <f>G88*E88</f>
        <v>27429415.386421405</v>
      </c>
      <c r="N88" s="105"/>
      <c r="O88" s="105">
        <f>H88*D88</f>
        <v>35043518.987476721</v>
      </c>
      <c r="P88" s="105">
        <f>I88*E88</f>
        <v>46355712.003052175</v>
      </c>
      <c r="Q88" s="105"/>
      <c r="R88" s="72">
        <v>0.3</v>
      </c>
      <c r="S88" s="72">
        <f>R88</f>
        <v>0.3</v>
      </c>
      <c r="T88" s="105"/>
      <c r="U88" s="102" t="s">
        <v>106</v>
      </c>
    </row>
    <row r="89" spans="1:26" x14ac:dyDescent="0.2">
      <c r="A89" s="80">
        <f t="shared" si="4"/>
        <v>79</v>
      </c>
      <c r="B89" s="111" t="s">
        <v>107</v>
      </c>
      <c r="C89" s="103">
        <v>2227459</v>
      </c>
      <c r="D89" s="103">
        <v>2310653.8082797262</v>
      </c>
      <c r="E89" s="103">
        <v>2352216.0436157929</v>
      </c>
      <c r="F89" s="105"/>
      <c r="G89" s="88">
        <v>8.15</v>
      </c>
      <c r="H89" s="71">
        <f>G89*(1+R89)</f>
        <v>10.595000000000001</v>
      </c>
      <c r="I89" s="71">
        <f>H89*(1+S89)</f>
        <v>13.773500000000002</v>
      </c>
      <c r="J89" s="105"/>
      <c r="K89" s="105">
        <f>G89*C89</f>
        <v>18153790.850000001</v>
      </c>
      <c r="L89" s="105">
        <f>G89*D89</f>
        <v>18831828.537479769</v>
      </c>
      <c r="M89" s="105">
        <f>G89*E89</f>
        <v>19170560.755468711</v>
      </c>
      <c r="N89" s="105"/>
      <c r="O89" s="105">
        <f>H89*D89</f>
        <v>24481377.098723702</v>
      </c>
      <c r="P89" s="105">
        <f>I89*E89</f>
        <v>32398247.676742129</v>
      </c>
      <c r="Q89" s="105"/>
      <c r="R89" s="74">
        <f>R88</f>
        <v>0.3</v>
      </c>
      <c r="S89" s="74">
        <f>S88</f>
        <v>0.3</v>
      </c>
      <c r="T89" s="105"/>
      <c r="U89" s="102" t="s">
        <v>106</v>
      </c>
    </row>
    <row r="90" spans="1:26" x14ac:dyDescent="0.2">
      <c r="A90" s="80">
        <f t="shared" si="4"/>
        <v>80</v>
      </c>
      <c r="B90" s="106" t="s">
        <v>74</v>
      </c>
      <c r="C90" s="129">
        <f>SUM(C88:C89)</f>
        <v>4373028</v>
      </c>
      <c r="D90" s="129">
        <f>SUM(D88:D89)</f>
        <v>4514787.3379027667</v>
      </c>
      <c r="E90" s="129">
        <f>SUM(E88:E89)</f>
        <v>4595013.7039936669</v>
      </c>
      <c r="F90" s="105"/>
      <c r="G90" s="108"/>
      <c r="K90" s="132">
        <f>SUM(K88:K89)</f>
        <v>44394099.719999999</v>
      </c>
      <c r="L90" s="132">
        <f>SUM(L88:L89)</f>
        <v>45788381.604769558</v>
      </c>
      <c r="M90" s="132">
        <f>SUM(M88:M89)</f>
        <v>46599976.141890116</v>
      </c>
      <c r="N90" s="132"/>
      <c r="O90" s="132">
        <f>SUM(O88:O89)</f>
        <v>59524896.086200424</v>
      </c>
      <c r="P90" s="132">
        <f>SUM(P88:P89)</f>
        <v>78753959.679794312</v>
      </c>
    </row>
    <row r="91" spans="1:26" x14ac:dyDescent="0.2">
      <c r="A91" s="80">
        <f t="shared" si="4"/>
        <v>81</v>
      </c>
      <c r="C91" s="103"/>
      <c r="D91" s="103"/>
      <c r="E91" s="103"/>
      <c r="F91" s="105"/>
      <c r="G91" s="103"/>
      <c r="K91" s="124"/>
      <c r="L91" s="124"/>
      <c r="M91" s="124"/>
      <c r="N91" s="124"/>
      <c r="O91" s="124"/>
      <c r="P91" s="124"/>
      <c r="U91" s="74"/>
    </row>
    <row r="92" spans="1:26" x14ac:dyDescent="0.2">
      <c r="A92" s="80">
        <f t="shared" si="4"/>
        <v>82</v>
      </c>
      <c r="B92" s="79" t="s">
        <v>108</v>
      </c>
      <c r="C92" s="103">
        <v>716546266</v>
      </c>
      <c r="D92" s="103">
        <v>798755476.69555104</v>
      </c>
      <c r="E92" s="103">
        <v>814488448.04873681</v>
      </c>
      <c r="F92" s="105"/>
      <c r="G92" s="133">
        <v>1.2999999999999999E-3</v>
      </c>
      <c r="H92" s="75">
        <f>G92*(1+R92)</f>
        <v>1.6899999999999999E-3</v>
      </c>
      <c r="I92" s="75">
        <f>H92*(1+S92)</f>
        <v>2.1969999999999997E-3</v>
      </c>
      <c r="J92" s="105"/>
      <c r="K92" s="105">
        <f>G92*C92</f>
        <v>931510.14579999994</v>
      </c>
      <c r="L92" s="105">
        <f>G92*D92</f>
        <v>1038382.1197042163</v>
      </c>
      <c r="M92" s="105">
        <f>G92*E92</f>
        <v>1058834.9824633577</v>
      </c>
      <c r="N92" s="105"/>
      <c r="O92" s="105">
        <f>H92*D92</f>
        <v>1349896.7556154812</v>
      </c>
      <c r="P92" s="105">
        <f>I92*E92</f>
        <v>1789431.1203630746</v>
      </c>
      <c r="Q92" s="105"/>
      <c r="R92" s="72">
        <v>0.3</v>
      </c>
      <c r="S92" s="72">
        <f>R92</f>
        <v>0.3</v>
      </c>
      <c r="T92" s="105"/>
      <c r="U92" s="102" t="s">
        <v>109</v>
      </c>
    </row>
    <row r="93" spans="1:26" x14ac:dyDescent="0.2">
      <c r="A93" s="80">
        <f t="shared" si="4"/>
        <v>83</v>
      </c>
      <c r="C93" s="103"/>
      <c r="D93" s="103"/>
      <c r="E93" s="103"/>
      <c r="G93" s="103"/>
      <c r="K93" s="124"/>
      <c r="L93" s="124"/>
      <c r="M93" s="124"/>
      <c r="N93" s="124"/>
      <c r="O93" s="124"/>
      <c r="P93" s="124"/>
    </row>
    <row r="94" spans="1:26" ht="12" thickBot="1" x14ac:dyDescent="0.25">
      <c r="A94" s="80">
        <f t="shared" si="4"/>
        <v>84</v>
      </c>
      <c r="B94" s="79" t="s">
        <v>110</v>
      </c>
      <c r="C94" s="103"/>
      <c r="D94" s="103"/>
      <c r="E94" s="103"/>
      <c r="G94" s="103"/>
      <c r="K94" s="134">
        <f>SUM(K80,K86,K90,K92)</f>
        <v>149989923.88150999</v>
      </c>
      <c r="L94" s="134">
        <f>SUM(L80,L86,L90,L92)</f>
        <v>163222100.14390555</v>
      </c>
      <c r="M94" s="134">
        <f>SUM(M80,M86,M90,M92)</f>
        <v>166730565.00292003</v>
      </c>
      <c r="N94" s="134"/>
      <c r="O94" s="134">
        <f>SUM(O80,O86,O90,O92)</f>
        <v>207439740.15779874</v>
      </c>
      <c r="P94" s="134">
        <f>SUM(P80,P86,P90,P92)</f>
        <v>230816824.4861449</v>
      </c>
      <c r="R94" s="119">
        <v>211393611.06507736</v>
      </c>
      <c r="S94" s="119">
        <v>235781631.70379132</v>
      </c>
    </row>
    <row r="95" spans="1:26" ht="12" thickTop="1" x14ac:dyDescent="0.2">
      <c r="A95" s="80">
        <f t="shared" si="4"/>
        <v>85</v>
      </c>
      <c r="B95" s="102" t="s">
        <v>111</v>
      </c>
      <c r="C95" s="103"/>
      <c r="D95" s="103">
        <f>D88+D105+D137</f>
        <v>2331009.3131973753</v>
      </c>
      <c r="E95" s="103"/>
      <c r="G95" s="103"/>
      <c r="K95" s="124"/>
      <c r="L95" s="124"/>
      <c r="M95" s="124"/>
      <c r="N95" s="124"/>
      <c r="O95" s="124"/>
      <c r="P95" s="124"/>
      <c r="R95" s="105">
        <f>R94-L94-L114-L145</f>
        <v>45146023.669125237</v>
      </c>
      <c r="S95" s="105">
        <f>S94-M94-M114-M145-R95</f>
        <v>20821961.690108314</v>
      </c>
      <c r="T95" s="105"/>
    </row>
    <row r="96" spans="1:26" x14ac:dyDescent="0.2">
      <c r="A96" s="80">
        <f t="shared" si="4"/>
        <v>86</v>
      </c>
      <c r="B96" s="102" t="s">
        <v>112</v>
      </c>
      <c r="C96" s="103"/>
      <c r="D96" s="103">
        <f>D89+D106+D138</f>
        <v>2434061.2933041384</v>
      </c>
      <c r="E96" s="103"/>
      <c r="K96" s="124"/>
      <c r="L96" s="124"/>
      <c r="M96" s="124"/>
      <c r="N96" s="124"/>
      <c r="O96" s="124"/>
      <c r="P96" s="124"/>
      <c r="R96" s="76">
        <f>R95/L94</f>
        <v>0.27659259150153093</v>
      </c>
      <c r="S96" s="76">
        <f>S95/M94</f>
        <v>0.12488389090352839</v>
      </c>
      <c r="T96" s="105"/>
    </row>
    <row r="97" spans="1:21" x14ac:dyDescent="0.2">
      <c r="A97" s="80">
        <f t="shared" si="4"/>
        <v>87</v>
      </c>
      <c r="B97" s="122" t="s">
        <v>113</v>
      </c>
      <c r="C97" s="103">
        <v>-0.59200000762939453</v>
      </c>
      <c r="D97" s="103"/>
      <c r="E97" s="103"/>
      <c r="K97" s="103">
        <v>1.1184900235384703</v>
      </c>
      <c r="L97" s="105">
        <v>-1.5366822481155396E-8</v>
      </c>
      <c r="M97" s="105">
        <v>-1.1641532182693481E-8</v>
      </c>
      <c r="N97" s="124"/>
      <c r="O97" s="124"/>
      <c r="P97" s="124"/>
      <c r="R97" s="105">
        <f>R94-O94-O114-O145</f>
        <v>-6.0535967350006104E-9</v>
      </c>
      <c r="S97" s="105">
        <f>S94-P94-P114-P145</f>
        <v>-3.3527612686157227E-8</v>
      </c>
      <c r="T97" s="124"/>
    </row>
    <row r="98" spans="1:21" ht="12" thickBot="1" x14ac:dyDescent="0.25">
      <c r="A98" s="80">
        <f t="shared" si="4"/>
        <v>88</v>
      </c>
      <c r="B98" s="135" t="s">
        <v>114</v>
      </c>
      <c r="D98" s="103"/>
      <c r="E98" s="103"/>
      <c r="G98" s="138">
        <f>ROUND(SUM(K90)/SUM(C90),2)</f>
        <v>10.15</v>
      </c>
      <c r="H98" s="138">
        <f>ROUND(SUM(O90)/SUM(C90),2)</f>
        <v>13.61</v>
      </c>
      <c r="I98" s="138">
        <f>ROUND(SUM(P90)/SUM(C90),2)</f>
        <v>18.010000000000002</v>
      </c>
      <c r="N98" s="124"/>
    </row>
    <row r="99" spans="1:21" ht="12" thickTop="1" x14ac:dyDescent="0.2">
      <c r="A99" s="80">
        <f t="shared" si="4"/>
        <v>89</v>
      </c>
      <c r="B99" s="125"/>
      <c r="C99" s="126"/>
      <c r="D99" s="126"/>
      <c r="E99" s="126"/>
      <c r="F99" s="126"/>
      <c r="G99" s="127"/>
      <c r="H99" s="127"/>
      <c r="I99" s="127"/>
      <c r="J99" s="126"/>
      <c r="K99" s="126"/>
      <c r="L99" s="126"/>
      <c r="M99" s="126"/>
      <c r="N99" s="124"/>
      <c r="O99" s="126"/>
      <c r="P99" s="126"/>
      <c r="Q99" s="126"/>
      <c r="R99" s="126"/>
      <c r="S99" s="126"/>
      <c r="T99" s="126"/>
      <c r="U99" s="126"/>
    </row>
    <row r="100" spans="1:21" x14ac:dyDescent="0.2">
      <c r="A100" s="80">
        <f t="shared" si="4"/>
        <v>90</v>
      </c>
      <c r="B100" s="102"/>
    </row>
    <row r="101" spans="1:21" x14ac:dyDescent="0.2">
      <c r="A101" s="80">
        <f t="shared" si="4"/>
        <v>91</v>
      </c>
      <c r="B101" s="100" t="s">
        <v>115</v>
      </c>
    </row>
    <row r="102" spans="1:21" x14ac:dyDescent="0.2">
      <c r="A102" s="80">
        <f t="shared" si="4"/>
        <v>92</v>
      </c>
      <c r="B102" s="102" t="s">
        <v>96</v>
      </c>
    </row>
    <row r="103" spans="1:21" x14ac:dyDescent="0.2">
      <c r="A103" s="80">
        <f t="shared" si="4"/>
        <v>93</v>
      </c>
    </row>
    <row r="104" spans="1:21" x14ac:dyDescent="0.2">
      <c r="A104" s="80">
        <f t="shared" si="4"/>
        <v>94</v>
      </c>
      <c r="B104" s="79" t="s">
        <v>116</v>
      </c>
      <c r="C104" s="103"/>
      <c r="F104" s="105"/>
      <c r="G104" s="108"/>
      <c r="H104" s="105"/>
      <c r="I104" s="105"/>
      <c r="J104" s="105"/>
      <c r="K104" s="124"/>
      <c r="L104" s="124"/>
      <c r="M104" s="124"/>
      <c r="N104" s="124"/>
      <c r="O104" s="124"/>
      <c r="P104" s="124"/>
      <c r="Q104" s="105"/>
      <c r="R104" s="105"/>
      <c r="S104" s="105"/>
      <c r="T104" s="105"/>
      <c r="U104" s="105"/>
    </row>
    <row r="105" spans="1:21" x14ac:dyDescent="0.2">
      <c r="A105" s="80">
        <f t="shared" si="4"/>
        <v>95</v>
      </c>
      <c r="B105" s="111" t="s">
        <v>105</v>
      </c>
      <c r="C105" s="103">
        <v>97882</v>
      </c>
      <c r="D105" s="103">
        <v>110140.17513922267</v>
      </c>
      <c r="E105" s="103">
        <v>112072.21513394637</v>
      </c>
      <c r="F105" s="105"/>
      <c r="G105" s="88">
        <v>5.79</v>
      </c>
      <c r="H105" s="71">
        <f>H88-H110</f>
        <v>8.7444500000000005</v>
      </c>
      <c r="I105" s="71">
        <f>I88-I110</f>
        <v>11.367785</v>
      </c>
      <c r="J105" s="105"/>
      <c r="K105" s="105">
        <f>G105*C105</f>
        <v>566736.78</v>
      </c>
      <c r="L105" s="105">
        <f>G105*D105</f>
        <v>637711.61405609932</v>
      </c>
      <c r="M105" s="105">
        <f>G105*E105</f>
        <v>648898.12562554947</v>
      </c>
      <c r="N105" s="105"/>
      <c r="O105" s="105">
        <f>H105*D105</f>
        <v>963115.2544961758</v>
      </c>
      <c r="P105" s="105">
        <f>I105*E105</f>
        <v>1274012.8461164485</v>
      </c>
      <c r="Q105" s="105"/>
      <c r="R105" s="72"/>
      <c r="S105" s="72"/>
      <c r="T105" s="105"/>
      <c r="U105" s="105"/>
    </row>
    <row r="106" spans="1:21" x14ac:dyDescent="0.2">
      <c r="A106" s="80">
        <f t="shared" si="4"/>
        <v>96</v>
      </c>
      <c r="B106" s="111" t="s">
        <v>107</v>
      </c>
      <c r="C106" s="103">
        <v>97918</v>
      </c>
      <c r="D106" s="103">
        <v>111217.80136788196</v>
      </c>
      <c r="E106" s="103">
        <v>113218.30028184659</v>
      </c>
      <c r="F106" s="105"/>
      <c r="G106" s="88">
        <v>3.86</v>
      </c>
      <c r="H106" s="71">
        <f>H89-H111</f>
        <v>5.8272500000000003</v>
      </c>
      <c r="I106" s="71">
        <f>I89-I111</f>
        <v>7.575425000000001</v>
      </c>
      <c r="J106" s="105"/>
      <c r="K106" s="105">
        <f>G106*C106</f>
        <v>377963.48</v>
      </c>
      <c r="L106" s="105">
        <f>G106*D106</f>
        <v>429300.71328002436</v>
      </c>
      <c r="M106" s="105">
        <f>G106*E106</f>
        <v>437022.63908792782</v>
      </c>
      <c r="N106" s="105"/>
      <c r="O106" s="105">
        <f>H106*D106</f>
        <v>648093.93302099011</v>
      </c>
      <c r="P106" s="105">
        <f>I106*E106</f>
        <v>857676.74241260777</v>
      </c>
      <c r="Q106" s="105"/>
      <c r="R106" s="72"/>
      <c r="S106" s="72"/>
      <c r="T106" s="105"/>
      <c r="U106" s="105"/>
    </row>
    <row r="107" spans="1:21" x14ac:dyDescent="0.2">
      <c r="A107" s="80">
        <f t="shared" si="4"/>
        <v>97</v>
      </c>
      <c r="B107" s="106" t="s">
        <v>74</v>
      </c>
      <c r="C107" s="129">
        <f>SUM(C105:C106)</f>
        <v>195800</v>
      </c>
      <c r="D107" s="129">
        <f>SUM(D105:D106)</f>
        <v>221357.97650710464</v>
      </c>
      <c r="E107" s="129">
        <f>SUM(E105:E106)</f>
        <v>225290.51541579296</v>
      </c>
      <c r="F107" s="105"/>
      <c r="G107" s="108"/>
      <c r="H107" s="105"/>
      <c r="I107" s="105"/>
      <c r="J107" s="105"/>
      <c r="K107" s="132">
        <f>SUM(K105:K106)</f>
        <v>944700.26</v>
      </c>
      <c r="L107" s="132">
        <f>SUM(L105:L106)</f>
        <v>1067012.3273361237</v>
      </c>
      <c r="M107" s="132">
        <f>SUM(M105:M106)</f>
        <v>1085920.7647134773</v>
      </c>
      <c r="N107" s="132"/>
      <c r="O107" s="132">
        <f>SUM(O105:O106)</f>
        <v>1611209.1875171659</v>
      </c>
      <c r="P107" s="132">
        <f>SUM(P105:P106)</f>
        <v>2131689.5885290564</v>
      </c>
      <c r="Q107" s="105"/>
      <c r="R107" s="72"/>
      <c r="S107" s="72"/>
      <c r="T107" s="105"/>
      <c r="U107" s="105"/>
    </row>
    <row r="108" spans="1:21" x14ac:dyDescent="0.2">
      <c r="A108" s="80">
        <f t="shared" si="4"/>
        <v>98</v>
      </c>
      <c r="B108" s="106"/>
      <c r="C108" s="103"/>
      <c r="D108" s="103"/>
      <c r="E108" s="103"/>
      <c r="F108" s="105"/>
      <c r="G108" s="108"/>
      <c r="H108" s="105"/>
      <c r="I108" s="105"/>
      <c r="J108" s="105"/>
      <c r="K108" s="124"/>
      <c r="L108" s="124"/>
      <c r="M108" s="124"/>
      <c r="N108" s="124"/>
      <c r="O108" s="124"/>
      <c r="P108" s="124"/>
      <c r="Q108" s="105"/>
      <c r="R108" s="72"/>
      <c r="S108" s="72"/>
      <c r="T108" s="105"/>
      <c r="U108" s="105"/>
    </row>
    <row r="109" spans="1:21" x14ac:dyDescent="0.2">
      <c r="A109" s="80">
        <f t="shared" si="4"/>
        <v>99</v>
      </c>
      <c r="B109" s="79" t="s">
        <v>117</v>
      </c>
      <c r="C109" s="103"/>
      <c r="D109" s="103"/>
      <c r="E109" s="103"/>
      <c r="F109" s="105"/>
      <c r="G109" s="108"/>
      <c r="H109" s="105"/>
      <c r="I109" s="105"/>
      <c r="J109" s="105"/>
      <c r="K109" s="124"/>
      <c r="L109" s="124"/>
      <c r="M109" s="124"/>
      <c r="N109" s="124"/>
      <c r="O109" s="124"/>
      <c r="P109" s="124"/>
      <c r="Q109" s="105"/>
      <c r="R109" s="72"/>
      <c r="S109" s="72"/>
      <c r="T109" s="105"/>
      <c r="U109" s="105"/>
    </row>
    <row r="110" spans="1:21" x14ac:dyDescent="0.2">
      <c r="A110" s="80">
        <f t="shared" si="4"/>
        <v>100</v>
      </c>
      <c r="B110" s="111" t="s">
        <v>105</v>
      </c>
      <c r="C110" s="103">
        <v>73992</v>
      </c>
      <c r="D110" s="103">
        <v>83258.329814484416</v>
      </c>
      <c r="E110" s="103">
        <v>84718.817986871538</v>
      </c>
      <c r="F110" s="105"/>
      <c r="G110" s="88">
        <v>6.44</v>
      </c>
      <c r="H110" s="71">
        <f>IF(SUM(L118:L119)&gt;45%,$H$88*R110,$H$88*SUM(L118:L119))</f>
        <v>7.1545500000000004</v>
      </c>
      <c r="I110" s="71">
        <f>IF(SUM(M118:M119)&gt;45%,$I$88*S110,$I$88*SUM(M118:M119))</f>
        <v>9.3009150000000016</v>
      </c>
      <c r="J110" s="105"/>
      <c r="K110" s="105">
        <f>G110*C110</f>
        <v>476508.48000000004</v>
      </c>
      <c r="L110" s="105">
        <f>G110*D110</f>
        <v>536183.64400527964</v>
      </c>
      <c r="M110" s="105">
        <f>G110*E110</f>
        <v>545589.18783545273</v>
      </c>
      <c r="N110" s="105"/>
      <c r="O110" s="105">
        <f>H110*D110</f>
        <v>595675.88357421954</v>
      </c>
      <c r="P110" s="105">
        <f>I110*E110</f>
        <v>787962.52499636344</v>
      </c>
      <c r="Q110" s="105"/>
      <c r="R110" s="76">
        <v>0.45</v>
      </c>
      <c r="S110" s="76">
        <f>R110</f>
        <v>0.45</v>
      </c>
      <c r="T110" s="105"/>
      <c r="U110" s="79" t="s">
        <v>118</v>
      </c>
    </row>
    <row r="111" spans="1:21" x14ac:dyDescent="0.2">
      <c r="A111" s="80">
        <f t="shared" si="4"/>
        <v>101</v>
      </c>
      <c r="B111" s="111" t="s">
        <v>107</v>
      </c>
      <c r="C111" s="103">
        <v>84471</v>
      </c>
      <c r="D111" s="103">
        <v>95944.350368127998</v>
      </c>
      <c r="E111" s="103">
        <v>97670.122379009597</v>
      </c>
      <c r="F111" s="105"/>
      <c r="G111" s="88">
        <v>4.29</v>
      </c>
      <c r="H111" s="71">
        <f>IF(SUM(L118:L119)&gt;45%,$H$89*R111,$H$89*SUM(L118:L119))</f>
        <v>4.7677500000000004</v>
      </c>
      <c r="I111" s="71">
        <f>IF(SUM(M118:M119)&gt;45%,$I$89*S111,$I$89*SUM(M118:M119))</f>
        <v>6.1980750000000011</v>
      </c>
      <c r="J111" s="105"/>
      <c r="K111" s="105">
        <f>G111*C111</f>
        <v>362380.59</v>
      </c>
      <c r="L111" s="105">
        <f>G111*D111</f>
        <v>411601.26307926909</v>
      </c>
      <c r="M111" s="105">
        <f>G111*E111</f>
        <v>419004.82500595116</v>
      </c>
      <c r="N111" s="105"/>
      <c r="O111" s="105">
        <f>H111*D111</f>
        <v>457438.6764676423</v>
      </c>
      <c r="P111" s="105">
        <f>I111*E111</f>
        <v>605366.74376427999</v>
      </c>
      <c r="Q111" s="105"/>
      <c r="R111" s="76">
        <f>R110</f>
        <v>0.45</v>
      </c>
      <c r="S111" s="76">
        <f>S110</f>
        <v>0.45</v>
      </c>
      <c r="T111" s="105"/>
      <c r="U111" s="79" t="s">
        <v>118</v>
      </c>
    </row>
    <row r="112" spans="1:21" x14ac:dyDescent="0.2">
      <c r="A112" s="80">
        <f t="shared" si="4"/>
        <v>102</v>
      </c>
      <c r="B112" s="106" t="s">
        <v>74</v>
      </c>
      <c r="C112" s="129">
        <f>SUM(C110:C111)</f>
        <v>158463</v>
      </c>
      <c r="D112" s="129">
        <f>SUM(D110:D111)</f>
        <v>179202.68018261241</v>
      </c>
      <c r="E112" s="129">
        <f>SUM(E110:E111)</f>
        <v>182388.94036588114</v>
      </c>
      <c r="F112" s="105"/>
      <c r="G112" s="108"/>
      <c r="H112" s="105"/>
      <c r="I112" s="105"/>
      <c r="J112" s="105"/>
      <c r="K112" s="132">
        <f>SUM(K110:K111)</f>
        <v>838889.07000000007</v>
      </c>
      <c r="L112" s="132">
        <f>SUM(L110:L111)</f>
        <v>947784.90708454873</v>
      </c>
      <c r="M112" s="132">
        <f>SUM(M110:M111)</f>
        <v>964594.01284140395</v>
      </c>
      <c r="N112" s="132"/>
      <c r="O112" s="132">
        <f>SUM(O110:O111)</f>
        <v>1053114.5600418618</v>
      </c>
      <c r="P112" s="132">
        <f>SUM(P110:P111)</f>
        <v>1393329.2687606434</v>
      </c>
    </row>
    <row r="113" spans="1:21" x14ac:dyDescent="0.2">
      <c r="A113" s="80">
        <f t="shared" si="4"/>
        <v>103</v>
      </c>
      <c r="B113" s="106"/>
      <c r="C113" s="103"/>
      <c r="D113" s="103"/>
      <c r="E113" s="103"/>
      <c r="F113" s="105"/>
      <c r="G113" s="108"/>
      <c r="H113" s="105"/>
      <c r="I113" s="105"/>
      <c r="J113" s="105"/>
      <c r="K113" s="124"/>
      <c r="L113" s="124"/>
      <c r="M113" s="124"/>
      <c r="N113" s="124"/>
      <c r="O113" s="124"/>
      <c r="P113" s="124"/>
    </row>
    <row r="114" spans="1:21" ht="12" thickBot="1" x14ac:dyDescent="0.25">
      <c r="A114" s="80">
        <f t="shared" si="4"/>
        <v>104</v>
      </c>
      <c r="B114" s="79" t="s">
        <v>110</v>
      </c>
      <c r="C114" s="103"/>
      <c r="D114" s="103"/>
      <c r="E114" s="103"/>
      <c r="G114" s="103"/>
      <c r="K114" s="134">
        <f>SUM(K107,K112)</f>
        <v>1783589.33</v>
      </c>
      <c r="L114" s="134">
        <f>SUM(L107,L112)</f>
        <v>2014797.2344206725</v>
      </c>
      <c r="M114" s="134">
        <f>SUM(M107,M112)</f>
        <v>2050514.7775548813</v>
      </c>
      <c r="N114" s="134"/>
      <c r="O114" s="134">
        <f>SUM(O107,O112)</f>
        <v>2664323.7475590277</v>
      </c>
      <c r="P114" s="134">
        <f>SUM(P107,P112)</f>
        <v>3525018.8572896998</v>
      </c>
    </row>
    <row r="115" spans="1:21" ht="12.75" thickTop="1" thickBot="1" x14ac:dyDescent="0.25">
      <c r="A115" s="80">
        <f t="shared" si="4"/>
        <v>105</v>
      </c>
      <c r="B115" s="122" t="s">
        <v>113</v>
      </c>
      <c r="C115" s="103"/>
      <c r="D115" s="103"/>
      <c r="E115" s="103"/>
      <c r="G115" s="141">
        <f t="shared" ref="G115:I116" si="6">G88-SUM(G105,G110)</f>
        <v>0</v>
      </c>
      <c r="H115" s="141">
        <f t="shared" si="6"/>
        <v>0</v>
      </c>
      <c r="I115" s="141">
        <f t="shared" si="6"/>
        <v>0</v>
      </c>
      <c r="K115" s="124"/>
      <c r="L115" s="124"/>
      <c r="M115" s="124"/>
      <c r="N115" s="124"/>
      <c r="O115" s="124"/>
      <c r="P115" s="124"/>
    </row>
    <row r="116" spans="1:21" ht="12" thickBot="1" x14ac:dyDescent="0.25">
      <c r="A116" s="80">
        <f t="shared" si="4"/>
        <v>106</v>
      </c>
      <c r="B116" s="106"/>
      <c r="C116" s="103"/>
      <c r="D116" s="103"/>
      <c r="E116" s="103"/>
      <c r="F116" s="105"/>
      <c r="G116" s="141">
        <f t="shared" si="6"/>
        <v>0</v>
      </c>
      <c r="H116" s="141">
        <f t="shared" si="6"/>
        <v>0</v>
      </c>
      <c r="I116" s="141">
        <f t="shared" si="6"/>
        <v>0</v>
      </c>
      <c r="J116" s="105"/>
      <c r="K116" s="124"/>
      <c r="L116" s="124"/>
      <c r="M116" s="124"/>
      <c r="N116" s="124"/>
      <c r="O116" s="142" t="s">
        <v>5</v>
      </c>
      <c r="P116" s="142" t="s">
        <v>6</v>
      </c>
    </row>
    <row r="117" spans="1:21" x14ac:dyDescent="0.2">
      <c r="A117" s="80">
        <f t="shared" si="4"/>
        <v>107</v>
      </c>
      <c r="B117" s="106"/>
      <c r="C117" s="143"/>
      <c r="D117" s="143"/>
      <c r="E117" s="143"/>
      <c r="F117" s="144"/>
      <c r="G117" s="145"/>
      <c r="H117" s="144"/>
      <c r="I117" s="144"/>
      <c r="J117" s="144"/>
      <c r="K117" s="146"/>
      <c r="L117" s="146"/>
      <c r="M117" s="146"/>
      <c r="N117" s="146"/>
      <c r="O117" s="147"/>
      <c r="P117" s="147"/>
    </row>
    <row r="118" spans="1:21" x14ac:dyDescent="0.2">
      <c r="A118" s="80">
        <f t="shared" si="4"/>
        <v>108</v>
      </c>
      <c r="B118" s="114" t="s">
        <v>119</v>
      </c>
      <c r="C118" s="103"/>
      <c r="D118" s="103"/>
      <c r="E118" s="103"/>
      <c r="F118" s="105"/>
      <c r="G118" s="108"/>
      <c r="H118" s="71"/>
      <c r="I118" s="105"/>
      <c r="J118" s="105"/>
      <c r="K118" s="124"/>
      <c r="L118" s="77">
        <f>O118/O121</f>
        <v>0.35325383733556631</v>
      </c>
      <c r="M118" s="77">
        <f>P118/P121</f>
        <v>0.35325383733556631</v>
      </c>
      <c r="N118" s="77"/>
      <c r="O118" s="148">
        <v>27379202.857083168</v>
      </c>
      <c r="P118" s="148">
        <f>O118</f>
        <v>27379202.857083168</v>
      </c>
    </row>
    <row r="119" spans="1:21" x14ac:dyDescent="0.2">
      <c r="A119" s="80">
        <f t="shared" si="4"/>
        <v>109</v>
      </c>
      <c r="B119" s="106" t="s">
        <v>120</v>
      </c>
      <c r="C119" s="103"/>
      <c r="D119" s="103"/>
      <c r="E119" s="103"/>
      <c r="F119" s="105"/>
      <c r="G119" s="108"/>
      <c r="H119" s="71"/>
      <c r="I119" s="78"/>
      <c r="J119" s="105"/>
      <c r="K119" s="124"/>
      <c r="L119" s="77">
        <f>O119/O121</f>
        <v>0.17641672137128397</v>
      </c>
      <c r="M119" s="77">
        <f>P119/P121</f>
        <v>0.17641672137128397</v>
      </c>
      <c r="N119" s="77"/>
      <c r="O119" s="148">
        <v>13673309.92987233</v>
      </c>
      <c r="P119" s="148">
        <f>O119</f>
        <v>13673309.92987233</v>
      </c>
    </row>
    <row r="120" spans="1:21" x14ac:dyDescent="0.2">
      <c r="A120" s="80">
        <f t="shared" si="4"/>
        <v>110</v>
      </c>
      <c r="B120" s="106" t="s">
        <v>121</v>
      </c>
      <c r="C120" s="103"/>
      <c r="D120" s="103"/>
      <c r="E120" s="103"/>
      <c r="F120" s="105"/>
      <c r="G120" s="108"/>
      <c r="H120" s="78"/>
      <c r="I120" s="78"/>
      <c r="J120" s="105"/>
      <c r="K120" s="124"/>
      <c r="L120" s="77">
        <f>O120/O121</f>
        <v>0.47032944129314963</v>
      </c>
      <c r="M120" s="77">
        <f>P120/P121</f>
        <v>0.47032944129314963</v>
      </c>
      <c r="N120" s="77"/>
      <c r="O120" s="148">
        <v>36453235.101282865</v>
      </c>
      <c r="P120" s="148">
        <f>O120</f>
        <v>36453235.101282865</v>
      </c>
    </row>
    <row r="121" spans="1:21" ht="12" thickBot="1" x14ac:dyDescent="0.25">
      <c r="A121" s="80">
        <f t="shared" si="4"/>
        <v>111</v>
      </c>
      <c r="B121" s="106" t="s">
        <v>122</v>
      </c>
      <c r="C121" s="103"/>
      <c r="D121" s="103"/>
      <c r="E121" s="103"/>
      <c r="F121" s="105"/>
      <c r="G121" s="108"/>
      <c r="H121" s="105"/>
      <c r="I121" s="105"/>
      <c r="J121" s="105"/>
      <c r="K121" s="124"/>
      <c r="L121" s="149">
        <f>SUM(L118:L120)</f>
        <v>1</v>
      </c>
      <c r="M121" s="149">
        <f>SUM(M118:M120)</f>
        <v>1</v>
      </c>
      <c r="N121" s="150"/>
      <c r="O121" s="151">
        <f>SUM(O118:O120)</f>
        <v>77505747.88823837</v>
      </c>
      <c r="P121" s="151">
        <f>SUM(P118:P120)</f>
        <v>77505747.88823837</v>
      </c>
      <c r="R121" s="152"/>
      <c r="S121" s="152"/>
    </row>
    <row r="122" spans="1:21" ht="12.75" thickTop="1" thickBot="1" x14ac:dyDescent="0.25">
      <c r="A122" s="80">
        <f t="shared" si="4"/>
        <v>112</v>
      </c>
      <c r="B122" s="153" t="s">
        <v>123</v>
      </c>
      <c r="C122" s="154"/>
      <c r="D122" s="154"/>
      <c r="E122" s="154"/>
      <c r="F122" s="155"/>
      <c r="G122" s="156"/>
      <c r="H122" s="155"/>
      <c r="I122" s="155"/>
      <c r="J122" s="155"/>
      <c r="K122" s="157"/>
      <c r="L122" s="157"/>
      <c r="M122" s="157"/>
      <c r="N122" s="157"/>
      <c r="O122" s="158"/>
      <c r="P122" s="158"/>
      <c r="R122" s="152"/>
      <c r="S122" s="152"/>
    </row>
    <row r="123" spans="1:21" x14ac:dyDescent="0.2">
      <c r="A123" s="80">
        <f t="shared" si="4"/>
        <v>113</v>
      </c>
      <c r="B123" s="125"/>
      <c r="C123" s="126"/>
      <c r="D123" s="126"/>
      <c r="E123" s="126"/>
      <c r="F123" s="126"/>
      <c r="G123" s="127"/>
      <c r="H123" s="127"/>
      <c r="I123" s="127"/>
      <c r="J123" s="126"/>
      <c r="K123" s="126"/>
      <c r="L123" s="126"/>
      <c r="M123" s="126"/>
      <c r="N123" s="126"/>
      <c r="O123" s="126"/>
      <c r="P123" s="126"/>
      <c r="Q123" s="126"/>
      <c r="R123" s="159"/>
      <c r="S123" s="159"/>
      <c r="T123" s="126"/>
      <c r="U123" s="126"/>
    </row>
    <row r="124" spans="1:21" x14ac:dyDescent="0.2">
      <c r="A124" s="80">
        <f t="shared" si="4"/>
        <v>114</v>
      </c>
      <c r="B124" s="106"/>
      <c r="C124" s="103"/>
      <c r="D124" s="103"/>
      <c r="E124" s="103"/>
      <c r="F124" s="105"/>
      <c r="G124" s="108"/>
      <c r="H124" s="105"/>
      <c r="I124" s="105"/>
      <c r="J124" s="105"/>
      <c r="K124" s="124"/>
      <c r="L124" s="124"/>
      <c r="M124" s="124"/>
      <c r="N124" s="124"/>
      <c r="O124" s="124"/>
      <c r="P124" s="124"/>
    </row>
    <row r="125" spans="1:21" x14ac:dyDescent="0.2">
      <c r="A125" s="80">
        <f t="shared" si="4"/>
        <v>115</v>
      </c>
      <c r="B125" s="100" t="s">
        <v>124</v>
      </c>
    </row>
    <row r="126" spans="1:21" x14ac:dyDescent="0.2">
      <c r="A126" s="80">
        <f t="shared" si="4"/>
        <v>116</v>
      </c>
      <c r="B126" s="102" t="s">
        <v>96</v>
      </c>
    </row>
    <row r="127" spans="1:21" x14ac:dyDescent="0.2">
      <c r="A127" s="80">
        <f t="shared" si="4"/>
        <v>117</v>
      </c>
      <c r="B127" s="79" t="s">
        <v>35</v>
      </c>
      <c r="C127" s="103">
        <v>23</v>
      </c>
      <c r="D127" s="103">
        <v>28.326089865918249</v>
      </c>
      <c r="E127" s="103">
        <v>32.915270004111242</v>
      </c>
      <c r="G127" s="88">
        <v>109.08</v>
      </c>
      <c r="H127" s="71">
        <f>G127*(1+R127)</f>
        <v>141.804</v>
      </c>
      <c r="I127" s="71">
        <f>H127*(1+S127)</f>
        <v>184.34520000000001</v>
      </c>
      <c r="K127" s="105">
        <f>G127*C127</f>
        <v>2508.84</v>
      </c>
      <c r="L127" s="105">
        <f>G127*D127</f>
        <v>3089.8098825743627</v>
      </c>
      <c r="M127" s="105">
        <f>G127*E127</f>
        <v>3590.3976520484543</v>
      </c>
      <c r="N127" s="105"/>
      <c r="O127" s="105">
        <f>H127*D127</f>
        <v>4016.7528473466714</v>
      </c>
      <c r="P127" s="105">
        <f>I127*E127</f>
        <v>6067.7720319618884</v>
      </c>
      <c r="R127" s="72">
        <f>R80</f>
        <v>0.3</v>
      </c>
      <c r="S127" s="72">
        <f>S80</f>
        <v>0.3</v>
      </c>
      <c r="U127" s="79" t="s">
        <v>97</v>
      </c>
    </row>
    <row r="128" spans="1:21" x14ac:dyDescent="0.2">
      <c r="A128" s="80">
        <f t="shared" si="4"/>
        <v>118</v>
      </c>
      <c r="B128" s="114" t="s">
        <v>125</v>
      </c>
      <c r="C128" s="160">
        <f>C127</f>
        <v>23</v>
      </c>
      <c r="D128" s="160">
        <f>D127</f>
        <v>28.326089865918249</v>
      </c>
      <c r="E128" s="160">
        <f>E127</f>
        <v>32.915270004111242</v>
      </c>
      <c r="G128" s="88">
        <v>249.03000000000003</v>
      </c>
      <c r="H128" s="71">
        <f>G128*(1+R128)</f>
        <v>323.73900000000003</v>
      </c>
      <c r="I128" s="71">
        <f>H128*(1+S128)</f>
        <v>420.86070000000007</v>
      </c>
      <c r="K128" s="105">
        <f>G128*C128</f>
        <v>5727.6900000000005</v>
      </c>
      <c r="L128" s="105">
        <f>G128*D128</f>
        <v>7054.0461593096225</v>
      </c>
      <c r="M128" s="105">
        <f>G128*E128</f>
        <v>8196.8896891238237</v>
      </c>
      <c r="N128" s="105"/>
      <c r="O128" s="105">
        <f>H128*D128</f>
        <v>9170.2600071025081</v>
      </c>
      <c r="P128" s="105">
        <f>I128*E128</f>
        <v>13852.743574619262</v>
      </c>
      <c r="R128" s="72">
        <f>R127</f>
        <v>0.3</v>
      </c>
      <c r="S128" s="72">
        <f>S127</f>
        <v>0.3</v>
      </c>
      <c r="U128" s="79" t="s">
        <v>97</v>
      </c>
    </row>
    <row r="129" spans="1:21" x14ac:dyDescent="0.2">
      <c r="A129" s="80">
        <f t="shared" si="4"/>
        <v>119</v>
      </c>
      <c r="B129" s="106" t="s">
        <v>74</v>
      </c>
      <c r="C129" s="103"/>
      <c r="D129" s="103"/>
      <c r="E129" s="103"/>
      <c r="G129" s="161">
        <f>SUM(G127:G128)</f>
        <v>358.11</v>
      </c>
      <c r="H129" s="161">
        <f>SUM(H127:H128)</f>
        <v>465.54300000000001</v>
      </c>
      <c r="I129" s="161">
        <f>SUM(I127:I128)</f>
        <v>605.20590000000004</v>
      </c>
      <c r="K129" s="132">
        <f>SUM(K127:K128)</f>
        <v>8236.5300000000007</v>
      </c>
      <c r="L129" s="132">
        <f>SUM(L127:L128)</f>
        <v>10143.856041883984</v>
      </c>
      <c r="M129" s="132">
        <f>SUM(M127:M128)</f>
        <v>11787.287341172278</v>
      </c>
      <c r="N129" s="132"/>
      <c r="O129" s="132">
        <f>SUM(O127:O128)</f>
        <v>13187.01285444918</v>
      </c>
      <c r="P129" s="132">
        <f>SUM(P127:P128)</f>
        <v>19920.51560658115</v>
      </c>
      <c r="R129" s="88"/>
      <c r="S129" s="88"/>
      <c r="U129" s="105"/>
    </row>
    <row r="130" spans="1:21" x14ac:dyDescent="0.2">
      <c r="A130" s="80">
        <f t="shared" si="4"/>
        <v>120</v>
      </c>
      <c r="B130" s="79" t="s">
        <v>98</v>
      </c>
      <c r="C130" s="103"/>
      <c r="D130" s="103"/>
      <c r="E130" s="103"/>
      <c r="G130" s="131"/>
      <c r="K130" s="124"/>
      <c r="L130" s="124"/>
      <c r="M130" s="124"/>
      <c r="N130" s="124"/>
      <c r="O130" s="124"/>
      <c r="P130" s="124"/>
      <c r="R130" s="131"/>
      <c r="S130" s="131"/>
      <c r="U130" s="105"/>
    </row>
    <row r="131" spans="1:21" x14ac:dyDescent="0.2">
      <c r="A131" s="80">
        <f t="shared" si="4"/>
        <v>121</v>
      </c>
      <c r="B131" s="111" t="s">
        <v>99</v>
      </c>
      <c r="C131" s="103">
        <v>11143500</v>
      </c>
      <c r="D131" s="103">
        <v>12472961.92827482</v>
      </c>
      <c r="E131" s="103">
        <v>12738660.410763964</v>
      </c>
      <c r="G131" s="112">
        <v>5.6055000000000001E-2</v>
      </c>
      <c r="H131" s="112">
        <f>G131+R131</f>
        <v>7.0919288221106005E-2</v>
      </c>
      <c r="I131" s="112">
        <f>H131+S131</f>
        <v>7.0770529847459185E-2</v>
      </c>
      <c r="J131" s="105"/>
      <c r="K131" s="105">
        <f>G131*C131</f>
        <v>624648.89249999996</v>
      </c>
      <c r="L131" s="105">
        <f>G131*D131</f>
        <v>699171.88088944508</v>
      </c>
      <c r="M131" s="105">
        <f>G131*E131</f>
        <v>714065.60932537401</v>
      </c>
      <c r="N131" s="105"/>
      <c r="O131" s="105">
        <f>H131*D131</f>
        <v>884573.58196220407</v>
      </c>
      <c r="P131" s="105">
        <f>I131*E131</f>
        <v>901521.74681661779</v>
      </c>
      <c r="Q131" s="105"/>
      <c r="R131" s="112">
        <f>R82</f>
        <v>1.4864288221106001E-2</v>
      </c>
      <c r="S131" s="112">
        <f>S82</f>
        <v>-1.4875837364682239E-4</v>
      </c>
      <c r="U131" s="102" t="s">
        <v>100</v>
      </c>
    </row>
    <row r="132" spans="1:21" x14ac:dyDescent="0.2">
      <c r="A132" s="80">
        <f t="shared" si="4"/>
        <v>122</v>
      </c>
      <c r="B132" s="106" t="s">
        <v>74</v>
      </c>
      <c r="C132" s="129">
        <f>SUM(C131)</f>
        <v>11143500</v>
      </c>
      <c r="D132" s="129">
        <f>SUM(D131)</f>
        <v>12472961.92827482</v>
      </c>
      <c r="E132" s="129">
        <f>SUM(E131)</f>
        <v>12738660.410763964</v>
      </c>
      <c r="G132" s="136">
        <f>SUM(G131:G131)</f>
        <v>5.6055000000000001E-2</v>
      </c>
      <c r="H132" s="136">
        <f>SUM(H131:H131)</f>
        <v>7.0919288221106005E-2</v>
      </c>
      <c r="I132" s="136">
        <f>SUM(I131:I131)</f>
        <v>7.0770529847459185E-2</v>
      </c>
      <c r="K132" s="132">
        <f>SUM(K131:K131)</f>
        <v>624648.89249999996</v>
      </c>
      <c r="L132" s="132">
        <f>SUM(L131:L131)</f>
        <v>699171.88088944508</v>
      </c>
      <c r="M132" s="132">
        <f>SUM(M131:M131)</f>
        <v>714065.60932537401</v>
      </c>
      <c r="N132" s="132"/>
      <c r="O132" s="132">
        <f>SUM(O131:O131)</f>
        <v>884573.58196220407</v>
      </c>
      <c r="P132" s="132">
        <f>SUM(P131:P131)</f>
        <v>901521.74681661779</v>
      </c>
      <c r="R132" s="162"/>
      <c r="S132" s="140"/>
      <c r="U132" s="105"/>
    </row>
    <row r="133" spans="1:21" x14ac:dyDescent="0.2">
      <c r="A133" s="80">
        <f t="shared" si="4"/>
        <v>123</v>
      </c>
      <c r="B133" s="111" t="s">
        <v>101</v>
      </c>
      <c r="C133" s="103">
        <v>0</v>
      </c>
      <c r="D133" s="103">
        <v>0</v>
      </c>
      <c r="E133" s="103">
        <v>0</v>
      </c>
      <c r="G133" s="73"/>
      <c r="K133" s="105">
        <f>G133*C133</f>
        <v>0</v>
      </c>
      <c r="L133" s="105">
        <f>G133*D133</f>
        <v>0</v>
      </c>
      <c r="M133" s="105">
        <f>G133*E133</f>
        <v>0</v>
      </c>
      <c r="N133" s="105"/>
      <c r="O133" s="105">
        <f>H133*D133</f>
        <v>0</v>
      </c>
      <c r="P133" s="105">
        <f>I133*E133</f>
        <v>0</v>
      </c>
      <c r="R133" s="112"/>
      <c r="S133" s="112"/>
      <c r="U133" s="105"/>
    </row>
    <row r="134" spans="1:21" x14ac:dyDescent="0.2">
      <c r="A134" s="80">
        <f t="shared" si="4"/>
        <v>124</v>
      </c>
      <c r="B134" s="114" t="s">
        <v>103</v>
      </c>
      <c r="C134" s="103">
        <v>0</v>
      </c>
      <c r="D134" s="103">
        <v>0</v>
      </c>
      <c r="E134" s="103">
        <v>0</v>
      </c>
      <c r="G134" s="73"/>
      <c r="K134" s="105">
        <f>G134*C134</f>
        <v>0</v>
      </c>
      <c r="L134" s="105">
        <f>G134*D134</f>
        <v>0</v>
      </c>
      <c r="M134" s="105">
        <f>G134*E134</f>
        <v>0</v>
      </c>
      <c r="N134" s="105"/>
      <c r="O134" s="105">
        <f>H134*D134</f>
        <v>0</v>
      </c>
      <c r="P134" s="105">
        <f>I134*E134</f>
        <v>0</v>
      </c>
      <c r="R134" s="112"/>
      <c r="S134" s="112"/>
      <c r="U134" s="105"/>
    </row>
    <row r="135" spans="1:21" x14ac:dyDescent="0.2">
      <c r="A135" s="80">
        <f t="shared" si="4"/>
        <v>125</v>
      </c>
      <c r="B135" s="106" t="s">
        <v>74</v>
      </c>
      <c r="C135" s="129">
        <f>SUM(C132:C134)</f>
        <v>11143500</v>
      </c>
      <c r="D135" s="129">
        <f>SUM(D132:D134)</f>
        <v>12472961.92827482</v>
      </c>
      <c r="E135" s="129">
        <f>SUM(E132:E134)</f>
        <v>12738660.410763964</v>
      </c>
      <c r="K135" s="132">
        <f>SUM(K132:K134)</f>
        <v>624648.89249999996</v>
      </c>
      <c r="L135" s="132">
        <f>SUM(L132:L134)</f>
        <v>699171.88088944508</v>
      </c>
      <c r="M135" s="132">
        <f>SUM(M132:M134)</f>
        <v>714065.60932537401</v>
      </c>
      <c r="N135" s="132"/>
      <c r="O135" s="132">
        <f>SUM(O132:O134)</f>
        <v>884573.58196220407</v>
      </c>
      <c r="P135" s="132">
        <f>SUM(P132:P134)</f>
        <v>901521.74681661779</v>
      </c>
      <c r="U135" s="105"/>
    </row>
    <row r="136" spans="1:21" x14ac:dyDescent="0.2">
      <c r="A136" s="80">
        <f t="shared" si="4"/>
        <v>126</v>
      </c>
      <c r="B136" s="79" t="s">
        <v>104</v>
      </c>
      <c r="C136" s="103"/>
      <c r="D136" s="103"/>
      <c r="E136" s="103"/>
      <c r="G136" s="108"/>
      <c r="K136" s="124"/>
      <c r="L136" s="124"/>
      <c r="M136" s="124"/>
      <c r="N136" s="124"/>
      <c r="O136" s="124"/>
      <c r="P136" s="124"/>
      <c r="R136" s="108"/>
      <c r="S136" s="108"/>
      <c r="U136" s="105"/>
    </row>
    <row r="137" spans="1:21" x14ac:dyDescent="0.2">
      <c r="A137" s="80">
        <f t="shared" si="4"/>
        <v>127</v>
      </c>
      <c r="B137" s="111" t="s">
        <v>105</v>
      </c>
      <c r="C137" s="103">
        <v>14873</v>
      </c>
      <c r="D137" s="103">
        <v>16735.608435112266</v>
      </c>
      <c r="E137" s="103">
        <v>17029.178558746087</v>
      </c>
      <c r="G137" s="88">
        <v>11.98</v>
      </c>
      <c r="H137" s="71">
        <f>G137*(1+R137)</f>
        <v>15.574000000000002</v>
      </c>
      <c r="I137" s="71">
        <f>H137*(1+S137)</f>
        <v>20.246200000000002</v>
      </c>
      <c r="K137" s="105">
        <f>G137*C137</f>
        <v>178178.54</v>
      </c>
      <c r="L137" s="105">
        <f>G137*D137</f>
        <v>200492.58905264497</v>
      </c>
      <c r="M137" s="105">
        <f>G137*E137</f>
        <v>204009.55913377812</v>
      </c>
      <c r="N137" s="105"/>
      <c r="O137" s="105">
        <f>H137*D137</f>
        <v>260640.36576843847</v>
      </c>
      <c r="P137" s="105">
        <f>I137*E137</f>
        <v>344776.15493608505</v>
      </c>
      <c r="R137" s="72">
        <f>R88</f>
        <v>0.3</v>
      </c>
      <c r="S137" s="72">
        <f>S88</f>
        <v>0.3</v>
      </c>
      <c r="U137" s="102" t="s">
        <v>126</v>
      </c>
    </row>
    <row r="138" spans="1:21" x14ac:dyDescent="0.2">
      <c r="A138" s="80">
        <f t="shared" si="4"/>
        <v>128</v>
      </c>
      <c r="B138" s="111" t="s">
        <v>107</v>
      </c>
      <c r="C138" s="103">
        <v>10732</v>
      </c>
      <c r="D138" s="103">
        <v>12189.683656530047</v>
      </c>
      <c r="E138" s="103">
        <v>12408.942162061903</v>
      </c>
      <c r="G138" s="88">
        <v>7.9</v>
      </c>
      <c r="H138" s="71">
        <f>G138*(1+R138)</f>
        <v>10.270000000000001</v>
      </c>
      <c r="I138" s="71">
        <f>H138*(1+S138)</f>
        <v>13.351000000000003</v>
      </c>
      <c r="K138" s="105">
        <f>G138*C138</f>
        <v>84782.8</v>
      </c>
      <c r="L138" s="105">
        <f>G138*D138</f>
        <v>96298.500886587382</v>
      </c>
      <c r="M138" s="105">
        <f>G138*E138</f>
        <v>98030.643080289039</v>
      </c>
      <c r="N138" s="105"/>
      <c r="O138" s="105">
        <f>H138*D138</f>
        <v>125188.0511525636</v>
      </c>
      <c r="P138" s="105">
        <f>I138*E138</f>
        <v>165671.78680568849</v>
      </c>
      <c r="R138" s="72">
        <f>R137</f>
        <v>0.3</v>
      </c>
      <c r="S138" s="72">
        <f>S137</f>
        <v>0.3</v>
      </c>
      <c r="U138" s="102" t="s">
        <v>126</v>
      </c>
    </row>
    <row r="139" spans="1:21" x14ac:dyDescent="0.2">
      <c r="A139" s="80">
        <f t="shared" si="4"/>
        <v>129</v>
      </c>
      <c r="B139" s="106" t="s">
        <v>74</v>
      </c>
      <c r="C139" s="129">
        <f>SUM(C137:C138)</f>
        <v>25605</v>
      </c>
      <c r="D139" s="129">
        <f>SUM(D137:D138)</f>
        <v>28925.292091642314</v>
      </c>
      <c r="E139" s="129">
        <f>SUM(E137:E138)</f>
        <v>29438.12072080799</v>
      </c>
      <c r="G139" s="71"/>
      <c r="H139" s="71"/>
      <c r="I139" s="71"/>
      <c r="K139" s="132">
        <f>SUM(K137:K138)</f>
        <v>262961.34000000003</v>
      </c>
      <c r="L139" s="132">
        <f>SUM(L137:L138)</f>
        <v>296791.08993923233</v>
      </c>
      <c r="M139" s="132">
        <f>SUM(M137:M138)</f>
        <v>302040.20221406716</v>
      </c>
      <c r="N139" s="132"/>
      <c r="O139" s="132">
        <f>SUM(O137:O138)</f>
        <v>385828.41692100209</v>
      </c>
      <c r="P139" s="132">
        <f>SUM(P137:P138)</f>
        <v>510447.94174177351</v>
      </c>
      <c r="R139" s="108"/>
      <c r="S139" s="108"/>
      <c r="U139" s="74"/>
    </row>
    <row r="140" spans="1:21" x14ac:dyDescent="0.2">
      <c r="A140" s="80">
        <f t="shared" ref="A140:A203" si="7">A139+1</f>
        <v>130</v>
      </c>
      <c r="B140" s="106"/>
      <c r="C140" s="103"/>
      <c r="D140" s="103"/>
      <c r="E140" s="103"/>
      <c r="G140" s="71"/>
      <c r="H140" s="71"/>
      <c r="I140" s="71"/>
      <c r="K140" s="124"/>
      <c r="L140" s="124"/>
      <c r="M140" s="124"/>
      <c r="N140" s="124"/>
      <c r="O140" s="124"/>
      <c r="P140" s="124"/>
      <c r="R140" s="103"/>
      <c r="S140" s="103"/>
      <c r="U140" s="74"/>
    </row>
    <row r="141" spans="1:21" x14ac:dyDescent="0.2">
      <c r="A141" s="80">
        <f t="shared" si="7"/>
        <v>131</v>
      </c>
      <c r="C141" s="103"/>
      <c r="D141" s="103"/>
      <c r="E141" s="103"/>
      <c r="G141" s="71"/>
      <c r="H141" s="71"/>
      <c r="I141" s="71"/>
      <c r="K141" s="124"/>
      <c r="L141" s="124"/>
      <c r="M141" s="124"/>
      <c r="N141" s="124"/>
      <c r="O141" s="124"/>
      <c r="P141" s="124"/>
      <c r="R141" s="103"/>
      <c r="S141" s="103"/>
      <c r="U141" s="74"/>
    </row>
    <row r="142" spans="1:21" x14ac:dyDescent="0.2">
      <c r="A142" s="80">
        <f t="shared" si="7"/>
        <v>132</v>
      </c>
      <c r="B142" s="79" t="s">
        <v>108</v>
      </c>
      <c r="C142" s="130">
        <v>3222826</v>
      </c>
      <c r="D142" s="130">
        <v>3608811.6183828413</v>
      </c>
      <c r="E142" s="130">
        <v>3679893.8600294953</v>
      </c>
      <c r="G142" s="133">
        <v>1.2699999999999999E-3</v>
      </c>
      <c r="H142" s="75">
        <f>G142*(1+R142)</f>
        <v>1.6509999999999999E-3</v>
      </c>
      <c r="I142" s="75">
        <f>H142*(1+S142)</f>
        <v>2.1462999999999999E-3</v>
      </c>
      <c r="K142" s="105">
        <f>G142*C142</f>
        <v>4092.9890199999995</v>
      </c>
      <c r="L142" s="105">
        <f>G142*D142</f>
        <v>4583.1907553462079</v>
      </c>
      <c r="M142" s="105">
        <f>G142*E142</f>
        <v>4673.4652022374585</v>
      </c>
      <c r="N142" s="105"/>
      <c r="O142" s="105">
        <f>H142*D142</f>
        <v>5958.147981950071</v>
      </c>
      <c r="P142" s="105">
        <f>I142*E142</f>
        <v>7898.1561917813051</v>
      </c>
      <c r="R142" s="72">
        <f>R92</f>
        <v>0.3</v>
      </c>
      <c r="S142" s="72">
        <f>S92</f>
        <v>0.3</v>
      </c>
      <c r="U142" s="102" t="s">
        <v>109</v>
      </c>
    </row>
    <row r="143" spans="1:21" x14ac:dyDescent="0.2">
      <c r="A143" s="80">
        <f t="shared" si="7"/>
        <v>133</v>
      </c>
      <c r="B143" s="106" t="s">
        <v>74</v>
      </c>
      <c r="G143" s="163">
        <f>SUM(G142:G142)</f>
        <v>1.2699999999999999E-3</v>
      </c>
      <c r="H143" s="163">
        <f>SUM(H142:H142)</f>
        <v>1.6509999999999999E-3</v>
      </c>
      <c r="I143" s="163">
        <f>SUM(I142:I142)</f>
        <v>2.1462999999999999E-3</v>
      </c>
      <c r="K143" s="132">
        <f>SUM(K140:K142)</f>
        <v>4092.9890199999995</v>
      </c>
      <c r="L143" s="132">
        <f>SUM(L140:L142)</f>
        <v>4583.1907553462079</v>
      </c>
      <c r="M143" s="132">
        <f>SUM(M140:M142)</f>
        <v>4673.4652022374585</v>
      </c>
      <c r="N143" s="132"/>
      <c r="O143" s="132">
        <f>SUM(O140:O142)</f>
        <v>5958.147981950071</v>
      </c>
      <c r="P143" s="132">
        <f>SUM(P140:P142)</f>
        <v>7898.1561917813051</v>
      </c>
    </row>
    <row r="144" spans="1:21" x14ac:dyDescent="0.2">
      <c r="A144" s="80">
        <f t="shared" si="7"/>
        <v>134</v>
      </c>
      <c r="K144" s="124"/>
      <c r="L144" s="124"/>
      <c r="M144" s="124"/>
      <c r="N144" s="124"/>
      <c r="O144" s="124"/>
      <c r="P144" s="124"/>
    </row>
    <row r="145" spans="1:21" ht="12" thickBot="1" x14ac:dyDescent="0.25">
      <c r="A145" s="80">
        <f t="shared" si="7"/>
        <v>135</v>
      </c>
      <c r="B145" s="79" t="s">
        <v>110</v>
      </c>
      <c r="K145" s="164">
        <f>SUM(K143,K139,K135,K129)</f>
        <v>899939.75151999993</v>
      </c>
      <c r="L145" s="164">
        <f>SUM(L143,L139,L135,L129)</f>
        <v>1010690.0176259076</v>
      </c>
      <c r="M145" s="164">
        <f>SUM(M143,M139,M135,M129)</f>
        <v>1032566.5640828508</v>
      </c>
      <c r="N145" s="164"/>
      <c r="O145" s="164">
        <f>SUM(O143,O139,O135,O129)</f>
        <v>1289547.1597196055</v>
      </c>
      <c r="P145" s="164">
        <f>SUM(P143,P139,P135,P129)</f>
        <v>1439788.3603567537</v>
      </c>
    </row>
    <row r="146" spans="1:21" ht="12" thickTop="1" x14ac:dyDescent="0.2">
      <c r="A146" s="80">
        <f t="shared" si="7"/>
        <v>136</v>
      </c>
      <c r="B146" s="122" t="s">
        <v>113</v>
      </c>
      <c r="C146" s="103">
        <v>0</v>
      </c>
      <c r="K146" s="103">
        <v>1.2484800000675023</v>
      </c>
      <c r="L146" s="103">
        <v>0</v>
      </c>
      <c r="M146" s="103">
        <v>0</v>
      </c>
      <c r="N146" s="80"/>
      <c r="O146" s="124"/>
      <c r="P146" s="124"/>
    </row>
    <row r="147" spans="1:21" ht="12" thickBot="1" x14ac:dyDescent="0.25">
      <c r="A147" s="80">
        <f t="shared" si="7"/>
        <v>137</v>
      </c>
      <c r="K147" s="124"/>
      <c r="L147" s="124"/>
      <c r="M147" s="124"/>
      <c r="N147" s="80"/>
      <c r="O147" s="124"/>
      <c r="P147" s="124"/>
    </row>
    <row r="148" spans="1:21" ht="15.75" x14ac:dyDescent="0.25">
      <c r="A148" s="80">
        <f t="shared" si="7"/>
        <v>138</v>
      </c>
      <c r="B148" s="165" t="s">
        <v>162</v>
      </c>
      <c r="C148" s="166"/>
      <c r="D148" s="166"/>
      <c r="E148" s="166"/>
      <c r="F148" s="166"/>
      <c r="G148" s="167" t="s">
        <v>163</v>
      </c>
      <c r="H148" s="168" t="s">
        <v>5</v>
      </c>
      <c r="I148" s="169" t="s">
        <v>6</v>
      </c>
      <c r="K148" s="271"/>
      <c r="L148" s="272"/>
      <c r="M148" s="272"/>
      <c r="N148" s="272"/>
      <c r="O148" s="272"/>
      <c r="P148" s="272"/>
    </row>
    <row r="149" spans="1:21" ht="12" thickBot="1" x14ac:dyDescent="0.25">
      <c r="A149" s="80">
        <f t="shared" si="7"/>
        <v>139</v>
      </c>
      <c r="B149" s="170"/>
      <c r="G149" s="171"/>
      <c r="H149" s="172"/>
      <c r="I149" s="173"/>
      <c r="K149" s="101"/>
      <c r="L149" s="101"/>
      <c r="M149" s="101"/>
      <c r="N149" s="82"/>
      <c r="O149" s="101"/>
      <c r="P149" s="101"/>
    </row>
    <row r="150" spans="1:21" x14ac:dyDescent="0.2">
      <c r="A150" s="80">
        <f t="shared" si="7"/>
        <v>140</v>
      </c>
      <c r="B150" s="170" t="s">
        <v>164</v>
      </c>
      <c r="G150" s="174">
        <v>2.4400000000000002E-2</v>
      </c>
      <c r="H150" s="74">
        <f>G150</f>
        <v>2.4400000000000002E-2</v>
      </c>
      <c r="I150" s="175">
        <f>G150</f>
        <v>2.4400000000000002E-2</v>
      </c>
      <c r="K150" s="124"/>
      <c r="L150" s="124"/>
      <c r="M150" s="124"/>
      <c r="O150" s="124"/>
      <c r="P150" s="124"/>
    </row>
    <row r="151" spans="1:21" x14ac:dyDescent="0.2">
      <c r="A151" s="80">
        <f t="shared" si="7"/>
        <v>141</v>
      </c>
      <c r="B151" s="170" t="s">
        <v>165</v>
      </c>
      <c r="G151" s="174">
        <f t="shared" ref="G151:I152" si="8">+G150</f>
        <v>2.4400000000000002E-2</v>
      </c>
      <c r="H151" s="74">
        <f t="shared" si="8"/>
        <v>2.4400000000000002E-2</v>
      </c>
      <c r="I151" s="175">
        <f t="shared" si="8"/>
        <v>2.4400000000000002E-2</v>
      </c>
      <c r="K151" s="124"/>
      <c r="L151" s="124"/>
      <c r="M151" s="124"/>
      <c r="O151" s="124"/>
      <c r="P151" s="124"/>
    </row>
    <row r="152" spans="1:21" x14ac:dyDescent="0.2">
      <c r="A152" s="80">
        <f t="shared" si="7"/>
        <v>142</v>
      </c>
      <c r="B152" s="170" t="s">
        <v>166</v>
      </c>
      <c r="G152" s="174">
        <f t="shared" si="8"/>
        <v>2.4400000000000002E-2</v>
      </c>
      <c r="H152" s="74">
        <f t="shared" si="8"/>
        <v>2.4400000000000002E-2</v>
      </c>
      <c r="I152" s="175">
        <f t="shared" si="8"/>
        <v>2.4400000000000002E-2</v>
      </c>
      <c r="K152" s="124"/>
      <c r="L152" s="124"/>
      <c r="M152" s="124"/>
      <c r="O152" s="124"/>
      <c r="P152" s="124"/>
      <c r="R152" s="80"/>
      <c r="S152" s="80"/>
      <c r="T152" s="80"/>
      <c r="U152" s="80"/>
    </row>
    <row r="153" spans="1:21" ht="12" thickBot="1" x14ac:dyDescent="0.25">
      <c r="A153" s="80">
        <f t="shared" si="7"/>
        <v>143</v>
      </c>
      <c r="B153" s="176"/>
      <c r="C153" s="177"/>
      <c r="D153" s="177"/>
      <c r="E153" s="177"/>
      <c r="F153" s="177"/>
      <c r="G153" s="171"/>
      <c r="H153" s="172"/>
      <c r="I153" s="173"/>
      <c r="J153" s="126"/>
      <c r="K153" s="126"/>
      <c r="L153" s="126"/>
      <c r="M153" s="126"/>
      <c r="N153" s="126"/>
      <c r="O153" s="126"/>
      <c r="P153" s="126"/>
      <c r="Q153" s="126"/>
      <c r="R153" s="126"/>
      <c r="S153" s="126"/>
      <c r="T153" s="126"/>
      <c r="U153" s="126"/>
    </row>
    <row r="154" spans="1:21" x14ac:dyDescent="0.2">
      <c r="A154" s="80">
        <f t="shared" si="7"/>
        <v>144</v>
      </c>
      <c r="L154" s="124"/>
      <c r="M154" s="124"/>
    </row>
    <row r="155" spans="1:21" outlineLevel="1" x14ac:dyDescent="0.2">
      <c r="A155" s="80">
        <f t="shared" si="7"/>
        <v>145</v>
      </c>
      <c r="B155" s="100" t="s">
        <v>207</v>
      </c>
    </row>
    <row r="156" spans="1:21" outlineLevel="1" x14ac:dyDescent="0.2">
      <c r="A156" s="80">
        <f t="shared" si="7"/>
        <v>146</v>
      </c>
      <c r="B156" s="102" t="s">
        <v>167</v>
      </c>
    </row>
    <row r="157" spans="1:21" outlineLevel="1" x14ac:dyDescent="0.2">
      <c r="A157" s="80">
        <f t="shared" si="7"/>
        <v>147</v>
      </c>
    </row>
    <row r="158" spans="1:21" outlineLevel="1" x14ac:dyDescent="0.2">
      <c r="A158" s="80">
        <f t="shared" si="7"/>
        <v>148</v>
      </c>
      <c r="B158" s="79" t="s">
        <v>35</v>
      </c>
    </row>
    <row r="159" spans="1:21" outlineLevel="1" x14ac:dyDescent="0.2">
      <c r="A159" s="80">
        <f t="shared" si="7"/>
        <v>149</v>
      </c>
      <c r="B159" s="79" t="s">
        <v>145</v>
      </c>
      <c r="C159" s="103">
        <v>2408</v>
      </c>
      <c r="D159" s="103">
        <v>2371</v>
      </c>
      <c r="E159" s="103">
        <v>2374</v>
      </c>
      <c r="G159" s="71">
        <v>9.99</v>
      </c>
      <c r="H159" s="71">
        <f>G159*(1+R159)</f>
        <v>12.987</v>
      </c>
      <c r="I159" s="71">
        <f>H159*(1+S159)</f>
        <v>16.883100000000002</v>
      </c>
      <c r="K159" s="105">
        <f>G159*C159</f>
        <v>24055.920000000002</v>
      </c>
      <c r="L159" s="105">
        <f>G159*D159</f>
        <v>23686.29</v>
      </c>
      <c r="M159" s="105">
        <f>G159*E159</f>
        <v>23716.260000000002</v>
      </c>
      <c r="N159" s="105"/>
      <c r="O159" s="105">
        <f>H159*D159</f>
        <v>30792.177</v>
      </c>
      <c r="P159" s="105">
        <f>I159*E159</f>
        <v>40080.479400000004</v>
      </c>
      <c r="R159" s="72">
        <v>0.3</v>
      </c>
      <c r="S159" s="72">
        <f>R159</f>
        <v>0.3</v>
      </c>
      <c r="U159" s="79" t="s">
        <v>97</v>
      </c>
    </row>
    <row r="160" spans="1:21" outlineLevel="1" x14ac:dyDescent="0.2">
      <c r="A160" s="80">
        <f t="shared" si="7"/>
        <v>150</v>
      </c>
      <c r="B160" s="79" t="s">
        <v>146</v>
      </c>
      <c r="C160" s="103">
        <v>5641</v>
      </c>
      <c r="D160" s="103">
        <v>5554</v>
      </c>
      <c r="E160" s="103">
        <v>5560</v>
      </c>
      <c r="G160" s="71">
        <v>25.36</v>
      </c>
      <c r="H160" s="71">
        <f>G160*(1+R160)</f>
        <v>32.968000000000004</v>
      </c>
      <c r="I160" s="71">
        <f>H160*(1+S160)</f>
        <v>42.858400000000003</v>
      </c>
      <c r="K160" s="105">
        <f>G160*C160</f>
        <v>143055.76</v>
      </c>
      <c r="L160" s="105">
        <f>G160*D160</f>
        <v>140849.44</v>
      </c>
      <c r="M160" s="105">
        <f>G160*E160</f>
        <v>141001.60000000001</v>
      </c>
      <c r="N160" s="105"/>
      <c r="O160" s="105">
        <f>H160*D160</f>
        <v>183104.27200000003</v>
      </c>
      <c r="P160" s="105">
        <f>I160*E160</f>
        <v>238292.70400000003</v>
      </c>
      <c r="R160" s="74">
        <f>R159</f>
        <v>0.3</v>
      </c>
      <c r="S160" s="74">
        <f>S159</f>
        <v>0.3</v>
      </c>
      <c r="U160" s="79" t="s">
        <v>97</v>
      </c>
    </row>
    <row r="161" spans="1:21" outlineLevel="1" x14ac:dyDescent="0.2">
      <c r="A161" s="80">
        <f t="shared" si="7"/>
        <v>151</v>
      </c>
      <c r="B161" s="106" t="s">
        <v>74</v>
      </c>
      <c r="C161" s="129">
        <f>SUM(C159:C160)</f>
        <v>8049</v>
      </c>
      <c r="D161" s="129">
        <f>SUM(D159:D160)</f>
        <v>7925</v>
      </c>
      <c r="E161" s="129">
        <f>SUM(E159:E160)</f>
        <v>7934</v>
      </c>
      <c r="H161" s="71"/>
      <c r="I161" s="71"/>
      <c r="K161" s="109">
        <f>SUM(K159:K160)</f>
        <v>167111.68000000002</v>
      </c>
      <c r="L161" s="109">
        <f>SUM(L159:L160)</f>
        <v>164535.73000000001</v>
      </c>
      <c r="M161" s="109">
        <f>SUM(M159:M160)</f>
        <v>164717.86000000002</v>
      </c>
      <c r="N161" s="109"/>
      <c r="O161" s="109">
        <f>SUM(O159:O160)</f>
        <v>213896.44900000002</v>
      </c>
      <c r="P161" s="109">
        <f>SUM(P159:P160)</f>
        <v>278373.18340000004</v>
      </c>
      <c r="R161" s="74"/>
      <c r="S161" s="74"/>
      <c r="T161" s="103"/>
    </row>
    <row r="162" spans="1:21" outlineLevel="1" x14ac:dyDescent="0.2">
      <c r="A162" s="80">
        <f t="shared" si="7"/>
        <v>152</v>
      </c>
      <c r="B162" s="79" t="s">
        <v>98</v>
      </c>
      <c r="C162" s="103"/>
      <c r="D162" s="103"/>
      <c r="E162" s="103"/>
    </row>
    <row r="163" spans="1:21" outlineLevel="1" x14ac:dyDescent="0.2">
      <c r="A163" s="80">
        <f t="shared" si="7"/>
        <v>153</v>
      </c>
      <c r="B163" s="111" t="s">
        <v>156</v>
      </c>
      <c r="C163" s="103">
        <v>2226431</v>
      </c>
      <c r="D163" s="103">
        <v>2661144.0277310261</v>
      </c>
      <c r="E163" s="103">
        <v>2648258.454874211</v>
      </c>
      <c r="G163" s="112">
        <v>9.1401999999999997E-2</v>
      </c>
      <c r="H163" s="112">
        <f t="shared" ref="H163:I166" si="9">G163+R163</f>
        <v>0.11094529924015289</v>
      </c>
      <c r="I163" s="112">
        <f t="shared" si="9"/>
        <v>0.11564261362040162</v>
      </c>
      <c r="J163" s="105"/>
      <c r="K163" s="105">
        <f>G163*C163</f>
        <v>203500.246262</v>
      </c>
      <c r="L163" s="105">
        <f>G163*D163</f>
        <v>243233.88642267123</v>
      </c>
      <c r="M163" s="105">
        <f>G163*E163</f>
        <v>242056.11929241262</v>
      </c>
      <c r="N163" s="105"/>
      <c r="O163" s="105">
        <f t="shared" ref="O163:P166" si="10">H163*D163</f>
        <v>295241.42047776445</v>
      </c>
      <c r="P163" s="105">
        <f t="shared" si="10"/>
        <v>306251.52926398022</v>
      </c>
      <c r="Q163" s="105"/>
      <c r="R163" s="112">
        <f>(R180-(O161-L161)-(O175-L175)-(O177-L177))/D171</f>
        <v>1.9543299240152898E-2</v>
      </c>
      <c r="S163" s="112">
        <f>((S180+R180)-(P161-M161)-(P175-M175)-(P177-M177))/E171-R163</f>
        <v>4.6973143802487363E-3</v>
      </c>
      <c r="U163" s="102" t="s">
        <v>100</v>
      </c>
    </row>
    <row r="164" spans="1:21" outlineLevel="1" x14ac:dyDescent="0.2">
      <c r="A164" s="80">
        <f t="shared" si="7"/>
        <v>154</v>
      </c>
      <c r="B164" s="111" t="s">
        <v>168</v>
      </c>
      <c r="C164" s="103">
        <v>138829</v>
      </c>
      <c r="D164" s="103">
        <v>116141.4176140801</v>
      </c>
      <c r="E164" s="103">
        <v>115560.92791562511</v>
      </c>
      <c r="G164" s="112">
        <v>6.9417000000000006E-2</v>
      </c>
      <c r="H164" s="112">
        <f t="shared" si="9"/>
        <v>8.8960299240152904E-2</v>
      </c>
      <c r="I164" s="112">
        <f t="shared" si="9"/>
        <v>9.3657613620401647E-2</v>
      </c>
      <c r="J164" s="105"/>
      <c r="K164" s="105">
        <f>G164*C164</f>
        <v>9637.0926930000005</v>
      </c>
      <c r="L164" s="105">
        <f>G164*D164</f>
        <v>8062.1887865165991</v>
      </c>
      <c r="M164" s="105">
        <f>G164*E164</f>
        <v>8021.8929331189493</v>
      </c>
      <c r="N164" s="105"/>
      <c r="O164" s="105">
        <f t="shared" si="10"/>
        <v>10331.975265124131</v>
      </c>
      <c r="P164" s="105">
        <f t="shared" si="10"/>
        <v>10823.160736336704</v>
      </c>
      <c r="Q164" s="105"/>
      <c r="R164" s="112">
        <f>R163</f>
        <v>1.9543299240152898E-2</v>
      </c>
      <c r="S164" s="112">
        <f>S163</f>
        <v>4.6973143802487363E-3</v>
      </c>
      <c r="T164" s="105"/>
      <c r="U164" s="102" t="s">
        <v>100</v>
      </c>
    </row>
    <row r="165" spans="1:21" outlineLevel="1" x14ac:dyDescent="0.2">
      <c r="A165" s="80">
        <f t="shared" si="7"/>
        <v>155</v>
      </c>
      <c r="B165" s="111" t="s">
        <v>157</v>
      </c>
      <c r="C165" s="103">
        <v>11632056</v>
      </c>
      <c r="D165" s="103">
        <v>11466316.070467897</v>
      </c>
      <c r="E165" s="103">
        <v>11396563.38221856</v>
      </c>
      <c r="G165" s="112">
        <v>6.3336000000000003E-2</v>
      </c>
      <c r="H165" s="112">
        <f t="shared" si="9"/>
        <v>8.2879299240152901E-2</v>
      </c>
      <c r="I165" s="112">
        <f t="shared" si="9"/>
        <v>8.7576613620401644E-2</v>
      </c>
      <c r="J165" s="105"/>
      <c r="K165" s="105">
        <f>G165*C165</f>
        <v>736727.89881600009</v>
      </c>
      <c r="L165" s="105">
        <f>G165*D165</f>
        <v>726230.59463915473</v>
      </c>
      <c r="M165" s="105">
        <f>G165*E165</f>
        <v>721812.73837619473</v>
      </c>
      <c r="N165" s="105"/>
      <c r="O165" s="105">
        <f t="shared" si="10"/>
        <v>950320.24078648293</v>
      </c>
      <c r="P165" s="105">
        <f t="shared" si="10"/>
        <v>998072.42792497261</v>
      </c>
      <c r="Q165" s="105"/>
      <c r="R165" s="112">
        <f>R164</f>
        <v>1.9543299240152898E-2</v>
      </c>
      <c r="S165" s="112">
        <f>S163</f>
        <v>4.6973143802487363E-3</v>
      </c>
      <c r="T165" s="105"/>
      <c r="U165" s="102" t="s">
        <v>100</v>
      </c>
    </row>
    <row r="166" spans="1:21" outlineLevel="1" x14ac:dyDescent="0.2">
      <c r="A166" s="80">
        <f t="shared" si="7"/>
        <v>156</v>
      </c>
      <c r="B166" s="111" t="s">
        <v>169</v>
      </c>
      <c r="C166" s="103">
        <v>813796</v>
      </c>
      <c r="D166" s="103">
        <v>686458.11507446249</v>
      </c>
      <c r="E166" s="103">
        <v>682643.59650109964</v>
      </c>
      <c r="G166" s="112">
        <v>5.4267999999999997E-2</v>
      </c>
      <c r="H166" s="112">
        <f t="shared" si="9"/>
        <v>7.3811299240152894E-2</v>
      </c>
      <c r="I166" s="112">
        <f t="shared" si="9"/>
        <v>7.8508613620401624E-2</v>
      </c>
      <c r="J166" s="105"/>
      <c r="K166" s="105">
        <f>G166*C166</f>
        <v>44163.081328</v>
      </c>
      <c r="L166" s="105">
        <f>G166*D166</f>
        <v>37252.708988860926</v>
      </c>
      <c r="M166" s="105">
        <f>G166*E166</f>
        <v>37045.702694921674</v>
      </c>
      <c r="N166" s="105"/>
      <c r="O166" s="105">
        <f t="shared" si="10"/>
        <v>50668.365347592458</v>
      </c>
      <c r="P166" s="105">
        <f t="shared" si="10"/>
        <v>53593.402358146181</v>
      </c>
      <c r="Q166" s="105"/>
      <c r="R166" s="178">
        <f>R165</f>
        <v>1.9543299240152898E-2</v>
      </c>
      <c r="S166" s="178">
        <f>S165</f>
        <v>4.6973143802487363E-3</v>
      </c>
      <c r="T166" s="105"/>
      <c r="U166" s="102" t="s">
        <v>100</v>
      </c>
    </row>
    <row r="167" spans="1:21" outlineLevel="1" x14ac:dyDescent="0.2">
      <c r="A167" s="80">
        <f t="shared" si="7"/>
        <v>157</v>
      </c>
      <c r="B167" s="106" t="s">
        <v>74</v>
      </c>
      <c r="C167" s="129">
        <f>SUM(C163:C166)</f>
        <v>14811112</v>
      </c>
      <c r="D167" s="129">
        <f>SUM(D163:D166)</f>
        <v>14930059.630887466</v>
      </c>
      <c r="E167" s="129">
        <f>SUM(E163:E166)</f>
        <v>14843026.361509496</v>
      </c>
      <c r="G167" s="112"/>
      <c r="H167" s="105"/>
      <c r="I167" s="105"/>
      <c r="J167" s="105"/>
      <c r="K167" s="132">
        <f>SUM(K163:K166)</f>
        <v>994028.31909900019</v>
      </c>
      <c r="L167" s="132">
        <f>SUM(L163:L166)</f>
        <v>1014779.3788372035</v>
      </c>
      <c r="M167" s="132">
        <f>SUM(M163:M166)</f>
        <v>1008936.453296648</v>
      </c>
      <c r="N167" s="132"/>
      <c r="O167" s="132">
        <f>SUM(O163:O166)</f>
        <v>1306562.001876964</v>
      </c>
      <c r="P167" s="132">
        <f>SUM(P163:P166)</f>
        <v>1368740.5202834357</v>
      </c>
      <c r="Q167" s="105"/>
      <c r="R167" s="105"/>
      <c r="S167" s="105"/>
      <c r="T167" s="105"/>
    </row>
    <row r="168" spans="1:21" outlineLevel="1" x14ac:dyDescent="0.2">
      <c r="A168" s="80">
        <f t="shared" si="7"/>
        <v>158</v>
      </c>
      <c r="B168" s="111" t="s">
        <v>153</v>
      </c>
      <c r="C168" s="103">
        <v>0</v>
      </c>
      <c r="D168" s="103">
        <v>0</v>
      </c>
      <c r="E168" s="103">
        <v>0</v>
      </c>
      <c r="K168" s="105">
        <f>G168*C168</f>
        <v>0</v>
      </c>
      <c r="L168" s="105">
        <f>G168*D168</f>
        <v>0</v>
      </c>
      <c r="M168" s="105">
        <f>G168*E168</f>
        <v>0</v>
      </c>
      <c r="N168" s="105"/>
      <c r="O168" s="105">
        <f t="shared" ref="O168:P170" si="11">H168*D168</f>
        <v>0</v>
      </c>
      <c r="P168" s="105">
        <f t="shared" si="11"/>
        <v>0</v>
      </c>
    </row>
    <row r="169" spans="1:21" outlineLevel="1" x14ac:dyDescent="0.2">
      <c r="A169" s="80">
        <f t="shared" si="7"/>
        <v>159</v>
      </c>
      <c r="B169" s="111" t="s">
        <v>154</v>
      </c>
      <c r="C169" s="103">
        <v>0</v>
      </c>
      <c r="D169" s="103">
        <v>0</v>
      </c>
      <c r="E169" s="103">
        <v>0</v>
      </c>
      <c r="K169" s="105">
        <f>G169*C169</f>
        <v>0</v>
      </c>
      <c r="L169" s="105">
        <f>G169*D169</f>
        <v>0</v>
      </c>
      <c r="M169" s="105">
        <f>G169*E169</f>
        <v>0</v>
      </c>
      <c r="N169" s="105"/>
      <c r="O169" s="105">
        <f t="shared" si="11"/>
        <v>0</v>
      </c>
      <c r="P169" s="105">
        <f t="shared" si="11"/>
        <v>0</v>
      </c>
    </row>
    <row r="170" spans="1:21" ht="12" customHeight="1" outlineLevel="1" x14ac:dyDescent="0.2">
      <c r="A170" s="80">
        <f t="shared" si="7"/>
        <v>160</v>
      </c>
      <c r="B170" s="114" t="s">
        <v>103</v>
      </c>
      <c r="C170" s="103">
        <v>-1239256</v>
      </c>
      <c r="D170" s="103">
        <v>0</v>
      </c>
      <c r="E170" s="103">
        <v>0</v>
      </c>
      <c r="K170" s="103">
        <v>-85854</v>
      </c>
      <c r="L170" s="105">
        <f>G170*D170</f>
        <v>0</v>
      </c>
      <c r="M170" s="105">
        <f>G170*E170</f>
        <v>0</v>
      </c>
      <c r="N170" s="105"/>
      <c r="O170" s="105">
        <f t="shared" si="11"/>
        <v>0</v>
      </c>
      <c r="P170" s="105">
        <f t="shared" si="11"/>
        <v>0</v>
      </c>
    </row>
    <row r="171" spans="1:21" outlineLevel="1" x14ac:dyDescent="0.2">
      <c r="A171" s="80">
        <f t="shared" si="7"/>
        <v>161</v>
      </c>
      <c r="B171" s="106" t="s">
        <v>74</v>
      </c>
      <c r="C171" s="129">
        <f>SUM(C167:C170)</f>
        <v>13571856</v>
      </c>
      <c r="D171" s="129">
        <f>SUM(D167:D170)</f>
        <v>14930059.630887466</v>
      </c>
      <c r="E171" s="129">
        <f>SUM(E167:E170)</f>
        <v>14843026.361509496</v>
      </c>
      <c r="K171" s="132">
        <f>SUM(K167:K170)</f>
        <v>908174.31909900019</v>
      </c>
      <c r="L171" s="132">
        <f>SUM(L167:L170)</f>
        <v>1014779.3788372035</v>
      </c>
      <c r="M171" s="132">
        <f>SUM(M167:M170)</f>
        <v>1008936.453296648</v>
      </c>
      <c r="N171" s="132"/>
      <c r="O171" s="132">
        <f>SUM(O167:O170)</f>
        <v>1306562.001876964</v>
      </c>
      <c r="P171" s="132">
        <f>SUM(P167:P170)</f>
        <v>1368740.5202834357</v>
      </c>
    </row>
    <row r="172" spans="1:21" outlineLevel="1" x14ac:dyDescent="0.2">
      <c r="A172" s="80">
        <f t="shared" si="7"/>
        <v>162</v>
      </c>
      <c r="B172" s="79" t="s">
        <v>104</v>
      </c>
      <c r="C172" s="103"/>
      <c r="D172" s="103"/>
      <c r="E172" s="103"/>
    </row>
    <row r="173" spans="1:21" outlineLevel="1" x14ac:dyDescent="0.2">
      <c r="A173" s="80">
        <f t="shared" si="7"/>
        <v>163</v>
      </c>
      <c r="B173" s="111" t="s">
        <v>159</v>
      </c>
      <c r="C173" s="103">
        <v>7084</v>
      </c>
      <c r="D173" s="103">
        <v>1907.5395419748068</v>
      </c>
      <c r="E173" s="103">
        <v>1887.5913638261097</v>
      </c>
      <c r="G173" s="88">
        <v>9.2200000000000006</v>
      </c>
      <c r="H173" s="71">
        <f>G173*(1+R173)</f>
        <v>11.986000000000001</v>
      </c>
      <c r="I173" s="71">
        <f>H173*(1+S173)</f>
        <v>15.581800000000001</v>
      </c>
      <c r="J173" s="105"/>
      <c r="K173" s="105">
        <f>G173*C173</f>
        <v>65314.48</v>
      </c>
      <c r="L173" s="105">
        <f>G173*D173</f>
        <v>17587.514577007718</v>
      </c>
      <c r="M173" s="105">
        <f>G173*E173</f>
        <v>17403.592374476731</v>
      </c>
      <c r="N173" s="105"/>
      <c r="O173" s="105">
        <f>H173*D173</f>
        <v>22863.768950110036</v>
      </c>
      <c r="P173" s="105">
        <f>I173*E173</f>
        <v>29412.07111286568</v>
      </c>
      <c r="Q173" s="105"/>
      <c r="R173" s="72">
        <v>0.3</v>
      </c>
      <c r="S173" s="72">
        <f>R173</f>
        <v>0.3</v>
      </c>
      <c r="T173" s="105"/>
      <c r="U173" s="102" t="s">
        <v>106</v>
      </c>
    </row>
    <row r="174" spans="1:21" outlineLevel="1" x14ac:dyDescent="0.2">
      <c r="A174" s="80">
        <f t="shared" si="7"/>
        <v>164</v>
      </c>
      <c r="B174" s="111" t="s">
        <v>160</v>
      </c>
      <c r="C174" s="103">
        <v>954</v>
      </c>
      <c r="D174" s="103">
        <v>4451.6088366532149</v>
      </c>
      <c r="E174" s="103">
        <v>4425.0311555397293</v>
      </c>
      <c r="G174" s="88">
        <v>4.54</v>
      </c>
      <c r="H174" s="71">
        <f>G174*(1+R174)</f>
        <v>5.9020000000000001</v>
      </c>
      <c r="I174" s="71">
        <f>H174*(1+S174)</f>
        <v>7.6726000000000001</v>
      </c>
      <c r="J174" s="105"/>
      <c r="K174" s="105">
        <f>G174*C174</f>
        <v>4331.16</v>
      </c>
      <c r="L174" s="105">
        <f>G174*D174</f>
        <v>20210.304118405595</v>
      </c>
      <c r="M174" s="105">
        <f>G174*E174</f>
        <v>20089.64144615037</v>
      </c>
      <c r="N174" s="105"/>
      <c r="O174" s="105">
        <f>H174*D174</f>
        <v>26273.395353927273</v>
      </c>
      <c r="P174" s="105">
        <f>I174*E174</f>
        <v>33951.494043994127</v>
      </c>
      <c r="Q174" s="105"/>
      <c r="R174" s="74">
        <f>R173</f>
        <v>0.3</v>
      </c>
      <c r="S174" s="74">
        <f>S173</f>
        <v>0.3</v>
      </c>
      <c r="T174" s="105"/>
      <c r="U174" s="102" t="s">
        <v>106</v>
      </c>
    </row>
    <row r="175" spans="1:21" outlineLevel="1" x14ac:dyDescent="0.2">
      <c r="A175" s="80">
        <f t="shared" si="7"/>
        <v>165</v>
      </c>
      <c r="B175" s="106" t="s">
        <v>74</v>
      </c>
      <c r="C175" s="129">
        <f>SUM(C173:C174)</f>
        <v>8038</v>
      </c>
      <c r="D175" s="129">
        <f>SUM(D173:D174)</f>
        <v>6359.1483786280214</v>
      </c>
      <c r="E175" s="129">
        <f>SUM(E173:E174)</f>
        <v>6312.6225193658393</v>
      </c>
      <c r="G175" s="108"/>
      <c r="K175" s="132">
        <f>SUM(K173:K174)</f>
        <v>69645.64</v>
      </c>
      <c r="L175" s="132">
        <f>SUM(L173:L174)</f>
        <v>37797.818695413313</v>
      </c>
      <c r="M175" s="132">
        <f>SUM(M173:M174)</f>
        <v>37493.233820627102</v>
      </c>
      <c r="N175" s="132"/>
      <c r="O175" s="132">
        <f>SUM(O173:O174)</f>
        <v>49137.164304037309</v>
      </c>
      <c r="P175" s="132">
        <f>SUM(P173:P174)</f>
        <v>63363.565156859811</v>
      </c>
    </row>
    <row r="176" spans="1:21" outlineLevel="1" x14ac:dyDescent="0.2">
      <c r="A176" s="80">
        <f t="shared" si="7"/>
        <v>166</v>
      </c>
      <c r="C176" s="103"/>
      <c r="D176" s="103"/>
      <c r="E176" s="103"/>
    </row>
    <row r="177" spans="1:21" outlineLevel="1" x14ac:dyDescent="0.2">
      <c r="A177" s="80">
        <f t="shared" si="7"/>
        <v>167</v>
      </c>
      <c r="B177" s="79" t="s">
        <v>108</v>
      </c>
      <c r="C177" s="103">
        <v>402195</v>
      </c>
      <c r="D177" s="103">
        <v>367759.22697090555</v>
      </c>
      <c r="E177" s="103">
        <v>365655.5514869201</v>
      </c>
      <c r="G177" s="133">
        <v>2.9299999999999999E-3</v>
      </c>
      <c r="H177" s="75">
        <f>G177*(1+R177)</f>
        <v>3.8089999999999999E-3</v>
      </c>
      <c r="I177" s="75">
        <f>H177*(1+S177)</f>
        <v>4.9516999999999999E-3</v>
      </c>
      <c r="J177" s="105"/>
      <c r="K177" s="105">
        <f>G177*C177</f>
        <v>1178.4313499999998</v>
      </c>
      <c r="L177" s="105">
        <f>G177*D177</f>
        <v>1077.5345350247533</v>
      </c>
      <c r="M177" s="105">
        <f>G177*E177</f>
        <v>1071.3707658566759</v>
      </c>
      <c r="N177" s="105"/>
      <c r="O177" s="105">
        <f>H177*D177</f>
        <v>1400.7948955321792</v>
      </c>
      <c r="P177" s="105">
        <f>I177*E177</f>
        <v>1810.6165942977823</v>
      </c>
      <c r="Q177" s="105"/>
      <c r="R177" s="72">
        <v>0.3</v>
      </c>
      <c r="S177" s="72">
        <f>R177</f>
        <v>0.3</v>
      </c>
      <c r="T177" s="105"/>
      <c r="U177" s="102" t="s">
        <v>109</v>
      </c>
    </row>
    <row r="178" spans="1:21" outlineLevel="1" x14ac:dyDescent="0.2">
      <c r="A178" s="80">
        <f t="shared" si="7"/>
        <v>168</v>
      </c>
      <c r="C178" s="103"/>
      <c r="D178" s="103"/>
      <c r="E178" s="103"/>
      <c r="G178" s="103"/>
    </row>
    <row r="179" spans="1:21" ht="12" outlineLevel="1" thickBot="1" x14ac:dyDescent="0.25">
      <c r="A179" s="80">
        <f t="shared" si="7"/>
        <v>169</v>
      </c>
      <c r="B179" s="79" t="s">
        <v>110</v>
      </c>
      <c r="C179" s="103"/>
      <c r="D179" s="103"/>
      <c r="E179" s="179" t="s">
        <v>161</v>
      </c>
      <c r="G179" s="136">
        <f>ROUND(SUM(K163,K165)/SUM($C$163,$C$165),6)</f>
        <v>6.7845000000000003E-2</v>
      </c>
      <c r="H179" s="136">
        <f>ROUND(SUM(O163,O165)/SUM($D$163,$D$165),6)</f>
        <v>8.8165999999999994E-2</v>
      </c>
      <c r="I179" s="136">
        <f>ROUND(SUM(P163,P165)/SUM($E$163,$E$165),6)</f>
        <v>9.2868999999999993E-2</v>
      </c>
      <c r="K179" s="119">
        <f>SUM(K161,K171,K175,K177)</f>
        <v>1146110.070449</v>
      </c>
      <c r="L179" s="119">
        <f>SUM(L161,L171,L175,L177)</f>
        <v>1218190.4620676418</v>
      </c>
      <c r="M179" s="119">
        <f>SUM(M161,M171,M175,M177)</f>
        <v>1212218.9178831319</v>
      </c>
      <c r="N179" s="119"/>
      <c r="O179" s="119">
        <f>SUM(O161,O171,O175,O177)</f>
        <v>1570996.4100765334</v>
      </c>
      <c r="P179" s="119">
        <f>SUM(P161,P171,P175,P177)</f>
        <v>1712287.8854345933</v>
      </c>
      <c r="R179" s="119">
        <v>1570996.4100765337</v>
      </c>
      <c r="S179" s="119">
        <v>1712287.8854345933</v>
      </c>
    </row>
    <row r="180" spans="1:21" ht="12" outlineLevel="1" thickTop="1" x14ac:dyDescent="0.2">
      <c r="A180" s="80">
        <f t="shared" si="7"/>
        <v>170</v>
      </c>
      <c r="B180" s="102" t="s">
        <v>111</v>
      </c>
      <c r="C180" s="103"/>
      <c r="D180" s="103"/>
      <c r="E180" s="179" t="s">
        <v>170</v>
      </c>
      <c r="G180" s="136">
        <f>ROUND(SUM(K164,K166)/SUM($C$164,$C$166),6)</f>
        <v>5.6475999999999998E-2</v>
      </c>
      <c r="H180" s="136">
        <f>ROUND(SUM(O164,O166)/SUM($D$164,$D$166),6)</f>
        <v>7.6003000000000001E-2</v>
      </c>
      <c r="I180" s="136">
        <f>ROUND(SUM(P164,P166)/SUM($E$164,$E$166),6)</f>
        <v>8.0701999999999996E-2</v>
      </c>
      <c r="K180" s="180">
        <f>K179/(K179+K69)</f>
        <v>4.1833156930418339E-3</v>
      </c>
      <c r="L180" s="180"/>
      <c r="M180" s="180"/>
      <c r="N180" s="105"/>
      <c r="O180" s="105"/>
      <c r="P180" s="105"/>
      <c r="R180" s="105">
        <f>R179-L179</f>
        <v>352805.94800889189</v>
      </c>
      <c r="S180" s="105">
        <f>S179-M179-R180</f>
        <v>147263.01954256953</v>
      </c>
    </row>
    <row r="181" spans="1:21" ht="12" outlineLevel="1" thickBot="1" x14ac:dyDescent="0.25">
      <c r="A181" s="80">
        <f t="shared" si="7"/>
        <v>171</v>
      </c>
      <c r="B181" s="102" t="s">
        <v>112</v>
      </c>
      <c r="C181" s="103"/>
      <c r="D181" s="103"/>
      <c r="E181" s="179" t="s">
        <v>114</v>
      </c>
      <c r="G181" s="138">
        <f>ROUND(SUM(K175)/SUM($C$175),2)</f>
        <v>8.66</v>
      </c>
      <c r="H181" s="138">
        <f>ROUND(SUM(O175)/SUM($D$175),2)</f>
        <v>7.73</v>
      </c>
      <c r="I181" s="138">
        <f>ROUND(SUM(P175)/SUM($E$175),2)</f>
        <v>10.039999999999999</v>
      </c>
      <c r="K181" s="105"/>
      <c r="L181" s="105"/>
      <c r="M181" s="105"/>
      <c r="N181" s="105"/>
      <c r="O181" s="105"/>
      <c r="P181" s="105"/>
      <c r="R181" s="76">
        <f>R180/L179</f>
        <v>0.28961476796499647</v>
      </c>
      <c r="S181" s="76">
        <f>S180/M179</f>
        <v>0.12148219877621719</v>
      </c>
    </row>
    <row r="182" spans="1:21" ht="12" outlineLevel="1" thickTop="1" x14ac:dyDescent="0.2">
      <c r="A182" s="80">
        <f t="shared" si="7"/>
        <v>172</v>
      </c>
      <c r="B182" s="122" t="s">
        <v>113</v>
      </c>
      <c r="C182" s="103">
        <v>0.67600000090897083</v>
      </c>
      <c r="D182" s="103"/>
      <c r="E182" s="103"/>
      <c r="K182" s="103">
        <v>3.9295510000083596</v>
      </c>
      <c r="L182" s="105">
        <v>0</v>
      </c>
      <c r="M182" s="105">
        <v>0</v>
      </c>
      <c r="N182" s="105"/>
      <c r="O182" s="124"/>
      <c r="P182" s="124"/>
      <c r="R182" s="105">
        <f>R179-O179</f>
        <v>0</v>
      </c>
      <c r="S182" s="105">
        <f>S179-P179</f>
        <v>0</v>
      </c>
    </row>
    <row r="183" spans="1:21" outlineLevel="1" x14ac:dyDescent="0.2">
      <c r="A183" s="80">
        <f t="shared" si="7"/>
        <v>173</v>
      </c>
      <c r="B183" s="125"/>
      <c r="C183" s="126"/>
      <c r="D183" s="126"/>
      <c r="E183" s="126"/>
      <c r="F183" s="126"/>
      <c r="G183" s="127"/>
      <c r="H183" s="127"/>
      <c r="I183" s="127"/>
      <c r="J183" s="126"/>
      <c r="K183" s="126"/>
      <c r="L183" s="126"/>
      <c r="M183" s="126"/>
      <c r="N183" s="126"/>
      <c r="O183" s="126"/>
      <c r="P183" s="126"/>
      <c r="Q183" s="126"/>
      <c r="R183" s="126"/>
      <c r="S183" s="126"/>
      <c r="T183" s="126"/>
      <c r="U183" s="126"/>
    </row>
    <row r="184" spans="1:21" outlineLevel="1" x14ac:dyDescent="0.2">
      <c r="A184" s="80">
        <f t="shared" si="7"/>
        <v>174</v>
      </c>
    </row>
    <row r="185" spans="1:21" outlineLevel="1" x14ac:dyDescent="0.2">
      <c r="A185" s="80">
        <f t="shared" si="7"/>
        <v>175</v>
      </c>
      <c r="B185" s="100" t="s">
        <v>208</v>
      </c>
    </row>
    <row r="186" spans="1:21" outlineLevel="1" x14ac:dyDescent="0.2">
      <c r="A186" s="80">
        <f t="shared" si="7"/>
        <v>176</v>
      </c>
      <c r="B186" s="102" t="s">
        <v>171</v>
      </c>
    </row>
    <row r="187" spans="1:21" outlineLevel="1" x14ac:dyDescent="0.2">
      <c r="A187" s="80">
        <f t="shared" si="7"/>
        <v>177</v>
      </c>
    </row>
    <row r="188" spans="1:21" outlineLevel="1" x14ac:dyDescent="0.2">
      <c r="A188" s="80">
        <f t="shared" si="7"/>
        <v>178</v>
      </c>
      <c r="B188" s="79" t="s">
        <v>35</v>
      </c>
      <c r="C188" s="103">
        <v>6078</v>
      </c>
      <c r="D188" s="103">
        <v>6204.1686709805881</v>
      </c>
      <c r="E188" s="103">
        <v>6205.388909905425</v>
      </c>
      <c r="F188" s="105"/>
      <c r="G188" s="88">
        <v>358.11</v>
      </c>
      <c r="H188" s="71">
        <f>G188*(1+R188)</f>
        <v>465.54300000000001</v>
      </c>
      <c r="I188" s="71">
        <f>H188*(1+S188)</f>
        <v>605.20590000000004</v>
      </c>
      <c r="J188" s="105"/>
      <c r="K188" s="105">
        <f>G188*C188</f>
        <v>2176592.58</v>
      </c>
      <c r="L188" s="105">
        <f>G188*D188</f>
        <v>2221774.8427648586</v>
      </c>
      <c r="M188" s="105">
        <f>G188*E188</f>
        <v>2222211.8225262319</v>
      </c>
      <c r="N188" s="105"/>
      <c r="O188" s="105">
        <f>H188*D188</f>
        <v>2888307.295594316</v>
      </c>
      <c r="P188" s="105">
        <f>I188*E188</f>
        <v>3755537.9800693318</v>
      </c>
      <c r="Q188" s="105"/>
      <c r="R188" s="72">
        <v>0.3</v>
      </c>
      <c r="S188" s="72">
        <f>R188</f>
        <v>0.3</v>
      </c>
      <c r="U188" s="79" t="s">
        <v>97</v>
      </c>
    </row>
    <row r="189" spans="1:21" outlineLevel="1" x14ac:dyDescent="0.2">
      <c r="A189" s="80">
        <f t="shared" si="7"/>
        <v>179</v>
      </c>
      <c r="B189" s="79" t="s">
        <v>98</v>
      </c>
      <c r="C189" s="103"/>
      <c r="D189" s="103"/>
      <c r="E189" s="103"/>
      <c r="F189" s="105"/>
      <c r="G189" s="131"/>
      <c r="H189" s="105"/>
      <c r="I189" s="105"/>
      <c r="J189" s="105"/>
      <c r="K189" s="124"/>
      <c r="L189" s="124"/>
      <c r="M189" s="124"/>
      <c r="N189" s="124"/>
      <c r="O189" s="124"/>
      <c r="P189" s="124"/>
      <c r="Q189" s="105"/>
      <c r="R189" s="105"/>
      <c r="S189" s="105"/>
      <c r="T189" s="105"/>
      <c r="U189" s="105"/>
    </row>
    <row r="190" spans="1:21" outlineLevel="1" x14ac:dyDescent="0.2">
      <c r="A190" s="80">
        <f t="shared" si="7"/>
        <v>180</v>
      </c>
      <c r="B190" s="111" t="s">
        <v>99</v>
      </c>
      <c r="C190" s="103">
        <v>1375421569</v>
      </c>
      <c r="D190" s="103">
        <v>1423586019.4788036</v>
      </c>
      <c r="E190" s="103">
        <v>1411297972.0883911</v>
      </c>
      <c r="F190" s="105"/>
      <c r="G190" s="112">
        <v>5.5718999999999998E-2</v>
      </c>
      <c r="H190" s="112">
        <f>G190+R190</f>
        <v>7.0126392896561127E-2</v>
      </c>
      <c r="I190" s="112">
        <f>H190+S190</f>
        <v>7.0437006057910284E-2</v>
      </c>
      <c r="J190" s="105"/>
      <c r="K190" s="105">
        <f>G190*C190</f>
        <v>76637114.403110996</v>
      </c>
      <c r="L190" s="105">
        <f>G190*D190</f>
        <v>79320789.419339463</v>
      </c>
      <c r="M190" s="105">
        <f>G190*E190</f>
        <v>78636111.706793055</v>
      </c>
      <c r="N190" s="105"/>
      <c r="O190" s="105">
        <f>H190*D190</f>
        <v>99830952.524022102</v>
      </c>
      <c r="P190" s="105">
        <f>I190*E190</f>
        <v>99407603.809506506</v>
      </c>
      <c r="Q190" s="105"/>
      <c r="R190" s="112">
        <f>(R204-(O188-L188)-(O199-L199)-(O201-L201)-(O223-L223))/D195</f>
        <v>1.4407392896561125E-2</v>
      </c>
      <c r="S190" s="112">
        <f>((S204+R204)-(P188-M188)-(P199-M199)-(P201-M201)-(P223-M223))/E195-R190</f>
        <v>3.1061316134915924E-4</v>
      </c>
      <c r="U190" s="102" t="s">
        <v>100</v>
      </c>
    </row>
    <row r="191" spans="1:21" outlineLevel="1" x14ac:dyDescent="0.2">
      <c r="A191" s="80">
        <f t="shared" si="7"/>
        <v>181</v>
      </c>
      <c r="B191" s="106" t="s">
        <v>74</v>
      </c>
      <c r="C191" s="129">
        <f>SUM(C190:C190)</f>
        <v>1375421569</v>
      </c>
      <c r="D191" s="129">
        <f>SUM(D190:D190)</f>
        <v>1423586019.4788036</v>
      </c>
      <c r="E191" s="129">
        <f>SUM(E190:E190)</f>
        <v>1411297972.0883911</v>
      </c>
      <c r="F191" s="105"/>
      <c r="G191" s="140"/>
      <c r="H191" s="105"/>
      <c r="I191" s="105"/>
      <c r="J191" s="105"/>
      <c r="K191" s="132">
        <f>SUM(K190:K190)</f>
        <v>76637114.403110996</v>
      </c>
      <c r="L191" s="132">
        <f>SUM(L190:L190)</f>
        <v>79320789.419339463</v>
      </c>
      <c r="M191" s="132">
        <f>SUM(M190:M190)</f>
        <v>78636111.706793055</v>
      </c>
      <c r="N191" s="132"/>
      <c r="O191" s="132">
        <f>SUM(O190:O190)</f>
        <v>99830952.524022102</v>
      </c>
      <c r="P191" s="132">
        <f>SUM(P190:P190)</f>
        <v>99407603.809506506</v>
      </c>
      <c r="Q191" s="105"/>
      <c r="R191" s="105"/>
      <c r="S191" s="105"/>
      <c r="T191" s="105"/>
      <c r="U191" s="105"/>
    </row>
    <row r="192" spans="1:21" outlineLevel="1" x14ac:dyDescent="0.2">
      <c r="A192" s="80">
        <f t="shared" si="7"/>
        <v>182</v>
      </c>
      <c r="B192" s="111" t="s">
        <v>101</v>
      </c>
      <c r="C192" s="103">
        <v>-9027450.7772835791</v>
      </c>
      <c r="D192" s="115" t="s">
        <v>102</v>
      </c>
      <c r="E192" s="115"/>
      <c r="F192" s="105"/>
      <c r="G192" s="73">
        <f>K192/C192</f>
        <v>8.3088683450645615E-2</v>
      </c>
      <c r="H192" s="105"/>
      <c r="I192" s="105"/>
      <c r="J192" s="105"/>
      <c r="K192" s="124">
        <v>-750079</v>
      </c>
      <c r="L192" s="105">
        <f>G192*D192</f>
        <v>0</v>
      </c>
      <c r="M192" s="105">
        <f>G192*E192</f>
        <v>0</v>
      </c>
      <c r="N192" s="105"/>
      <c r="O192" s="105">
        <f t="shared" ref="O192:P194" si="12">H192*D192</f>
        <v>0</v>
      </c>
      <c r="P192" s="105">
        <f t="shared" si="12"/>
        <v>0</v>
      </c>
      <c r="Q192" s="105"/>
      <c r="R192" s="105"/>
      <c r="S192" s="105"/>
      <c r="T192" s="105"/>
      <c r="U192" s="105"/>
    </row>
    <row r="193" spans="1:21" outlineLevel="1" x14ac:dyDescent="0.2">
      <c r="A193" s="80">
        <f t="shared" si="7"/>
        <v>183</v>
      </c>
      <c r="B193" s="111" t="s">
        <v>172</v>
      </c>
      <c r="C193" s="103">
        <v>4078452.1120000002</v>
      </c>
      <c r="D193" s="115" t="s">
        <v>102</v>
      </c>
      <c r="E193" s="115"/>
      <c r="F193" s="105"/>
      <c r="G193" s="73">
        <f>K193/C193</f>
        <v>8.3088554625965358E-2</v>
      </c>
      <c r="H193" s="105"/>
      <c r="I193" s="105"/>
      <c r="J193" s="105"/>
      <c r="K193" s="124">
        <v>338872.69109729578</v>
      </c>
      <c r="L193" s="105">
        <f>G193*D193</f>
        <v>0</v>
      </c>
      <c r="M193" s="105">
        <f>G193*E193</f>
        <v>0</v>
      </c>
      <c r="N193" s="105"/>
      <c r="O193" s="105">
        <f t="shared" si="12"/>
        <v>0</v>
      </c>
      <c r="P193" s="105">
        <f t="shared" si="12"/>
        <v>0</v>
      </c>
      <c r="Q193" s="105"/>
      <c r="R193" s="105"/>
      <c r="S193" s="105"/>
      <c r="T193" s="105"/>
      <c r="U193" s="105"/>
    </row>
    <row r="194" spans="1:21" outlineLevel="1" x14ac:dyDescent="0.2">
      <c r="A194" s="80">
        <f t="shared" si="7"/>
        <v>184</v>
      </c>
      <c r="B194" s="114" t="s">
        <v>103</v>
      </c>
      <c r="C194" s="103">
        <v>13971021</v>
      </c>
      <c r="D194" s="115" t="s">
        <v>102</v>
      </c>
      <c r="E194" s="115"/>
      <c r="F194" s="105"/>
      <c r="G194" s="73">
        <f>K194/C194</f>
        <v>8.0966165608082619E-2</v>
      </c>
      <c r="H194" s="105"/>
      <c r="I194" s="105"/>
      <c r="J194" s="105"/>
      <c r="K194" s="124">
        <v>1131180</v>
      </c>
      <c r="L194" s="105">
        <f>G194*D194</f>
        <v>0</v>
      </c>
      <c r="M194" s="105">
        <f>G194*E194</f>
        <v>0</v>
      </c>
      <c r="N194" s="105"/>
      <c r="O194" s="105">
        <f t="shared" si="12"/>
        <v>0</v>
      </c>
      <c r="P194" s="105">
        <f t="shared" si="12"/>
        <v>0</v>
      </c>
      <c r="Q194" s="105"/>
      <c r="R194" s="105"/>
      <c r="S194" s="105"/>
      <c r="T194" s="105"/>
      <c r="U194" s="105"/>
    </row>
    <row r="195" spans="1:21" outlineLevel="1" x14ac:dyDescent="0.2">
      <c r="A195" s="80">
        <f t="shared" si="7"/>
        <v>185</v>
      </c>
      <c r="B195" s="106" t="s">
        <v>74</v>
      </c>
      <c r="C195" s="129">
        <f>SUM(C191:C194)</f>
        <v>1384443591.3347163</v>
      </c>
      <c r="D195" s="129">
        <f>SUM(D191:D194)</f>
        <v>1423586019.4788036</v>
      </c>
      <c r="E195" s="129">
        <f>SUM(E191:E194)</f>
        <v>1411297972.0883911</v>
      </c>
      <c r="F195" s="105"/>
      <c r="G195" s="73"/>
      <c r="H195" s="105"/>
      <c r="I195" s="105"/>
      <c r="J195" s="105"/>
      <c r="K195" s="132">
        <f>SUM(K191:K194)</f>
        <v>77357088.094208285</v>
      </c>
      <c r="L195" s="132">
        <f>SUM(L191:L194)</f>
        <v>79320789.419339463</v>
      </c>
      <c r="M195" s="132">
        <f>SUM(M191:M194)</f>
        <v>78636111.706793055</v>
      </c>
      <c r="N195" s="132"/>
      <c r="O195" s="132">
        <f>SUM(O191:O194)</f>
        <v>99830952.524022102</v>
      </c>
      <c r="P195" s="132">
        <f>SUM(P191:P194)</f>
        <v>99407603.809506506</v>
      </c>
      <c r="Q195" s="105"/>
      <c r="R195" s="105"/>
      <c r="S195" s="105"/>
      <c r="T195" s="105"/>
      <c r="U195" s="105"/>
    </row>
    <row r="196" spans="1:21" outlineLevel="1" x14ac:dyDescent="0.2">
      <c r="A196" s="80">
        <f t="shared" si="7"/>
        <v>186</v>
      </c>
      <c r="B196" s="79" t="s">
        <v>104</v>
      </c>
      <c r="C196" s="103"/>
      <c r="D196" s="103"/>
      <c r="E196" s="103"/>
      <c r="F196" s="105"/>
      <c r="G196" s="108"/>
      <c r="H196" s="105"/>
      <c r="I196" s="105"/>
      <c r="J196" s="105"/>
      <c r="K196" s="124"/>
      <c r="L196" s="124"/>
      <c r="M196" s="124"/>
      <c r="N196" s="124"/>
      <c r="O196" s="124"/>
      <c r="P196" s="124"/>
      <c r="Q196" s="105"/>
      <c r="R196" s="105"/>
      <c r="S196" s="105"/>
      <c r="T196" s="105"/>
      <c r="U196" s="105"/>
    </row>
    <row r="197" spans="1:21" outlineLevel="1" x14ac:dyDescent="0.2">
      <c r="A197" s="80">
        <f t="shared" si="7"/>
        <v>187</v>
      </c>
      <c r="B197" s="111" t="s">
        <v>105</v>
      </c>
      <c r="C197" s="103">
        <v>1663661</v>
      </c>
      <c r="D197" s="103">
        <v>1599001.2982320762</v>
      </c>
      <c r="E197" s="103">
        <v>1576780.1645697793</v>
      </c>
      <c r="F197" s="105"/>
      <c r="G197" s="88">
        <v>11.94</v>
      </c>
      <c r="H197" s="71">
        <f>G197*(1+R197)</f>
        <v>15.522</v>
      </c>
      <c r="I197" s="71">
        <f>H197*(1+S197)</f>
        <v>20.178599999999999</v>
      </c>
      <c r="J197" s="105"/>
      <c r="K197" s="105">
        <f>G197*C197</f>
        <v>19864112.34</v>
      </c>
      <c r="L197" s="105">
        <f>G197*D197</f>
        <v>19092075.500890989</v>
      </c>
      <c r="M197" s="105">
        <f>G197*E197</f>
        <v>18826755.164963163</v>
      </c>
      <c r="N197" s="105"/>
      <c r="O197" s="105">
        <f>H197*D197</f>
        <v>24819698.151158288</v>
      </c>
      <c r="P197" s="105">
        <f>I197*E197</f>
        <v>31817216.228787746</v>
      </c>
      <c r="Q197" s="105"/>
      <c r="R197" s="72">
        <v>0.3</v>
      </c>
      <c r="S197" s="72">
        <f>R197</f>
        <v>0.3</v>
      </c>
      <c r="T197" s="105"/>
      <c r="U197" s="102" t="s">
        <v>106</v>
      </c>
    </row>
    <row r="198" spans="1:21" outlineLevel="1" x14ac:dyDescent="0.2">
      <c r="A198" s="80">
        <f t="shared" si="7"/>
        <v>188</v>
      </c>
      <c r="B198" s="111" t="s">
        <v>107</v>
      </c>
      <c r="C198" s="103">
        <v>1689213</v>
      </c>
      <c r="D198" s="103">
        <v>1669750.9286160013</v>
      </c>
      <c r="E198" s="103">
        <v>1654054.4578699945</v>
      </c>
      <c r="F198" s="105"/>
      <c r="G198" s="88">
        <v>7.96</v>
      </c>
      <c r="H198" s="71">
        <f>G198*(1+R198)</f>
        <v>10.348000000000001</v>
      </c>
      <c r="I198" s="71">
        <f>H198*(1+S198)</f>
        <v>13.452400000000001</v>
      </c>
      <c r="J198" s="105"/>
      <c r="K198" s="105">
        <f>G198*C198</f>
        <v>13446135.48</v>
      </c>
      <c r="L198" s="105">
        <f>G198*D198</f>
        <v>13291217.39178337</v>
      </c>
      <c r="M198" s="105">
        <f>G198*E198</f>
        <v>13166273.484645156</v>
      </c>
      <c r="N198" s="105"/>
      <c r="O198" s="105">
        <f>H198*D198</f>
        <v>17278582.609318383</v>
      </c>
      <c r="P198" s="105">
        <f>I198*E198</f>
        <v>22251002.189050313</v>
      </c>
      <c r="Q198" s="105"/>
      <c r="R198" s="74">
        <f>R197</f>
        <v>0.3</v>
      </c>
      <c r="S198" s="74">
        <f>S197</f>
        <v>0.3</v>
      </c>
      <c r="T198" s="105"/>
      <c r="U198" s="102" t="s">
        <v>106</v>
      </c>
    </row>
    <row r="199" spans="1:21" outlineLevel="1" x14ac:dyDescent="0.2">
      <c r="A199" s="80">
        <f t="shared" si="7"/>
        <v>189</v>
      </c>
      <c r="B199" s="106" t="s">
        <v>74</v>
      </c>
      <c r="C199" s="129">
        <f>SUM(C197:C198)</f>
        <v>3352874</v>
      </c>
      <c r="D199" s="129">
        <f>SUM(D197:D198)</f>
        <v>3268752.2268480775</v>
      </c>
      <c r="E199" s="129">
        <f>SUM(E197:E198)</f>
        <v>3230834.6224397738</v>
      </c>
      <c r="F199" s="105"/>
      <c r="G199" s="108"/>
      <c r="K199" s="132">
        <f>SUM(K197:K198)</f>
        <v>33310247.82</v>
      </c>
      <c r="L199" s="132">
        <f>SUM(L197:L198)</f>
        <v>32383292.892674357</v>
      </c>
      <c r="M199" s="132">
        <f>SUM(M197:M198)</f>
        <v>31993028.649608321</v>
      </c>
      <c r="N199" s="132"/>
      <c r="O199" s="132">
        <f>SUM(O197:O198)</f>
        <v>42098280.760476671</v>
      </c>
      <c r="P199" s="132">
        <f>SUM(P197:P198)</f>
        <v>54068218.417838059</v>
      </c>
    </row>
    <row r="200" spans="1:21" outlineLevel="1" x14ac:dyDescent="0.2">
      <c r="A200" s="80">
        <f t="shared" si="7"/>
        <v>190</v>
      </c>
      <c r="C200" s="103"/>
      <c r="D200" s="103"/>
      <c r="E200" s="103"/>
      <c r="F200" s="105"/>
      <c r="G200" s="103"/>
      <c r="K200" s="124"/>
      <c r="L200" s="124"/>
      <c r="M200" s="124"/>
      <c r="N200" s="124"/>
      <c r="O200" s="124"/>
      <c r="P200" s="124"/>
      <c r="U200" s="74"/>
    </row>
    <row r="201" spans="1:21" outlineLevel="1" x14ac:dyDescent="0.2">
      <c r="A201" s="80">
        <f t="shared" si="7"/>
        <v>191</v>
      </c>
      <c r="B201" s="79" t="s">
        <v>108</v>
      </c>
      <c r="C201" s="103">
        <v>651308116</v>
      </c>
      <c r="D201" s="103">
        <v>674772184.38809776</v>
      </c>
      <c r="E201" s="103">
        <v>668722379.85534632</v>
      </c>
      <c r="F201" s="105"/>
      <c r="G201" s="133">
        <v>1.1199999999999999E-3</v>
      </c>
      <c r="H201" s="75">
        <f>G201*(1+R201)</f>
        <v>1.4559999999999998E-3</v>
      </c>
      <c r="I201" s="75">
        <f>H201*(1+S201)</f>
        <v>1.8927999999999998E-3</v>
      </c>
      <c r="J201" s="105"/>
      <c r="K201" s="105">
        <f>G201*C201</f>
        <v>729465.08991999994</v>
      </c>
      <c r="L201" s="105">
        <f>G201*D201</f>
        <v>755744.84651466948</v>
      </c>
      <c r="M201" s="105">
        <f>G201*E201</f>
        <v>748969.0654379878</v>
      </c>
      <c r="N201" s="105"/>
      <c r="O201" s="105">
        <f>H201*D201</f>
        <v>982468.30046907021</v>
      </c>
      <c r="P201" s="105">
        <f>I201*E201</f>
        <v>1265757.7205901993</v>
      </c>
      <c r="Q201" s="105"/>
      <c r="R201" s="72">
        <v>0.3</v>
      </c>
      <c r="S201" s="72">
        <f>R201</f>
        <v>0.3</v>
      </c>
      <c r="T201" s="105"/>
      <c r="U201" s="102" t="s">
        <v>109</v>
      </c>
    </row>
    <row r="202" spans="1:21" outlineLevel="1" x14ac:dyDescent="0.2">
      <c r="A202" s="80">
        <f t="shared" si="7"/>
        <v>192</v>
      </c>
      <c r="C202" s="103"/>
      <c r="D202" s="103"/>
      <c r="E202" s="103"/>
      <c r="G202" s="103"/>
      <c r="K202" s="124"/>
      <c r="L202" s="124"/>
      <c r="M202" s="124"/>
      <c r="N202" s="124"/>
      <c r="O202" s="124"/>
      <c r="P202" s="124"/>
    </row>
    <row r="203" spans="1:21" ht="12" outlineLevel="1" thickBot="1" x14ac:dyDescent="0.25">
      <c r="A203" s="80">
        <f t="shared" si="7"/>
        <v>193</v>
      </c>
      <c r="B203" s="79" t="s">
        <v>110</v>
      </c>
      <c r="C203" s="103"/>
      <c r="D203" s="103"/>
      <c r="E203" s="103"/>
      <c r="G203" s="103"/>
      <c r="K203" s="134">
        <f>SUM(K188,K195,K199,K201)</f>
        <v>113573393.58412828</v>
      </c>
      <c r="L203" s="134">
        <f>SUM(L188,L195,L199,L201)</f>
        <v>114681602.00129335</v>
      </c>
      <c r="M203" s="134">
        <f>SUM(M188,M195,M199,M201)</f>
        <v>113600321.24436559</v>
      </c>
      <c r="N203" s="134"/>
      <c r="O203" s="134">
        <f>SUM(O188,O195,O199,O201)</f>
        <v>145800008.88056216</v>
      </c>
      <c r="P203" s="134">
        <f>SUM(P188,P195,P199,P201)</f>
        <v>158497117.92800412</v>
      </c>
      <c r="R203" s="119">
        <v>146543996.67945495</v>
      </c>
      <c r="S203" s="119">
        <v>159452791.90695757</v>
      </c>
    </row>
    <row r="204" spans="1:21" ht="12" outlineLevel="1" thickTop="1" x14ac:dyDescent="0.2">
      <c r="A204" s="80">
        <f t="shared" ref="A204:A267" si="13">A203+1</f>
        <v>194</v>
      </c>
      <c r="B204" s="102" t="s">
        <v>111</v>
      </c>
      <c r="C204" s="103"/>
      <c r="D204" s="103"/>
      <c r="E204" s="103"/>
      <c r="G204" s="103"/>
      <c r="K204" s="124"/>
      <c r="L204" s="124"/>
      <c r="M204" s="124"/>
      <c r="N204" s="124"/>
      <c r="O204" s="124"/>
      <c r="P204" s="124"/>
      <c r="R204" s="105">
        <f>R203-L203-L223</f>
        <v>31301839.61355117</v>
      </c>
      <c r="S204" s="105">
        <f>S203-M203-M223-R204</f>
        <v>13996740.487509876</v>
      </c>
      <c r="T204" s="105"/>
    </row>
    <row r="205" spans="1:21" outlineLevel="1" x14ac:dyDescent="0.2">
      <c r="A205" s="80">
        <f t="shared" si="13"/>
        <v>195</v>
      </c>
      <c r="B205" s="102" t="s">
        <v>112</v>
      </c>
      <c r="C205" s="103"/>
      <c r="D205" s="103"/>
      <c r="E205" s="103"/>
      <c r="K205" s="124"/>
      <c r="L205" s="124"/>
      <c r="M205" s="124"/>
      <c r="N205" s="124"/>
      <c r="O205" s="124"/>
      <c r="P205" s="124"/>
      <c r="R205" s="76">
        <f>R204/L203</f>
        <v>0.27294560825195097</v>
      </c>
      <c r="S205" s="76">
        <f>S204/M203</f>
        <v>0.12321039530690671</v>
      </c>
      <c r="T205" s="105"/>
    </row>
    <row r="206" spans="1:21" outlineLevel="1" x14ac:dyDescent="0.2">
      <c r="A206" s="80">
        <f t="shared" si="13"/>
        <v>196</v>
      </c>
      <c r="B206" s="122" t="s">
        <v>113</v>
      </c>
      <c r="C206" s="103">
        <v>1.062000036239624</v>
      </c>
      <c r="D206" s="103"/>
      <c r="E206" s="103"/>
      <c r="K206" s="103">
        <v>-0.89303098386153579</v>
      </c>
      <c r="L206" s="103">
        <v>9.3132257461547852E-10</v>
      </c>
      <c r="M206" s="103">
        <v>0</v>
      </c>
      <c r="N206" s="124"/>
      <c r="O206" s="124"/>
      <c r="P206" s="124"/>
      <c r="R206" s="105">
        <f>R203-O203-O223</f>
        <v>1.0011717677116394E-8</v>
      </c>
      <c r="S206" s="105">
        <f>S203-P203-P223</f>
        <v>-3.7252902984619141E-8</v>
      </c>
      <c r="T206" s="124"/>
    </row>
    <row r="207" spans="1:21" ht="12" outlineLevel="1" thickBot="1" x14ac:dyDescent="0.25">
      <c r="A207" s="80">
        <f t="shared" si="13"/>
        <v>197</v>
      </c>
      <c r="B207" s="135" t="s">
        <v>114</v>
      </c>
      <c r="D207" s="103"/>
      <c r="E207" s="103"/>
      <c r="G207" s="138">
        <f>ROUND(SUM(K199)/SUM(C199),2)</f>
        <v>9.93</v>
      </c>
      <c r="H207" s="138">
        <f>ROUND(SUM(O199)/SUM(D199),2)</f>
        <v>12.88</v>
      </c>
      <c r="I207" s="138">
        <f>ROUND(SUM(P199)/SUM(E199),2)</f>
        <v>16.739999999999998</v>
      </c>
      <c r="N207" s="124"/>
    </row>
    <row r="208" spans="1:21" ht="12" outlineLevel="1" thickTop="1" x14ac:dyDescent="0.2">
      <c r="A208" s="80">
        <f t="shared" si="13"/>
        <v>198</v>
      </c>
      <c r="B208" s="125"/>
      <c r="C208" s="126"/>
      <c r="D208" s="126"/>
      <c r="E208" s="126"/>
      <c r="F208" s="126"/>
      <c r="G208" s="127"/>
      <c r="H208" s="127"/>
      <c r="I208" s="127"/>
      <c r="J208" s="126"/>
      <c r="K208" s="126"/>
      <c r="L208" s="126"/>
      <c r="M208" s="126"/>
      <c r="N208" s="124"/>
      <c r="O208" s="126"/>
      <c r="P208" s="126"/>
      <c r="Q208" s="126"/>
      <c r="R208" s="126"/>
      <c r="S208" s="126"/>
      <c r="T208" s="126"/>
      <c r="U208" s="126"/>
    </row>
    <row r="209" spans="1:21" outlineLevel="1" x14ac:dyDescent="0.2">
      <c r="A209" s="80">
        <f t="shared" si="13"/>
        <v>199</v>
      </c>
      <c r="B209" s="102"/>
      <c r="N209" s="124"/>
    </row>
    <row r="210" spans="1:21" outlineLevel="1" x14ac:dyDescent="0.2">
      <c r="A210" s="80">
        <f t="shared" si="13"/>
        <v>200</v>
      </c>
      <c r="B210" s="100" t="s">
        <v>173</v>
      </c>
    </row>
    <row r="211" spans="1:21" outlineLevel="1" x14ac:dyDescent="0.2">
      <c r="A211" s="80">
        <f t="shared" si="13"/>
        <v>201</v>
      </c>
      <c r="B211" s="102" t="s">
        <v>96</v>
      </c>
    </row>
    <row r="212" spans="1:21" outlineLevel="1" x14ac:dyDescent="0.2">
      <c r="A212" s="80">
        <f t="shared" si="13"/>
        <v>202</v>
      </c>
    </row>
    <row r="213" spans="1:21" outlineLevel="1" x14ac:dyDescent="0.2">
      <c r="A213" s="80">
        <f t="shared" si="13"/>
        <v>203</v>
      </c>
      <c r="B213" s="79" t="s">
        <v>116</v>
      </c>
      <c r="C213" s="103"/>
      <c r="F213" s="105"/>
      <c r="G213" s="108"/>
      <c r="H213" s="105"/>
      <c r="I213" s="105"/>
      <c r="J213" s="105"/>
      <c r="K213" s="124"/>
      <c r="L213" s="124"/>
      <c r="M213" s="124"/>
      <c r="N213" s="124"/>
      <c r="O213" s="124"/>
      <c r="P213" s="124"/>
      <c r="Q213" s="105"/>
      <c r="R213" s="105"/>
      <c r="S213" s="105"/>
      <c r="T213" s="105"/>
      <c r="U213" s="105"/>
    </row>
    <row r="214" spans="1:21" outlineLevel="1" x14ac:dyDescent="0.2">
      <c r="A214" s="80">
        <f t="shared" si="13"/>
        <v>204</v>
      </c>
      <c r="B214" s="111" t="s">
        <v>105</v>
      </c>
      <c r="C214" s="103">
        <v>31895</v>
      </c>
      <c r="D214" s="103">
        <v>31655.972817598231</v>
      </c>
      <c r="E214" s="103">
        <v>31216.053472962532</v>
      </c>
      <c r="F214" s="105"/>
      <c r="G214" s="88">
        <v>5.85</v>
      </c>
      <c r="H214" s="71">
        <f>H197-H219</f>
        <v>8.5370999999999988</v>
      </c>
      <c r="I214" s="71">
        <f>I197-I219</f>
        <v>11.098229999999999</v>
      </c>
      <c r="J214" s="105"/>
      <c r="K214" s="105">
        <f>G214*C214</f>
        <v>186585.75</v>
      </c>
      <c r="L214" s="105">
        <f>G214*D214</f>
        <v>185187.44098294963</v>
      </c>
      <c r="M214" s="105">
        <f>G214*E214</f>
        <v>182613.91281683079</v>
      </c>
      <c r="N214" s="105"/>
      <c r="O214" s="105">
        <f>H214*D214</f>
        <v>270250.20554111782</v>
      </c>
      <c r="P214" s="105">
        <f>I214*E214</f>
        <v>346442.94113523694</v>
      </c>
      <c r="Q214" s="105"/>
    </row>
    <row r="215" spans="1:21" outlineLevel="1" x14ac:dyDescent="0.2">
      <c r="A215" s="80">
        <f t="shared" si="13"/>
        <v>205</v>
      </c>
      <c r="B215" s="111" t="s">
        <v>107</v>
      </c>
      <c r="C215" s="103">
        <v>34576</v>
      </c>
      <c r="D215" s="103">
        <v>35468.166553725612</v>
      </c>
      <c r="E215" s="103">
        <v>35134.748539587112</v>
      </c>
      <c r="F215" s="105"/>
      <c r="G215" s="88">
        <v>3.9</v>
      </c>
      <c r="H215" s="71">
        <f>H198-H220</f>
        <v>5.6914000000000007</v>
      </c>
      <c r="I215" s="71">
        <f>I198-I220</f>
        <v>7.3988200000000006</v>
      </c>
      <c r="J215" s="105"/>
      <c r="K215" s="105">
        <f>G215*C215</f>
        <v>134846.39999999999</v>
      </c>
      <c r="L215" s="105">
        <f>G215*D215</f>
        <v>138325.84955952989</v>
      </c>
      <c r="M215" s="105">
        <f>G215*E215</f>
        <v>137025.51930438975</v>
      </c>
      <c r="N215" s="105"/>
      <c r="O215" s="105">
        <f>H215*D215</f>
        <v>201863.52312387398</v>
      </c>
      <c r="P215" s="105">
        <f>I215*E215</f>
        <v>259955.68018966794</v>
      </c>
      <c r="Q215" s="105"/>
    </row>
    <row r="216" spans="1:21" outlineLevel="1" x14ac:dyDescent="0.2">
      <c r="A216" s="80">
        <f t="shared" si="13"/>
        <v>206</v>
      </c>
      <c r="B216" s="106" t="s">
        <v>74</v>
      </c>
      <c r="C216" s="129">
        <f>SUM(C214:C215)</f>
        <v>66471</v>
      </c>
      <c r="D216" s="129">
        <f>SUM(D214:D215)</f>
        <v>67124.139371323836</v>
      </c>
      <c r="E216" s="129">
        <f>SUM(E214:E215)</f>
        <v>66350.80201254964</v>
      </c>
      <c r="F216" s="105"/>
      <c r="G216" s="108"/>
      <c r="H216" s="105"/>
      <c r="I216" s="105"/>
      <c r="J216" s="105"/>
      <c r="K216" s="132">
        <f>SUM(K214:K215)</f>
        <v>321432.15000000002</v>
      </c>
      <c r="L216" s="132">
        <f>SUM(L214:L215)</f>
        <v>323513.29054247949</v>
      </c>
      <c r="M216" s="132">
        <f>SUM(M214:M215)</f>
        <v>319639.43212122051</v>
      </c>
      <c r="N216" s="132"/>
      <c r="O216" s="132">
        <f>SUM(O214:O215)</f>
        <v>472113.7286649918</v>
      </c>
      <c r="P216" s="132">
        <f>SUM(P214:P215)</f>
        <v>606398.62132490485</v>
      </c>
      <c r="Q216" s="105"/>
      <c r="R216" s="72"/>
      <c r="S216" s="72"/>
      <c r="T216" s="105"/>
      <c r="U216" s="105"/>
    </row>
    <row r="217" spans="1:21" outlineLevel="1" x14ac:dyDescent="0.2">
      <c r="A217" s="80">
        <f t="shared" si="13"/>
        <v>207</v>
      </c>
      <c r="B217" s="106"/>
      <c r="C217" s="103"/>
      <c r="D217" s="103"/>
      <c r="E217" s="103"/>
      <c r="F217" s="105"/>
      <c r="G217" s="108"/>
      <c r="H217" s="105"/>
      <c r="I217" s="105"/>
      <c r="J217" s="105"/>
      <c r="K217" s="124"/>
      <c r="L217" s="124"/>
      <c r="M217" s="124"/>
      <c r="N217" s="124"/>
      <c r="O217" s="124"/>
      <c r="P217" s="124"/>
      <c r="Q217" s="105"/>
      <c r="R217" s="72"/>
      <c r="S217" s="72"/>
      <c r="T217" s="105"/>
      <c r="U217" s="105"/>
    </row>
    <row r="218" spans="1:21" outlineLevel="1" x14ac:dyDescent="0.2">
      <c r="A218" s="80">
        <f t="shared" si="13"/>
        <v>208</v>
      </c>
      <c r="B218" s="79" t="s">
        <v>117</v>
      </c>
      <c r="C218" s="103"/>
      <c r="D218" s="103"/>
      <c r="E218" s="103"/>
      <c r="F218" s="105"/>
      <c r="G218" s="108"/>
      <c r="H218" s="105"/>
      <c r="I218" s="105"/>
      <c r="J218" s="105"/>
      <c r="K218" s="124"/>
      <c r="L218" s="124"/>
      <c r="M218" s="124"/>
      <c r="N218" s="124"/>
      <c r="O218" s="124"/>
      <c r="P218" s="124"/>
      <c r="Q218" s="105"/>
      <c r="R218" s="72"/>
      <c r="S218" s="72"/>
      <c r="T218" s="105"/>
      <c r="U218" s="105"/>
    </row>
    <row r="219" spans="1:21" outlineLevel="1" x14ac:dyDescent="0.2">
      <c r="A219" s="80">
        <f t="shared" si="13"/>
        <v>209</v>
      </c>
      <c r="B219" s="111" t="s">
        <v>105</v>
      </c>
      <c r="C219" s="103">
        <v>20691</v>
      </c>
      <c r="D219" s="103">
        <v>20535.937719671576</v>
      </c>
      <c r="E219" s="103">
        <v>20250.552199688595</v>
      </c>
      <c r="F219" s="105"/>
      <c r="G219" s="88">
        <v>6.09</v>
      </c>
      <c r="H219" s="71">
        <f>IF(SUM(L227:L228)&gt;45%,$H$197*R219,$H$197*SUM(L227:L228))</f>
        <v>6.9849000000000006</v>
      </c>
      <c r="I219" s="71">
        <f>IF(SUM(M227:M228)&gt;45%,$I$197*S219,$I$197*SUM(M227:M228))</f>
        <v>9.0803700000000003</v>
      </c>
      <c r="J219" s="105"/>
      <c r="K219" s="105">
        <f>G219*C219</f>
        <v>126008.19</v>
      </c>
      <c r="L219" s="105">
        <f>G219*D219</f>
        <v>125063.8607127999</v>
      </c>
      <c r="M219" s="105">
        <f>G219*E219</f>
        <v>123325.86289610354</v>
      </c>
      <c r="N219" s="105"/>
      <c r="O219" s="105">
        <f>H219*D219</f>
        <v>143441.47137813401</v>
      </c>
      <c r="P219" s="105">
        <f>I219*E219</f>
        <v>183882.50667748632</v>
      </c>
      <c r="Q219" s="105"/>
      <c r="R219" s="76">
        <f>R110</f>
        <v>0.45</v>
      </c>
      <c r="S219" s="76">
        <f>R219</f>
        <v>0.45</v>
      </c>
      <c r="T219" s="105"/>
      <c r="U219" s="79" t="s">
        <v>118</v>
      </c>
    </row>
    <row r="220" spans="1:21" outlineLevel="1" x14ac:dyDescent="0.2">
      <c r="A220" s="80">
        <f t="shared" si="13"/>
        <v>210</v>
      </c>
      <c r="B220" s="111" t="s">
        <v>107</v>
      </c>
      <c r="C220" s="103">
        <v>26887</v>
      </c>
      <c r="D220" s="103">
        <v>27580.766836245388</v>
      </c>
      <c r="E220" s="103">
        <v>27321.494215174651</v>
      </c>
      <c r="F220" s="105"/>
      <c r="G220" s="88">
        <v>4.0599999999999996</v>
      </c>
      <c r="H220" s="71">
        <f>IF(SUM(L227:L228)&gt;45%,$H$198*R220,$H$198*SUM(L227:L228))</f>
        <v>4.6566000000000001</v>
      </c>
      <c r="I220" s="71">
        <f>IF(SUM(M227:M228)&gt;45%,$I$198*S220,$I$198*SUM(M227:M228))</f>
        <v>6.0535800000000002</v>
      </c>
      <c r="J220" s="105"/>
      <c r="K220" s="105">
        <f>G220*C220</f>
        <v>109161.21999999999</v>
      </c>
      <c r="L220" s="105">
        <f>G220*D220</f>
        <v>111977.91335515627</v>
      </c>
      <c r="M220" s="105">
        <f>G220*E220</f>
        <v>110925.26651360907</v>
      </c>
      <c r="N220" s="105"/>
      <c r="O220" s="105">
        <f>H220*D220</f>
        <v>128432.59884966028</v>
      </c>
      <c r="P220" s="105">
        <f>I220*E220</f>
        <v>165392.85095109697</v>
      </c>
      <c r="Q220" s="105"/>
      <c r="R220" s="76">
        <f>R219</f>
        <v>0.45</v>
      </c>
      <c r="S220" s="76">
        <f>S219</f>
        <v>0.45</v>
      </c>
      <c r="T220" s="105"/>
      <c r="U220" s="79" t="s">
        <v>118</v>
      </c>
    </row>
    <row r="221" spans="1:21" outlineLevel="1" x14ac:dyDescent="0.2">
      <c r="A221" s="80">
        <f t="shared" si="13"/>
        <v>211</v>
      </c>
      <c r="B221" s="106" t="s">
        <v>74</v>
      </c>
      <c r="C221" s="129">
        <f>SUM(C219:C220)</f>
        <v>47578</v>
      </c>
      <c r="D221" s="129">
        <f>SUM(D219:D220)</f>
        <v>48116.704555916964</v>
      </c>
      <c r="E221" s="129">
        <f>SUM(E219:E220)</f>
        <v>47572.046414863245</v>
      </c>
      <c r="F221" s="105"/>
      <c r="G221" s="108"/>
      <c r="H221" s="105"/>
      <c r="I221" s="105"/>
      <c r="J221" s="105"/>
      <c r="K221" s="132">
        <f>SUM(K219:K220)</f>
        <v>235169.40999999997</v>
      </c>
      <c r="L221" s="132">
        <f>SUM(L219:L220)</f>
        <v>237041.77406795617</v>
      </c>
      <c r="M221" s="132">
        <f>SUM(M219:M220)</f>
        <v>234251.12940971262</v>
      </c>
      <c r="N221" s="132"/>
      <c r="O221" s="132">
        <f>SUM(O219:O220)</f>
        <v>271874.07022779429</v>
      </c>
      <c r="P221" s="132">
        <f>SUM(P219:P220)</f>
        <v>349275.35762858333</v>
      </c>
    </row>
    <row r="222" spans="1:21" outlineLevel="1" x14ac:dyDescent="0.2">
      <c r="A222" s="80">
        <f t="shared" si="13"/>
        <v>212</v>
      </c>
      <c r="B222" s="106"/>
      <c r="C222" s="103"/>
      <c r="D222" s="103"/>
      <c r="E222" s="103"/>
      <c r="F222" s="105"/>
      <c r="G222" s="108"/>
      <c r="H222" s="105"/>
      <c r="I222" s="105"/>
      <c r="J222" s="105"/>
      <c r="K222" s="124"/>
      <c r="L222" s="124"/>
      <c r="M222" s="124"/>
      <c r="N222" s="124"/>
      <c r="O222" s="124"/>
      <c r="P222" s="124"/>
    </row>
    <row r="223" spans="1:21" ht="12" outlineLevel="1" thickBot="1" x14ac:dyDescent="0.25">
      <c r="A223" s="80">
        <f t="shared" si="13"/>
        <v>213</v>
      </c>
      <c r="B223" s="79" t="s">
        <v>110</v>
      </c>
      <c r="C223" s="103"/>
      <c r="D223" s="103"/>
      <c r="E223" s="103"/>
      <c r="G223" s="103"/>
      <c r="K223" s="134">
        <f>SUM(K216,K221)</f>
        <v>556601.56000000006</v>
      </c>
      <c r="L223" s="134">
        <f>SUM(L216,L221)</f>
        <v>560555.06461043563</v>
      </c>
      <c r="M223" s="134">
        <f>SUM(M216,M221)</f>
        <v>553890.56153093313</v>
      </c>
      <c r="N223" s="134"/>
      <c r="O223" s="134">
        <f>SUM(O216,O221)</f>
        <v>743987.79889278603</v>
      </c>
      <c r="P223" s="134">
        <f>SUM(P216,P221)</f>
        <v>955673.97895348817</v>
      </c>
    </row>
    <row r="224" spans="1:21" ht="12.75" outlineLevel="1" thickTop="1" thickBot="1" x14ac:dyDescent="0.25">
      <c r="A224" s="80">
        <f t="shared" si="13"/>
        <v>214</v>
      </c>
      <c r="B224" s="122" t="s">
        <v>113</v>
      </c>
      <c r="C224" s="103"/>
      <c r="D224" s="103"/>
      <c r="E224" s="103"/>
      <c r="G224" s="141">
        <f t="shared" ref="G224:I225" si="14">G197-SUM(G214,G219)</f>
        <v>0</v>
      </c>
      <c r="H224" s="141">
        <f t="shared" si="14"/>
        <v>0</v>
      </c>
      <c r="I224" s="141">
        <f t="shared" si="14"/>
        <v>0</v>
      </c>
      <c r="K224" s="124"/>
      <c r="L224" s="124"/>
      <c r="M224" s="124"/>
      <c r="N224" s="124"/>
      <c r="O224" s="124"/>
      <c r="P224" s="124"/>
    </row>
    <row r="225" spans="1:21" ht="12" outlineLevel="1" thickBot="1" x14ac:dyDescent="0.25">
      <c r="A225" s="80">
        <f t="shared" si="13"/>
        <v>215</v>
      </c>
      <c r="B225" s="122" t="s">
        <v>113</v>
      </c>
      <c r="C225" s="103"/>
      <c r="D225" s="103"/>
      <c r="E225" s="103"/>
      <c r="F225" s="105"/>
      <c r="G225" s="141">
        <f t="shared" si="14"/>
        <v>0</v>
      </c>
      <c r="H225" s="141">
        <f t="shared" si="14"/>
        <v>0</v>
      </c>
      <c r="I225" s="141">
        <f t="shared" si="14"/>
        <v>0</v>
      </c>
      <c r="J225" s="105"/>
      <c r="K225" s="124"/>
      <c r="L225" s="124"/>
      <c r="M225" s="124"/>
      <c r="N225" s="124"/>
      <c r="O225" s="142" t="s">
        <v>5</v>
      </c>
      <c r="P225" s="142" t="s">
        <v>6</v>
      </c>
    </row>
    <row r="226" spans="1:21" outlineLevel="1" x14ac:dyDescent="0.2">
      <c r="A226" s="80">
        <f t="shared" si="13"/>
        <v>216</v>
      </c>
      <c r="B226" s="181"/>
      <c r="C226" s="143"/>
      <c r="D226" s="143"/>
      <c r="E226" s="143"/>
      <c r="F226" s="144"/>
      <c r="G226" s="145"/>
      <c r="H226" s="144"/>
      <c r="I226" s="144"/>
      <c r="J226" s="144"/>
      <c r="K226" s="146"/>
      <c r="L226" s="146"/>
      <c r="M226" s="146"/>
      <c r="N226" s="146"/>
      <c r="O226" s="147"/>
      <c r="P226" s="147"/>
    </row>
    <row r="227" spans="1:21" outlineLevel="1" x14ac:dyDescent="0.2">
      <c r="A227" s="80">
        <f t="shared" si="13"/>
        <v>217</v>
      </c>
      <c r="B227" s="182" t="s">
        <v>119</v>
      </c>
      <c r="C227" s="103"/>
      <c r="D227" s="103"/>
      <c r="E227" s="103"/>
      <c r="F227" s="105"/>
      <c r="G227" s="108"/>
      <c r="H227" s="105"/>
      <c r="I227" s="105"/>
      <c r="J227" s="105"/>
      <c r="K227" s="124"/>
      <c r="L227" s="77">
        <f>O227/O230</f>
        <v>0.3473365810274846</v>
      </c>
      <c r="M227" s="77">
        <f>P227/P230</f>
        <v>0.3473365810274846</v>
      </c>
      <c r="N227" s="77"/>
      <c r="O227" s="148">
        <v>18828813.980762526</v>
      </c>
      <c r="P227" s="148">
        <f>O227</f>
        <v>18828813.980762526</v>
      </c>
    </row>
    <row r="228" spans="1:21" outlineLevel="1" x14ac:dyDescent="0.2">
      <c r="A228" s="80">
        <f t="shared" si="13"/>
        <v>218</v>
      </c>
      <c r="B228" s="183" t="s">
        <v>120</v>
      </c>
      <c r="C228" s="103"/>
      <c r="D228" s="103"/>
      <c r="E228" s="103"/>
      <c r="F228" s="105"/>
      <c r="G228" s="108"/>
      <c r="H228" s="105"/>
      <c r="I228" s="105"/>
      <c r="J228" s="105"/>
      <c r="K228" s="124"/>
      <c r="L228" s="77">
        <f>O228/O230</f>
        <v>0.17383298549178347</v>
      </c>
      <c r="M228" s="77">
        <f>P228/P230</f>
        <v>0.17383298549178347</v>
      </c>
      <c r="N228" s="77"/>
      <c r="O228" s="148">
        <v>9423334.9619065467</v>
      </c>
      <c r="P228" s="148">
        <f>O228</f>
        <v>9423334.9619065467</v>
      </c>
    </row>
    <row r="229" spans="1:21" outlineLevel="1" x14ac:dyDescent="0.2">
      <c r="A229" s="80">
        <f t="shared" si="13"/>
        <v>219</v>
      </c>
      <c r="B229" s="183" t="s">
        <v>121</v>
      </c>
      <c r="C229" s="103"/>
      <c r="D229" s="103"/>
      <c r="E229" s="103"/>
      <c r="F229" s="105"/>
      <c r="G229" s="108"/>
      <c r="H229" s="105"/>
      <c r="I229" s="105"/>
      <c r="J229" s="105"/>
      <c r="K229" s="124"/>
      <c r="L229" s="77">
        <f>O229/O230</f>
        <v>0.47883043348073195</v>
      </c>
      <c r="M229" s="77">
        <f>P229/P230</f>
        <v>0.47883043348073195</v>
      </c>
      <c r="N229" s="77"/>
      <c r="O229" s="148">
        <v>25956981.362764001</v>
      </c>
      <c r="P229" s="148">
        <f>O229</f>
        <v>25956981.362764001</v>
      </c>
    </row>
    <row r="230" spans="1:21" ht="12" outlineLevel="1" thickBot="1" x14ac:dyDescent="0.25">
      <c r="A230" s="80">
        <f t="shared" si="13"/>
        <v>220</v>
      </c>
      <c r="B230" s="183" t="s">
        <v>122</v>
      </c>
      <c r="C230" s="103"/>
      <c r="D230" s="103"/>
      <c r="E230" s="103"/>
      <c r="F230" s="105"/>
      <c r="G230" s="108"/>
      <c r="H230" s="105"/>
      <c r="I230" s="105"/>
      <c r="J230" s="105"/>
      <c r="K230" s="124"/>
      <c r="L230" s="149">
        <f>SUM(L227:L229)</f>
        <v>1</v>
      </c>
      <c r="M230" s="149">
        <f>SUM(M227:M229)</f>
        <v>1</v>
      </c>
      <c r="N230" s="150"/>
      <c r="O230" s="151">
        <f>SUM(O227:O229)</f>
        <v>54209130.305433072</v>
      </c>
      <c r="P230" s="151">
        <f>SUM(P227:P229)</f>
        <v>54209130.305433072</v>
      </c>
    </row>
    <row r="231" spans="1:21" ht="12.75" outlineLevel="1" thickTop="1" thickBot="1" x14ac:dyDescent="0.25">
      <c r="A231" s="80">
        <f t="shared" si="13"/>
        <v>221</v>
      </c>
      <c r="B231" s="184" t="s">
        <v>123</v>
      </c>
      <c r="C231" s="154"/>
      <c r="D231" s="154"/>
      <c r="E231" s="154"/>
      <c r="F231" s="155"/>
      <c r="G231" s="156"/>
      <c r="H231" s="155"/>
      <c r="I231" s="155"/>
      <c r="J231" s="155"/>
      <c r="K231" s="157"/>
      <c r="L231" s="157"/>
      <c r="M231" s="157"/>
      <c r="N231" s="157"/>
      <c r="O231" s="158"/>
      <c r="P231" s="158"/>
    </row>
    <row r="232" spans="1:21" outlineLevel="1" x14ac:dyDescent="0.2">
      <c r="A232" s="80">
        <f t="shared" si="13"/>
        <v>222</v>
      </c>
      <c r="B232" s="125"/>
      <c r="C232" s="126"/>
      <c r="D232" s="126"/>
      <c r="E232" s="126"/>
      <c r="F232" s="126"/>
      <c r="G232" s="127"/>
      <c r="H232" s="127"/>
      <c r="I232" s="127"/>
      <c r="J232" s="126"/>
      <c r="K232" s="126"/>
      <c r="L232" s="126"/>
      <c r="M232" s="126"/>
      <c r="N232" s="126"/>
      <c r="O232" s="126"/>
      <c r="P232" s="126"/>
      <c r="Q232" s="126"/>
      <c r="R232" s="126"/>
      <c r="S232" s="126"/>
      <c r="T232" s="126"/>
      <c r="U232" s="126"/>
    </row>
    <row r="233" spans="1:21" outlineLevel="1" x14ac:dyDescent="0.2">
      <c r="A233" s="80">
        <f t="shared" si="13"/>
        <v>223</v>
      </c>
    </row>
    <row r="234" spans="1:21" outlineLevel="1" x14ac:dyDescent="0.2">
      <c r="A234" s="80">
        <f t="shared" si="13"/>
        <v>224</v>
      </c>
      <c r="B234" s="100" t="s">
        <v>209</v>
      </c>
    </row>
    <row r="235" spans="1:21" outlineLevel="1" x14ac:dyDescent="0.2">
      <c r="A235" s="80">
        <f t="shared" si="13"/>
        <v>225</v>
      </c>
      <c r="B235" s="102" t="s">
        <v>171</v>
      </c>
    </row>
    <row r="236" spans="1:21" outlineLevel="1" x14ac:dyDescent="0.2">
      <c r="A236" s="80">
        <f t="shared" si="13"/>
        <v>226</v>
      </c>
    </row>
    <row r="237" spans="1:21" outlineLevel="1" x14ac:dyDescent="0.2">
      <c r="A237" s="80">
        <f t="shared" si="13"/>
        <v>227</v>
      </c>
      <c r="B237" s="79" t="s">
        <v>35</v>
      </c>
      <c r="C237" s="103">
        <v>23</v>
      </c>
      <c r="D237" s="103">
        <v>15.333333333333336</v>
      </c>
      <c r="E237" s="103">
        <v>15.333333333333336</v>
      </c>
      <c r="F237" s="105"/>
      <c r="G237" s="88">
        <v>358.11</v>
      </c>
      <c r="H237" s="71">
        <f>G237*(1+R237)</f>
        <v>465.54300000000001</v>
      </c>
      <c r="I237" s="71">
        <f>H237*(1+S237)</f>
        <v>605.20590000000004</v>
      </c>
      <c r="J237" s="105"/>
      <c r="K237" s="105">
        <f>G237*C237</f>
        <v>8236.5300000000007</v>
      </c>
      <c r="L237" s="105">
        <f>G237*D237</f>
        <v>5491.0200000000013</v>
      </c>
      <c r="M237" s="105">
        <f>G237*E237</f>
        <v>5491.0200000000013</v>
      </c>
      <c r="N237" s="105"/>
      <c r="O237" s="105">
        <f>H237*D237</f>
        <v>7138.3260000000009</v>
      </c>
      <c r="P237" s="105">
        <f>I237*E237</f>
        <v>9279.8238000000019</v>
      </c>
      <c r="Q237" s="105"/>
      <c r="R237" s="72">
        <v>0.3</v>
      </c>
      <c r="S237" s="72">
        <f>R237</f>
        <v>0.3</v>
      </c>
      <c r="U237" s="79" t="s">
        <v>97</v>
      </c>
    </row>
    <row r="238" spans="1:21" outlineLevel="1" x14ac:dyDescent="0.2">
      <c r="A238" s="80">
        <f t="shared" si="13"/>
        <v>228</v>
      </c>
      <c r="B238" s="79" t="s">
        <v>98</v>
      </c>
      <c r="C238" s="103"/>
      <c r="D238" s="103"/>
      <c r="E238" s="103"/>
      <c r="F238" s="105"/>
      <c r="G238" s="131"/>
      <c r="H238" s="105"/>
      <c r="I238" s="105"/>
      <c r="J238" s="105"/>
      <c r="K238" s="124"/>
      <c r="L238" s="124"/>
      <c r="M238" s="124"/>
      <c r="N238" s="124"/>
      <c r="O238" s="124"/>
      <c r="P238" s="124"/>
      <c r="Q238" s="105"/>
      <c r="R238" s="105"/>
      <c r="S238" s="105"/>
      <c r="T238" s="105"/>
      <c r="U238" s="105"/>
    </row>
    <row r="239" spans="1:21" outlineLevel="1" x14ac:dyDescent="0.2">
      <c r="A239" s="80">
        <f t="shared" si="13"/>
        <v>229</v>
      </c>
      <c r="B239" s="111" t="s">
        <v>99</v>
      </c>
      <c r="C239" s="103">
        <v>4259760</v>
      </c>
      <c r="D239" s="103">
        <v>4407260.1568774413</v>
      </c>
      <c r="E239" s="103">
        <v>4380281.1514552524</v>
      </c>
      <c r="F239" s="105"/>
      <c r="G239" s="112">
        <v>5.3178000000000003E-2</v>
      </c>
      <c r="H239" s="112">
        <f>G239+R239</f>
        <v>8.0796474616287278E-2</v>
      </c>
      <c r="I239" s="112">
        <f>H239+S239</f>
        <v>8.8636008417079415E-2</v>
      </c>
      <c r="J239" s="105"/>
      <c r="K239" s="105">
        <f>G239*C239</f>
        <v>226525.51728</v>
      </c>
      <c r="L239" s="105">
        <f>G239*D239</f>
        <v>234369.28062242857</v>
      </c>
      <c r="M239" s="105">
        <f>G239*E239</f>
        <v>232934.59107208744</v>
      </c>
      <c r="N239" s="105"/>
      <c r="O239" s="105">
        <f>H239*D239</f>
        <v>356091.08339252247</v>
      </c>
      <c r="P239" s="105">
        <f>I239*E239</f>
        <v>388250.63700956205</v>
      </c>
      <c r="Q239" s="105"/>
      <c r="R239" s="112">
        <f>(R252-(O237-L237)-(O247-L247)-(O249-L249))/D243</f>
        <v>2.7618474616287268E-2</v>
      </c>
      <c r="S239" s="112">
        <f>((S252+R252)-(P237-M237)-(P247-M247)-(P249-M249))/E243-R239</f>
        <v>7.8395338007921436E-3</v>
      </c>
      <c r="U239" s="102" t="s">
        <v>100</v>
      </c>
    </row>
    <row r="240" spans="1:21" outlineLevel="1" x14ac:dyDescent="0.2">
      <c r="A240" s="80">
        <f t="shared" si="13"/>
        <v>230</v>
      </c>
      <c r="B240" s="106" t="s">
        <v>74</v>
      </c>
      <c r="C240" s="129">
        <f>SUM(C239:C239)</f>
        <v>4259760</v>
      </c>
      <c r="D240" s="129">
        <f>SUM(D239:D239)</f>
        <v>4407260.1568774413</v>
      </c>
      <c r="E240" s="129">
        <f>SUM(E239:E239)</f>
        <v>4380281.1514552524</v>
      </c>
      <c r="F240" s="105"/>
      <c r="G240" s="140"/>
      <c r="H240" s="105"/>
      <c r="I240" s="105"/>
      <c r="J240" s="105"/>
      <c r="K240" s="132">
        <f>SUM(K239:K239)</f>
        <v>226525.51728</v>
      </c>
      <c r="L240" s="132">
        <f>SUM(L239:L239)</f>
        <v>234369.28062242857</v>
      </c>
      <c r="M240" s="132">
        <f>SUM(M239:M239)</f>
        <v>232934.59107208744</v>
      </c>
      <c r="N240" s="132"/>
      <c r="O240" s="132">
        <f>SUM(O239:O239)</f>
        <v>356091.08339252247</v>
      </c>
      <c r="P240" s="132">
        <f>SUM(P239:P239)</f>
        <v>388250.63700956205</v>
      </c>
      <c r="Q240" s="105"/>
      <c r="R240" s="105"/>
      <c r="S240" s="105"/>
      <c r="T240" s="105"/>
      <c r="U240" s="105"/>
    </row>
    <row r="241" spans="1:21" outlineLevel="1" x14ac:dyDescent="0.2">
      <c r="A241" s="80">
        <f t="shared" si="13"/>
        <v>231</v>
      </c>
      <c r="B241" s="111" t="s">
        <v>101</v>
      </c>
      <c r="C241" s="103">
        <v>0</v>
      </c>
      <c r="D241" s="115" t="s">
        <v>102</v>
      </c>
      <c r="E241" s="115"/>
      <c r="F241" s="105"/>
      <c r="G241" s="73">
        <f>IFERROR(K241/C241,0)</f>
        <v>0</v>
      </c>
      <c r="H241" s="105"/>
      <c r="I241" s="105"/>
      <c r="J241" s="105"/>
      <c r="K241" s="124">
        <v>0</v>
      </c>
      <c r="L241" s="105">
        <f>G241*D241</f>
        <v>0</v>
      </c>
      <c r="M241" s="105">
        <f>G241*E241</f>
        <v>0</v>
      </c>
      <c r="N241" s="105"/>
      <c r="O241" s="105">
        <f>H241*D241</f>
        <v>0</v>
      </c>
      <c r="P241" s="105">
        <f>I241*E241</f>
        <v>0</v>
      </c>
      <c r="Q241" s="105"/>
      <c r="R241" s="105"/>
      <c r="S241" s="105"/>
      <c r="T241" s="105"/>
      <c r="U241" s="105"/>
    </row>
    <row r="242" spans="1:21" outlineLevel="1" x14ac:dyDescent="0.2">
      <c r="A242" s="80">
        <f t="shared" si="13"/>
        <v>232</v>
      </c>
      <c r="B242" s="114" t="s">
        <v>103</v>
      </c>
      <c r="C242" s="103">
        <v>1013010</v>
      </c>
      <c r="D242" s="115" t="s">
        <v>102</v>
      </c>
      <c r="E242" s="115"/>
      <c r="F242" s="105"/>
      <c r="G242" s="73">
        <f>K242/C242</f>
        <v>9.5761147471397121E-2</v>
      </c>
      <c r="H242" s="105"/>
      <c r="I242" s="105"/>
      <c r="J242" s="105"/>
      <c r="K242" s="124">
        <v>97007</v>
      </c>
      <c r="L242" s="105">
        <f>G242*D242</f>
        <v>0</v>
      </c>
      <c r="M242" s="105">
        <f>G242*E242</f>
        <v>0</v>
      </c>
      <c r="N242" s="105"/>
      <c r="O242" s="105">
        <f>H242*D242</f>
        <v>0</v>
      </c>
      <c r="P242" s="105">
        <f>I242*E242</f>
        <v>0</v>
      </c>
      <c r="Q242" s="105"/>
      <c r="R242" s="105"/>
      <c r="S242" s="105"/>
      <c r="T242" s="105"/>
      <c r="U242" s="105"/>
    </row>
    <row r="243" spans="1:21" outlineLevel="1" x14ac:dyDescent="0.2">
      <c r="A243" s="80">
        <f t="shared" si="13"/>
        <v>233</v>
      </c>
      <c r="B243" s="106" t="s">
        <v>74</v>
      </c>
      <c r="C243" s="129">
        <f>SUM(C240:C242)</f>
        <v>5272770</v>
      </c>
      <c r="D243" s="129">
        <f>SUM(D240:D242)</f>
        <v>4407260.1568774413</v>
      </c>
      <c r="E243" s="129">
        <f>SUM(E240:E242)</f>
        <v>4380281.1514552524</v>
      </c>
      <c r="F243" s="105"/>
      <c r="G243" s="73"/>
      <c r="H243" s="105"/>
      <c r="I243" s="105"/>
      <c r="J243" s="105"/>
      <c r="K243" s="132">
        <f>SUM(K240:K242)</f>
        <v>323532.51728000003</v>
      </c>
      <c r="L243" s="132">
        <f>SUM(L240:L242)</f>
        <v>234369.28062242857</v>
      </c>
      <c r="M243" s="132">
        <f>SUM(M240:M242)</f>
        <v>232934.59107208744</v>
      </c>
      <c r="N243" s="132"/>
      <c r="O243" s="132">
        <f>SUM(O240:O242)</f>
        <v>356091.08339252247</v>
      </c>
      <c r="P243" s="132">
        <f>SUM(P240:P242)</f>
        <v>388250.63700956205</v>
      </c>
      <c r="Q243" s="105"/>
      <c r="R243" s="105"/>
      <c r="S243" s="105"/>
      <c r="T243" s="105"/>
      <c r="U243" s="105"/>
    </row>
    <row r="244" spans="1:21" outlineLevel="1" x14ac:dyDescent="0.2">
      <c r="A244" s="80">
        <f t="shared" si="13"/>
        <v>234</v>
      </c>
      <c r="B244" s="79" t="s">
        <v>104</v>
      </c>
      <c r="C244" s="103"/>
      <c r="D244" s="103"/>
      <c r="E244" s="103"/>
      <c r="F244" s="105"/>
      <c r="G244" s="108"/>
      <c r="H244" s="105"/>
      <c r="I244" s="105"/>
      <c r="J244" s="105"/>
      <c r="K244" s="124"/>
      <c r="L244" s="124"/>
      <c r="M244" s="124"/>
      <c r="N244" s="124"/>
      <c r="O244" s="124"/>
      <c r="P244" s="124"/>
      <c r="Q244" s="105"/>
      <c r="R244" s="105"/>
      <c r="S244" s="105"/>
      <c r="T244" s="105"/>
      <c r="U244" s="105"/>
    </row>
    <row r="245" spans="1:21" outlineLevel="1" x14ac:dyDescent="0.2">
      <c r="A245" s="80">
        <f t="shared" si="13"/>
        <v>235</v>
      </c>
      <c r="B245" s="111" t="s">
        <v>105</v>
      </c>
      <c r="C245" s="103">
        <v>1114</v>
      </c>
      <c r="D245" s="103">
        <v>2128.9361059551925</v>
      </c>
      <c r="E245" s="103">
        <v>2115.8748434374315</v>
      </c>
      <c r="F245" s="105"/>
      <c r="G245" s="88">
        <v>4.92</v>
      </c>
      <c r="H245" s="71">
        <f>G245*(1+R245)</f>
        <v>6.3959999999999999</v>
      </c>
      <c r="I245" s="71">
        <f>H245*(1+S245)</f>
        <v>8.3148</v>
      </c>
      <c r="J245" s="105"/>
      <c r="K245" s="105">
        <f>G245*C245</f>
        <v>5480.88</v>
      </c>
      <c r="L245" s="105">
        <f>G245*D245</f>
        <v>10474.365641299546</v>
      </c>
      <c r="M245" s="105">
        <f>G245*E245</f>
        <v>10410.104229712162</v>
      </c>
      <c r="N245" s="105"/>
      <c r="O245" s="105">
        <f>H245*D245</f>
        <v>13616.675333689411</v>
      </c>
      <c r="P245" s="105">
        <f>I245*E245</f>
        <v>17593.076148213557</v>
      </c>
      <c r="Q245" s="105"/>
      <c r="R245" s="72">
        <v>0.3</v>
      </c>
      <c r="S245" s="72">
        <f>R245</f>
        <v>0.3</v>
      </c>
      <c r="T245" s="105"/>
      <c r="U245" s="102" t="s">
        <v>106</v>
      </c>
    </row>
    <row r="246" spans="1:21" outlineLevel="1" x14ac:dyDescent="0.2">
      <c r="A246" s="80">
        <f t="shared" si="13"/>
        <v>236</v>
      </c>
      <c r="B246" s="111" t="s">
        <v>107</v>
      </c>
      <c r="C246" s="103">
        <v>6962</v>
      </c>
      <c r="D246" s="103">
        <v>6067.4318320259426</v>
      </c>
      <c r="E246" s="103">
        <v>6030.4348333722037</v>
      </c>
      <c r="F246" s="105"/>
      <c r="G246" s="88">
        <v>3.28</v>
      </c>
      <c r="H246" s="71">
        <f>G246*(1+R246)</f>
        <v>4.2640000000000002</v>
      </c>
      <c r="I246" s="71">
        <f>H246*(1+S246)</f>
        <v>5.5432000000000006</v>
      </c>
      <c r="J246" s="105"/>
      <c r="K246" s="105">
        <f>G246*C246</f>
        <v>22835.359999999997</v>
      </c>
      <c r="L246" s="105">
        <f>G246*D246</f>
        <v>19901.176409045092</v>
      </c>
      <c r="M246" s="105">
        <f>G246*E246</f>
        <v>19779.826253460826</v>
      </c>
      <c r="N246" s="105"/>
      <c r="O246" s="105">
        <f>H246*D246</f>
        <v>25871.529331758622</v>
      </c>
      <c r="P246" s="105">
        <f>I246*E246</f>
        <v>33427.906368348806</v>
      </c>
      <c r="Q246" s="105"/>
      <c r="R246" s="74">
        <f>R245</f>
        <v>0.3</v>
      </c>
      <c r="S246" s="74">
        <f>S245</f>
        <v>0.3</v>
      </c>
      <c r="T246" s="105"/>
      <c r="U246" s="102" t="s">
        <v>106</v>
      </c>
    </row>
    <row r="247" spans="1:21" outlineLevel="1" x14ac:dyDescent="0.2">
      <c r="A247" s="80">
        <f t="shared" si="13"/>
        <v>237</v>
      </c>
      <c r="B247" s="106" t="s">
        <v>74</v>
      </c>
      <c r="C247" s="129">
        <f>SUM(C245:C246)</f>
        <v>8076</v>
      </c>
      <c r="D247" s="129">
        <f>SUM(D245:D246)</f>
        <v>8196.3679379811347</v>
      </c>
      <c r="E247" s="129">
        <f>SUM(E245:E246)</f>
        <v>8146.3096768096348</v>
      </c>
      <c r="F247" s="105"/>
      <c r="G247" s="108"/>
      <c r="K247" s="132">
        <f>SUM(K245:K246)</f>
        <v>28316.239999999998</v>
      </c>
      <c r="L247" s="132">
        <f>SUM(L245:L246)</f>
        <v>30375.542050344637</v>
      </c>
      <c r="M247" s="132">
        <f>SUM(M245:M246)</f>
        <v>30189.93048317299</v>
      </c>
      <c r="N247" s="132"/>
      <c r="O247" s="132">
        <f>SUM(O245:O246)</f>
        <v>39488.204665448036</v>
      </c>
      <c r="P247" s="132">
        <f>SUM(P245:P246)</f>
        <v>51020.982516562362</v>
      </c>
    </row>
    <row r="248" spans="1:21" outlineLevel="1" x14ac:dyDescent="0.2">
      <c r="A248" s="80">
        <f t="shared" si="13"/>
        <v>238</v>
      </c>
      <c r="C248" s="103"/>
      <c r="D248" s="103"/>
      <c r="E248" s="103"/>
      <c r="F248" s="105"/>
      <c r="G248" s="103"/>
      <c r="K248" s="124"/>
      <c r="L248" s="124"/>
      <c r="M248" s="124"/>
      <c r="N248" s="124"/>
      <c r="O248" s="124"/>
      <c r="P248" s="124"/>
      <c r="U248" s="74"/>
    </row>
    <row r="249" spans="1:21" outlineLevel="1" x14ac:dyDescent="0.2">
      <c r="A249" s="80">
        <f t="shared" si="13"/>
        <v>239</v>
      </c>
      <c r="B249" s="79" t="s">
        <v>108</v>
      </c>
      <c r="C249" s="103">
        <v>2366991</v>
      </c>
      <c r="D249" s="103">
        <v>2377596.2053471482</v>
      </c>
      <c r="E249" s="103">
        <v>2362758.1274313945</v>
      </c>
      <c r="F249" s="105"/>
      <c r="G249" s="133">
        <v>1.1800000000000001E-3</v>
      </c>
      <c r="H249" s="75">
        <f>G249*(1+R249)</f>
        <v>1.5340000000000002E-3</v>
      </c>
      <c r="I249" s="75">
        <f>H249*(1+S249)</f>
        <v>1.9942000000000002E-3</v>
      </c>
      <c r="J249" s="105"/>
      <c r="K249" s="105">
        <f>G249*C249</f>
        <v>2793.0493799999999</v>
      </c>
      <c r="L249" s="105">
        <f>G249*D249</f>
        <v>2805.5635223096351</v>
      </c>
      <c r="M249" s="105">
        <f>G249*E249</f>
        <v>2788.0545903690459</v>
      </c>
      <c r="N249" s="105"/>
      <c r="O249" s="105">
        <f>H249*D249</f>
        <v>3647.2325790025261</v>
      </c>
      <c r="P249" s="105">
        <f>I249*E249</f>
        <v>4711.8122577236873</v>
      </c>
      <c r="Q249" s="105"/>
      <c r="R249" s="72">
        <v>0.3</v>
      </c>
      <c r="S249" s="72">
        <f>R249</f>
        <v>0.3</v>
      </c>
      <c r="T249" s="105"/>
      <c r="U249" s="102" t="s">
        <v>109</v>
      </c>
    </row>
    <row r="250" spans="1:21" outlineLevel="1" x14ac:dyDescent="0.2">
      <c r="A250" s="80">
        <f t="shared" si="13"/>
        <v>240</v>
      </c>
      <c r="C250" s="103"/>
      <c r="D250" s="103"/>
      <c r="E250" s="103"/>
      <c r="G250" s="103"/>
      <c r="K250" s="124"/>
      <c r="L250" s="124"/>
      <c r="M250" s="124"/>
      <c r="N250" s="124"/>
      <c r="O250" s="124"/>
      <c r="P250" s="124"/>
    </row>
    <row r="251" spans="1:21" ht="12" outlineLevel="1" thickBot="1" x14ac:dyDescent="0.25">
      <c r="A251" s="80">
        <f t="shared" si="13"/>
        <v>241</v>
      </c>
      <c r="B251" s="79" t="s">
        <v>110</v>
      </c>
      <c r="C251" s="103"/>
      <c r="D251" s="103"/>
      <c r="E251" s="103"/>
      <c r="G251" s="103"/>
      <c r="K251" s="134">
        <f>SUM(K237,K243,K247,K249)</f>
        <v>362878.33666000003</v>
      </c>
      <c r="L251" s="134">
        <f>SUM(L237,L243,L247,L249)</f>
        <v>273041.40619508282</v>
      </c>
      <c r="M251" s="134">
        <f>SUM(M237,M243,M247,M249)</f>
        <v>271403.59614562948</v>
      </c>
      <c r="N251" s="134"/>
      <c r="O251" s="134">
        <f>SUM(O237,O243,O247,O249)</f>
        <v>406364.84663697303</v>
      </c>
      <c r="P251" s="134">
        <f>SUM(P237,P243,P247,P249)</f>
        <v>453263.25558384816</v>
      </c>
      <c r="R251" s="119">
        <v>406364.84663697297</v>
      </c>
      <c r="S251" s="119">
        <v>453263.25558384811</v>
      </c>
    </row>
    <row r="252" spans="1:21" ht="12" outlineLevel="1" thickTop="1" x14ac:dyDescent="0.2">
      <c r="A252" s="80">
        <f t="shared" si="13"/>
        <v>242</v>
      </c>
      <c r="B252" s="102" t="s">
        <v>111</v>
      </c>
      <c r="C252" s="103"/>
      <c r="D252" s="103"/>
      <c r="E252" s="103"/>
      <c r="G252" s="103"/>
      <c r="K252" s="124"/>
      <c r="L252" s="124"/>
      <c r="M252" s="124"/>
      <c r="N252" s="124"/>
      <c r="O252" s="124"/>
      <c r="P252" s="124"/>
      <c r="R252" s="105">
        <f>R251-L251</f>
        <v>133323.44044189015</v>
      </c>
      <c r="S252" s="105">
        <f>S251-M251-R252</f>
        <v>48536.218996328476</v>
      </c>
      <c r="T252" s="105"/>
    </row>
    <row r="253" spans="1:21" outlineLevel="1" x14ac:dyDescent="0.2">
      <c r="A253" s="80">
        <f t="shared" si="13"/>
        <v>243</v>
      </c>
      <c r="B253" s="102" t="s">
        <v>112</v>
      </c>
      <c r="C253" s="103"/>
      <c r="D253" s="103"/>
      <c r="E253" s="103"/>
      <c r="K253" s="124"/>
      <c r="L253" s="124"/>
      <c r="M253" s="124"/>
      <c r="N253" s="124"/>
      <c r="O253" s="124"/>
      <c r="P253" s="124"/>
      <c r="R253" s="76">
        <f>R252/L251</f>
        <v>0.48829019121969042</v>
      </c>
      <c r="S253" s="76">
        <f>S252/M251</f>
        <v>0.17883410421092932</v>
      </c>
      <c r="T253" s="105"/>
    </row>
    <row r="254" spans="1:21" outlineLevel="1" x14ac:dyDescent="0.2">
      <c r="A254" s="80">
        <f t="shared" si="13"/>
        <v>244</v>
      </c>
      <c r="B254" s="122" t="s">
        <v>113</v>
      </c>
      <c r="C254" s="103">
        <v>0</v>
      </c>
      <c r="D254" s="103"/>
      <c r="E254" s="103"/>
      <c r="K254" s="103">
        <v>-0.33666000002995133</v>
      </c>
      <c r="L254" s="105">
        <v>0</v>
      </c>
      <c r="M254" s="105">
        <v>0</v>
      </c>
      <c r="N254" s="105"/>
      <c r="O254" s="124"/>
      <c r="P254" s="124"/>
      <c r="R254" s="105">
        <f>R251-O251</f>
        <v>0</v>
      </c>
      <c r="S254" s="105">
        <f>S251-P251</f>
        <v>0</v>
      </c>
      <c r="T254" s="124"/>
    </row>
    <row r="255" spans="1:21" ht="12" outlineLevel="1" thickBot="1" x14ac:dyDescent="0.25">
      <c r="A255" s="80">
        <f t="shared" si="13"/>
        <v>245</v>
      </c>
      <c r="B255" s="135" t="s">
        <v>114</v>
      </c>
      <c r="G255" s="138">
        <f>ROUND(SUM(K247)/SUM(C247),2)</f>
        <v>3.51</v>
      </c>
      <c r="H255" s="138">
        <f>ROUND(SUM(O247)/SUM(D247),2)</f>
        <v>4.82</v>
      </c>
      <c r="I255" s="138">
        <f>ROUND(SUM(P247)/SUM(E247),2)</f>
        <v>6.26</v>
      </c>
    </row>
    <row r="256" spans="1:21" ht="12" outlineLevel="1" thickTop="1" x14ac:dyDescent="0.2">
      <c r="A256" s="80">
        <f t="shared" si="13"/>
        <v>246</v>
      </c>
      <c r="B256" s="125"/>
      <c r="C256" s="126"/>
      <c r="D256" s="126"/>
      <c r="E256" s="126"/>
      <c r="F256" s="126"/>
      <c r="G256" s="127"/>
      <c r="H256" s="127"/>
      <c r="I256" s="127"/>
      <c r="J256" s="126"/>
      <c r="K256" s="126"/>
      <c r="L256" s="126"/>
      <c r="M256" s="126"/>
      <c r="N256" s="126"/>
      <c r="O256" s="126"/>
      <c r="P256" s="126"/>
      <c r="Q256" s="126"/>
      <c r="R256" s="126"/>
      <c r="S256" s="126"/>
      <c r="T256" s="126"/>
      <c r="U256" s="126"/>
    </row>
    <row r="257" spans="1:21" outlineLevel="1" x14ac:dyDescent="0.2">
      <c r="A257" s="80">
        <f t="shared" si="13"/>
        <v>247</v>
      </c>
    </row>
    <row r="258" spans="1:21" outlineLevel="1" x14ac:dyDescent="0.2">
      <c r="A258" s="80">
        <f t="shared" si="13"/>
        <v>248</v>
      </c>
      <c r="B258" s="100" t="s">
        <v>210</v>
      </c>
    </row>
    <row r="259" spans="1:21" outlineLevel="1" x14ac:dyDescent="0.2">
      <c r="A259" s="80">
        <f t="shared" si="13"/>
        <v>249</v>
      </c>
      <c r="B259" s="102" t="s">
        <v>174</v>
      </c>
    </row>
    <row r="260" spans="1:21" outlineLevel="1" x14ac:dyDescent="0.2">
      <c r="A260" s="80">
        <f t="shared" si="13"/>
        <v>250</v>
      </c>
    </row>
    <row r="261" spans="1:21" outlineLevel="1" x14ac:dyDescent="0.2">
      <c r="A261" s="80">
        <f t="shared" si="13"/>
        <v>251</v>
      </c>
      <c r="B261" s="79" t="s">
        <v>35</v>
      </c>
      <c r="C261" s="103">
        <v>1729</v>
      </c>
      <c r="D261" s="103">
        <v>1722.2989947704825</v>
      </c>
      <c r="E261" s="103">
        <v>1712.9557640906451</v>
      </c>
      <c r="G261" s="88">
        <v>358.11</v>
      </c>
      <c r="H261" s="71">
        <f>G261*(1+R261)</f>
        <v>465.54300000000001</v>
      </c>
      <c r="I261" s="71">
        <f>H261*(1+S261)</f>
        <v>605.20590000000004</v>
      </c>
      <c r="K261" s="105">
        <f>G261*C261</f>
        <v>619172.19000000006</v>
      </c>
      <c r="L261" s="105">
        <f>G261*D261</f>
        <v>616772.49301725754</v>
      </c>
      <c r="M261" s="105">
        <f>G261*E261</f>
        <v>613426.58867850096</v>
      </c>
      <c r="N261" s="105"/>
      <c r="O261" s="105">
        <f>H261*D261</f>
        <v>801804.24092243472</v>
      </c>
      <c r="P261" s="105">
        <f>I261*E261</f>
        <v>1036690.9348666666</v>
      </c>
      <c r="Q261" s="105"/>
      <c r="R261" s="72">
        <v>0.3</v>
      </c>
      <c r="S261" s="72">
        <f>R261</f>
        <v>0.3</v>
      </c>
      <c r="U261" s="79" t="s">
        <v>97</v>
      </c>
    </row>
    <row r="262" spans="1:21" outlineLevel="1" x14ac:dyDescent="0.2">
      <c r="A262" s="80">
        <f t="shared" si="13"/>
        <v>252</v>
      </c>
      <c r="B262" s="79" t="s">
        <v>98</v>
      </c>
      <c r="C262" s="103"/>
      <c r="G262" s="131"/>
      <c r="H262" s="105"/>
      <c r="I262" s="105"/>
      <c r="K262" s="124"/>
    </row>
    <row r="263" spans="1:21" outlineLevel="1" x14ac:dyDescent="0.2">
      <c r="A263" s="80">
        <f t="shared" si="13"/>
        <v>253</v>
      </c>
      <c r="B263" s="111" t="s">
        <v>99</v>
      </c>
      <c r="C263" s="103">
        <v>127060173</v>
      </c>
      <c r="D263" s="103">
        <v>122267424.6450724</v>
      </c>
      <c r="E263" s="103">
        <v>121633779.10385114</v>
      </c>
      <c r="G263" s="112">
        <v>5.7393E-2</v>
      </c>
      <c r="H263" s="112">
        <f>G263+R263</f>
        <v>7.22979517695789E-2</v>
      </c>
      <c r="I263" s="112">
        <f>H263+S263</f>
        <v>7.1509425837447085E-2</v>
      </c>
      <c r="K263" s="105">
        <f>G263*C263</f>
        <v>7292364.5089889998</v>
      </c>
      <c r="L263" s="105">
        <f>G263*D263</f>
        <v>7017294.3026546398</v>
      </c>
      <c r="M263" s="105">
        <f>G263*E263</f>
        <v>6980927.4841073286</v>
      </c>
      <c r="N263" s="105"/>
      <c r="O263" s="105">
        <f>H263*D263</f>
        <v>8839684.369980067</v>
      </c>
      <c r="P263" s="105">
        <f>I263*E263</f>
        <v>8697961.7061552648</v>
      </c>
      <c r="Q263" s="105"/>
      <c r="R263" s="112">
        <f>(R277-(O261-L261)-(O270-L270)-(O274-L274))/D267</f>
        <v>1.4904951769578897E-2</v>
      </c>
      <c r="S263" s="112">
        <f>((S277+R277)-(P261-M261)-(P270-M270)-(P274-M274))/E267-R263</f>
        <v>-7.8852593213181443E-4</v>
      </c>
      <c r="U263" s="102" t="s">
        <v>100</v>
      </c>
    </row>
    <row r="264" spans="1:21" outlineLevel="1" x14ac:dyDescent="0.2">
      <c r="A264" s="80">
        <f t="shared" si="13"/>
        <v>254</v>
      </c>
      <c r="B264" s="106" t="s">
        <v>74</v>
      </c>
      <c r="C264" s="129">
        <f>SUM(C263:C263)</f>
        <v>127060173</v>
      </c>
      <c r="D264" s="129">
        <f>SUM(D263:D263)</f>
        <v>122267424.6450724</v>
      </c>
      <c r="E264" s="129">
        <f>SUM(E263:E263)</f>
        <v>121633779.10385114</v>
      </c>
      <c r="G264" s="140"/>
      <c r="K264" s="132">
        <f>SUM(K263:K263)</f>
        <v>7292364.5089889998</v>
      </c>
      <c r="L264" s="132">
        <f>SUM(L263:L263)</f>
        <v>7017294.3026546398</v>
      </c>
      <c r="M264" s="132">
        <f>SUM(M263:M263)</f>
        <v>6980927.4841073286</v>
      </c>
      <c r="N264" s="132"/>
      <c r="O264" s="132">
        <f>SUM(O263:O263)</f>
        <v>8839684.369980067</v>
      </c>
      <c r="P264" s="132">
        <f>SUM(P263:P263)</f>
        <v>8697961.7061552648</v>
      </c>
      <c r="Q264" s="105"/>
      <c r="R264" s="105"/>
      <c r="S264" s="105"/>
      <c r="T264" s="105"/>
      <c r="U264" s="105"/>
    </row>
    <row r="265" spans="1:21" outlineLevel="1" x14ac:dyDescent="0.2">
      <c r="A265" s="80">
        <f t="shared" si="13"/>
        <v>255</v>
      </c>
      <c r="B265" s="111" t="s">
        <v>101</v>
      </c>
      <c r="C265" s="103">
        <v>-4609223.327797167</v>
      </c>
      <c r="D265" s="115" t="s">
        <v>102</v>
      </c>
      <c r="E265" s="115"/>
      <c r="G265" s="73">
        <f>IFERROR(K265/C265,0)</f>
        <v>8.8718851511027305E-2</v>
      </c>
      <c r="K265" s="124">
        <v>-408925</v>
      </c>
      <c r="L265" s="105">
        <f>G265*D265</f>
        <v>0</v>
      </c>
      <c r="M265" s="105">
        <f>G265*E265</f>
        <v>0</v>
      </c>
      <c r="N265" s="105"/>
      <c r="O265" s="105">
        <f>H265*D265</f>
        <v>0</v>
      </c>
      <c r="P265" s="105">
        <f>I265*E265</f>
        <v>0</v>
      </c>
    </row>
    <row r="266" spans="1:21" outlineLevel="1" x14ac:dyDescent="0.2">
      <c r="A266" s="80">
        <f t="shared" si="13"/>
        <v>256</v>
      </c>
      <c r="B266" s="114" t="s">
        <v>103</v>
      </c>
      <c r="C266" s="103">
        <v>-953312</v>
      </c>
      <c r="D266" s="115" t="s">
        <v>102</v>
      </c>
      <c r="E266" s="115"/>
      <c r="G266" s="73">
        <f>K266/C266</f>
        <v>8.231093283206338E-2</v>
      </c>
      <c r="K266" s="124">
        <v>-78468</v>
      </c>
      <c r="L266" s="105">
        <f>G266*D266</f>
        <v>0</v>
      </c>
      <c r="M266" s="105">
        <f>G266*E266</f>
        <v>0</v>
      </c>
      <c r="N266" s="105"/>
      <c r="O266" s="105">
        <f>H266*D266</f>
        <v>0</v>
      </c>
      <c r="P266" s="105">
        <f>I266*E266</f>
        <v>0</v>
      </c>
    </row>
    <row r="267" spans="1:21" outlineLevel="1" x14ac:dyDescent="0.2">
      <c r="A267" s="80">
        <f t="shared" si="13"/>
        <v>257</v>
      </c>
      <c r="B267" s="106" t="s">
        <v>74</v>
      </c>
      <c r="C267" s="129">
        <f>SUM(C264:C266)</f>
        <v>121497637.67220283</v>
      </c>
      <c r="D267" s="129">
        <f>SUM(D264:D266)</f>
        <v>122267424.6450724</v>
      </c>
      <c r="E267" s="129">
        <f>SUM(E264:E266)</f>
        <v>121633779.10385114</v>
      </c>
      <c r="K267" s="132">
        <f>SUM(K264:K266)</f>
        <v>6804971.5089889998</v>
      </c>
      <c r="L267" s="132">
        <f>SUM(L264:L266)</f>
        <v>7017294.3026546398</v>
      </c>
      <c r="M267" s="132">
        <f>SUM(M264:M266)</f>
        <v>6980927.4841073286</v>
      </c>
      <c r="N267" s="132"/>
      <c r="O267" s="132">
        <f>SUM(O264:O266)</f>
        <v>8839684.369980067</v>
      </c>
      <c r="P267" s="132">
        <f>SUM(P264:P266)</f>
        <v>8697961.7061552648</v>
      </c>
    </row>
    <row r="268" spans="1:21" outlineLevel="1" x14ac:dyDescent="0.2">
      <c r="A268" s="80">
        <f t="shared" ref="A268:A331" si="15">A267+1</f>
        <v>258</v>
      </c>
      <c r="B268" s="79" t="s">
        <v>104</v>
      </c>
      <c r="C268" s="103"/>
      <c r="G268" s="108"/>
      <c r="K268" s="124"/>
    </row>
    <row r="269" spans="1:21" outlineLevel="1" x14ac:dyDescent="0.2">
      <c r="A269" s="80">
        <f t="shared" si="15"/>
        <v>259</v>
      </c>
      <c r="B269" s="111" t="s">
        <v>175</v>
      </c>
      <c r="C269" s="103">
        <v>557332</v>
      </c>
      <c r="D269" s="103">
        <v>579230.53698067076</v>
      </c>
      <c r="E269" s="103">
        <v>573967.09159726952</v>
      </c>
      <c r="G269" s="88">
        <v>5.01</v>
      </c>
      <c r="H269" s="71">
        <f>G269*(1+R269)</f>
        <v>6.5129999999999999</v>
      </c>
      <c r="I269" s="71">
        <f>H269*(1+S269)</f>
        <v>8.4669000000000008</v>
      </c>
      <c r="K269" s="105">
        <f>G269*C269</f>
        <v>2792233.32</v>
      </c>
      <c r="L269" s="105">
        <f>G269*D269</f>
        <v>2901944.9902731604</v>
      </c>
      <c r="M269" s="105">
        <f>G269*E269</f>
        <v>2875575.1289023203</v>
      </c>
      <c r="N269" s="105"/>
      <c r="O269" s="105">
        <f>H269*D269</f>
        <v>3772528.4873551084</v>
      </c>
      <c r="P269" s="105">
        <f>I269*E269</f>
        <v>4859721.9678449221</v>
      </c>
      <c r="Q269" s="105"/>
      <c r="R269" s="72">
        <v>0.3</v>
      </c>
      <c r="S269" s="72">
        <f>R269</f>
        <v>0.3</v>
      </c>
      <c r="T269" s="105"/>
      <c r="U269" s="102" t="s">
        <v>106</v>
      </c>
    </row>
    <row r="270" spans="1:21" outlineLevel="1" x14ac:dyDescent="0.2">
      <c r="A270" s="80">
        <f t="shared" si="15"/>
        <v>260</v>
      </c>
      <c r="B270" s="106" t="s">
        <v>74</v>
      </c>
      <c r="C270" s="129">
        <f>SUM(C269:C269)</f>
        <v>557332</v>
      </c>
      <c r="D270" s="129">
        <f>SUM(D269:D269)</f>
        <v>579230.53698067076</v>
      </c>
      <c r="E270" s="129">
        <f>SUM(E269:E269)</f>
        <v>573967.09159726952</v>
      </c>
      <c r="G270" s="108"/>
      <c r="K270" s="132">
        <f>SUM(K269:K269)</f>
        <v>2792233.32</v>
      </c>
      <c r="L270" s="132">
        <f>SUM(L269:L269)</f>
        <v>2901944.9902731604</v>
      </c>
      <c r="M270" s="132">
        <f>SUM(M269:M269)</f>
        <v>2875575.1289023203</v>
      </c>
      <c r="N270" s="132"/>
      <c r="O270" s="132">
        <f>SUM(O269:O269)</f>
        <v>3772528.4873551084</v>
      </c>
      <c r="P270" s="132">
        <f>SUM(P269:P269)</f>
        <v>4859721.9678449221</v>
      </c>
    </row>
    <row r="271" spans="1:21" outlineLevel="1" x14ac:dyDescent="0.2">
      <c r="A271" s="80">
        <f t="shared" si="15"/>
        <v>261</v>
      </c>
      <c r="C271" s="103"/>
      <c r="G271" s="103"/>
      <c r="K271" s="124"/>
    </row>
    <row r="272" spans="1:21" outlineLevel="1" x14ac:dyDescent="0.2">
      <c r="A272" s="80">
        <f t="shared" si="15"/>
        <v>262</v>
      </c>
      <c r="B272" s="79" t="s">
        <v>176</v>
      </c>
      <c r="C272" s="103"/>
      <c r="G272" s="71">
        <v>6.93</v>
      </c>
      <c r="H272" s="71">
        <f>G272*(1+R272)</f>
        <v>9.0090000000000003</v>
      </c>
      <c r="I272" s="71">
        <f>H272*(1+S272)</f>
        <v>11.7117</v>
      </c>
      <c r="K272" s="105">
        <f>G272*C272</f>
        <v>0</v>
      </c>
      <c r="L272" s="105">
        <f>G272*D272</f>
        <v>0</v>
      </c>
      <c r="M272" s="105">
        <f>G272*E272</f>
        <v>0</v>
      </c>
      <c r="N272" s="105"/>
      <c r="O272" s="105">
        <f>H272*D272</f>
        <v>0</v>
      </c>
      <c r="P272" s="105">
        <f>I272*E272</f>
        <v>0</v>
      </c>
      <c r="Q272" s="105"/>
      <c r="R272" s="72">
        <v>0.3</v>
      </c>
      <c r="S272" s="72">
        <f>R272</f>
        <v>0.3</v>
      </c>
      <c r="T272" s="105"/>
      <c r="U272" s="102" t="s">
        <v>177</v>
      </c>
    </row>
    <row r="273" spans="1:21" outlineLevel="1" x14ac:dyDescent="0.2">
      <c r="A273" s="80">
        <f t="shared" si="15"/>
        <v>263</v>
      </c>
      <c r="C273" s="103"/>
      <c r="G273" s="103"/>
      <c r="K273" s="124"/>
    </row>
    <row r="274" spans="1:21" outlineLevel="1" x14ac:dyDescent="0.2">
      <c r="A274" s="80">
        <f t="shared" si="15"/>
        <v>264</v>
      </c>
      <c r="B274" s="79" t="s">
        <v>108</v>
      </c>
      <c r="C274" s="103">
        <v>45085351</v>
      </c>
      <c r="D274" s="103">
        <v>43019225.850606829</v>
      </c>
      <c r="E274" s="103">
        <v>42788268.319944575</v>
      </c>
      <c r="G274" s="133">
        <v>3.1700000000000001E-3</v>
      </c>
      <c r="H274" s="75">
        <f>G274*(1+R274)</f>
        <v>4.1210000000000005E-3</v>
      </c>
      <c r="I274" s="75">
        <f>H274*(1+S274)</f>
        <v>5.3573000000000006E-3</v>
      </c>
      <c r="K274" s="105">
        <f>G274*C274</f>
        <v>142920.56267000001</v>
      </c>
      <c r="L274" s="105">
        <f>G274*D274</f>
        <v>136370.94594642366</v>
      </c>
      <c r="M274" s="105">
        <f>G274*E274</f>
        <v>135638.81057422431</v>
      </c>
      <c r="N274" s="105"/>
      <c r="O274" s="105">
        <f>H274*D274</f>
        <v>177282.22973035075</v>
      </c>
      <c r="P274" s="105">
        <f>I274*E274</f>
        <v>229229.58987043909</v>
      </c>
      <c r="Q274" s="105"/>
      <c r="R274" s="72">
        <v>0.3</v>
      </c>
      <c r="S274" s="72">
        <f>R274</f>
        <v>0.3</v>
      </c>
      <c r="T274" s="105"/>
      <c r="U274" s="102" t="s">
        <v>109</v>
      </c>
    </row>
    <row r="275" spans="1:21" outlineLevel="1" x14ac:dyDescent="0.2">
      <c r="A275" s="80">
        <f t="shared" si="15"/>
        <v>265</v>
      </c>
      <c r="K275" s="124"/>
    </row>
    <row r="276" spans="1:21" ht="12" outlineLevel="1" thickBot="1" x14ac:dyDescent="0.25">
      <c r="A276" s="80">
        <f t="shared" si="15"/>
        <v>266</v>
      </c>
      <c r="B276" s="79" t="s">
        <v>110</v>
      </c>
      <c r="K276" s="134">
        <f>SUM(K261,K267,K270,K274)</f>
        <v>10359297.581659</v>
      </c>
      <c r="L276" s="134">
        <f>SUM(L261,L267,L270,L274)</f>
        <v>10672382.731891481</v>
      </c>
      <c r="M276" s="134">
        <f>SUM(M261,M267,M270,M274)</f>
        <v>10605568.012262374</v>
      </c>
      <c r="N276" s="134"/>
      <c r="O276" s="134">
        <f>SUM(O261,O267,O270,O274)</f>
        <v>13591299.32798796</v>
      </c>
      <c r="P276" s="134">
        <f>SUM(P261,P267,P270,P274)</f>
        <v>14823604.198737293</v>
      </c>
      <c r="R276" s="119">
        <v>13591299.32798796</v>
      </c>
      <c r="S276" s="119">
        <v>14823604.198737292</v>
      </c>
    </row>
    <row r="277" spans="1:21" ht="12" outlineLevel="1" thickTop="1" x14ac:dyDescent="0.2">
      <c r="A277" s="80">
        <f t="shared" si="15"/>
        <v>267</v>
      </c>
      <c r="B277" s="102" t="s">
        <v>111</v>
      </c>
      <c r="C277" s="103"/>
      <c r="D277" s="103"/>
      <c r="E277" s="103"/>
      <c r="G277" s="103"/>
      <c r="K277" s="124"/>
      <c r="L277" s="124"/>
      <c r="M277" s="124"/>
      <c r="N277" s="124"/>
      <c r="O277" s="124"/>
      <c r="P277" s="124"/>
      <c r="R277" s="105">
        <f>R276-L276</f>
        <v>2918916.5960964784</v>
      </c>
      <c r="S277" s="105">
        <f>S276-M276-R277</f>
        <v>1299119.5903784391</v>
      </c>
      <c r="T277" s="105"/>
    </row>
    <row r="278" spans="1:21" outlineLevel="1" x14ac:dyDescent="0.2">
      <c r="A278" s="80">
        <f t="shared" si="15"/>
        <v>268</v>
      </c>
      <c r="B278" s="102" t="s">
        <v>112</v>
      </c>
      <c r="C278" s="103"/>
      <c r="D278" s="103"/>
      <c r="E278" s="103"/>
      <c r="K278" s="124"/>
      <c r="L278" s="124"/>
      <c r="M278" s="124"/>
      <c r="N278" s="124"/>
      <c r="O278" s="124"/>
      <c r="P278" s="124"/>
      <c r="R278" s="76">
        <f>R277/L276</f>
        <v>0.27350186639897189</v>
      </c>
      <c r="S278" s="76">
        <f>S277/M276</f>
        <v>0.12249410770610028</v>
      </c>
      <c r="T278" s="105"/>
    </row>
    <row r="279" spans="1:21" outlineLevel="1" x14ac:dyDescent="0.2">
      <c r="A279" s="80">
        <f t="shared" si="15"/>
        <v>269</v>
      </c>
      <c r="B279" s="122" t="s">
        <v>113</v>
      </c>
      <c r="C279" s="103">
        <v>0.45499998331069946</v>
      </c>
      <c r="D279" s="103"/>
      <c r="E279" s="103"/>
      <c r="K279" s="103">
        <v>1.4183409996330738</v>
      </c>
      <c r="L279" s="105">
        <v>0</v>
      </c>
      <c r="M279" s="105">
        <v>0</v>
      </c>
      <c r="N279" s="105"/>
      <c r="O279" s="124"/>
      <c r="P279" s="124"/>
      <c r="R279" s="105">
        <f>R276-O276</f>
        <v>0</v>
      </c>
      <c r="S279" s="105">
        <f>S276-P276</f>
        <v>0</v>
      </c>
      <c r="T279" s="124"/>
    </row>
    <row r="280" spans="1:21" ht="12" outlineLevel="1" thickBot="1" x14ac:dyDescent="0.25">
      <c r="A280" s="80">
        <f t="shared" si="15"/>
        <v>270</v>
      </c>
      <c r="B280" s="135" t="s">
        <v>114</v>
      </c>
      <c r="G280" s="138">
        <f>ROUND(SUM(K270)/SUM(C270),2)</f>
        <v>5.01</v>
      </c>
      <c r="H280" s="138">
        <f>ROUND(SUM(O270)/SUM(D270),2)</f>
        <v>6.51</v>
      </c>
      <c r="I280" s="138">
        <f>ROUND(SUM(P270)/SUM(E270),2)</f>
        <v>8.4700000000000006</v>
      </c>
    </row>
    <row r="281" spans="1:21" ht="12" outlineLevel="1" thickTop="1" x14ac:dyDescent="0.2">
      <c r="A281" s="80">
        <f t="shared" si="15"/>
        <v>271</v>
      </c>
      <c r="B281" s="125"/>
      <c r="C281" s="126"/>
      <c r="D281" s="126"/>
      <c r="E281" s="126"/>
      <c r="F281" s="126"/>
      <c r="G281" s="127"/>
      <c r="H281" s="127"/>
      <c r="I281" s="127"/>
      <c r="J281" s="126"/>
      <c r="K281" s="126"/>
      <c r="L281" s="126"/>
      <c r="M281" s="126"/>
      <c r="N281" s="126"/>
      <c r="O281" s="126"/>
      <c r="P281" s="126"/>
      <c r="Q281" s="126"/>
      <c r="R281" s="126"/>
      <c r="S281" s="126"/>
      <c r="T281" s="126"/>
      <c r="U281" s="126"/>
    </row>
    <row r="282" spans="1:21" outlineLevel="1" x14ac:dyDescent="0.2">
      <c r="A282" s="80">
        <f t="shared" si="15"/>
        <v>272</v>
      </c>
    </row>
    <row r="283" spans="1:21" outlineLevel="1" x14ac:dyDescent="0.2">
      <c r="A283" s="80">
        <f t="shared" si="15"/>
        <v>273</v>
      </c>
      <c r="B283" s="100" t="s">
        <v>211</v>
      </c>
    </row>
    <row r="284" spans="1:21" outlineLevel="1" x14ac:dyDescent="0.2">
      <c r="A284" s="80">
        <f t="shared" si="15"/>
        <v>274</v>
      </c>
      <c r="B284" s="102" t="s">
        <v>178</v>
      </c>
    </row>
    <row r="285" spans="1:21" outlineLevel="1" x14ac:dyDescent="0.2">
      <c r="A285" s="80">
        <f t="shared" si="15"/>
        <v>275</v>
      </c>
      <c r="B285" s="102" t="s">
        <v>179</v>
      </c>
      <c r="C285" s="103">
        <v>72</v>
      </c>
    </row>
    <row r="286" spans="1:21" outlineLevel="1" x14ac:dyDescent="0.2">
      <c r="A286" s="80">
        <f t="shared" si="15"/>
        <v>276</v>
      </c>
      <c r="B286" s="79" t="s">
        <v>147</v>
      </c>
      <c r="C286" s="103"/>
    </row>
    <row r="287" spans="1:21" outlineLevel="1" x14ac:dyDescent="0.2">
      <c r="A287" s="80">
        <f t="shared" si="15"/>
        <v>277</v>
      </c>
      <c r="B287" s="111" t="s">
        <v>99</v>
      </c>
      <c r="C287" s="103">
        <v>95445832</v>
      </c>
      <c r="D287" s="103">
        <v>96933187.043131709</v>
      </c>
      <c r="E287" s="103">
        <v>96918964.527943105</v>
      </c>
      <c r="G287" s="112">
        <v>5.0422000000000002E-2</v>
      </c>
      <c r="H287" s="112">
        <f>G287+R287</f>
        <v>6.1979531534431538E-2</v>
      </c>
      <c r="I287" s="112">
        <f>H287+S287</f>
        <v>6.3571081801607976E-2</v>
      </c>
      <c r="K287" s="105">
        <f>G287*C287</f>
        <v>4812569.7411040002</v>
      </c>
      <c r="L287" s="105">
        <f>G287*D287</f>
        <v>4887565.1570887873</v>
      </c>
      <c r="M287" s="105">
        <f>G287*E287</f>
        <v>4886848.0294279475</v>
      </c>
      <c r="N287" s="105"/>
      <c r="O287" s="105">
        <f>H287*D287</f>
        <v>6007873.5230727326</v>
      </c>
      <c r="P287" s="105">
        <f>I287*E287</f>
        <v>6161243.4221330127</v>
      </c>
      <c r="Q287" s="105"/>
      <c r="R287" s="112">
        <f>(R294-(O291-L291))/D289</f>
        <v>1.1557531534431538E-2</v>
      </c>
      <c r="S287" s="112">
        <f>((S294+R294)-(P291-M291))/E289-R287</f>
        <v>1.5915502671764309E-3</v>
      </c>
      <c r="U287" s="102" t="s">
        <v>100</v>
      </c>
    </row>
    <row r="288" spans="1:21" outlineLevel="1" x14ac:dyDescent="0.2">
      <c r="A288" s="80">
        <f t="shared" si="15"/>
        <v>278</v>
      </c>
      <c r="B288" s="114" t="s">
        <v>103</v>
      </c>
      <c r="C288" s="130">
        <v>913583</v>
      </c>
      <c r="D288" s="185" t="s">
        <v>102</v>
      </c>
      <c r="E288" s="126"/>
      <c r="G288" s="73">
        <f>K288/C288</f>
        <v>0.16866557280509817</v>
      </c>
      <c r="K288" s="124">
        <v>154090</v>
      </c>
      <c r="L288" s="105">
        <f>G288*D288</f>
        <v>0</v>
      </c>
      <c r="M288" s="105">
        <f>G288*E288</f>
        <v>0</v>
      </c>
      <c r="N288" s="105"/>
      <c r="O288" s="105">
        <f>H288*D288</f>
        <v>0</v>
      </c>
      <c r="P288" s="105">
        <f>I288*E288</f>
        <v>0</v>
      </c>
    </row>
    <row r="289" spans="1:21" outlineLevel="1" x14ac:dyDescent="0.2">
      <c r="A289" s="80">
        <f t="shared" si="15"/>
        <v>279</v>
      </c>
      <c r="B289" s="106" t="s">
        <v>74</v>
      </c>
      <c r="C289" s="103">
        <f>SUM(C287:C288)</f>
        <v>96359415</v>
      </c>
      <c r="D289" s="103">
        <f>SUM(D287:D288)</f>
        <v>96933187.043131709</v>
      </c>
      <c r="E289" s="103">
        <f>SUM(E287:E288)</f>
        <v>96918964.527943105</v>
      </c>
      <c r="G289" s="112"/>
      <c r="K289" s="186">
        <f>SUM(K287:K288)</f>
        <v>4966659.7411040002</v>
      </c>
      <c r="L289" s="186">
        <f>SUM(L287:L288)</f>
        <v>4887565.1570887873</v>
      </c>
      <c r="M289" s="186">
        <f>SUM(M287:M288)</f>
        <v>4886848.0294279475</v>
      </c>
      <c r="N289" s="186"/>
      <c r="O289" s="186">
        <f>SUM(O287:O288)</f>
        <v>6007873.5230727326</v>
      </c>
      <c r="P289" s="186">
        <f>SUM(P287:P288)</f>
        <v>6161243.4221330127</v>
      </c>
    </row>
    <row r="290" spans="1:21" outlineLevel="1" x14ac:dyDescent="0.2">
      <c r="A290" s="80">
        <f t="shared" si="15"/>
        <v>280</v>
      </c>
      <c r="B290" s="106"/>
      <c r="C290" s="103"/>
      <c r="G290" s="112"/>
      <c r="K290" s="124"/>
    </row>
    <row r="291" spans="1:21" outlineLevel="1" x14ac:dyDescent="0.2">
      <c r="A291" s="80">
        <f t="shared" si="15"/>
        <v>281</v>
      </c>
      <c r="B291" s="102" t="s">
        <v>180</v>
      </c>
      <c r="C291" s="103">
        <v>484927</v>
      </c>
      <c r="D291" s="103">
        <v>454913.76433003857</v>
      </c>
      <c r="E291" s="103">
        <v>453901.97661419428</v>
      </c>
      <c r="G291" s="88">
        <v>3.04</v>
      </c>
      <c r="H291" s="71">
        <f>G291*(1+R291)</f>
        <v>3.9520000000000004</v>
      </c>
      <c r="I291" s="71">
        <f>H291*(1+S291)</f>
        <v>5.1376000000000008</v>
      </c>
      <c r="K291" s="105">
        <f>G291*C291</f>
        <v>1474178.08</v>
      </c>
      <c r="L291" s="105">
        <f>G291*D291</f>
        <v>1382937.8435633173</v>
      </c>
      <c r="M291" s="105">
        <f>G291*E291</f>
        <v>1379862.0089071507</v>
      </c>
      <c r="N291" s="105"/>
      <c r="O291" s="105">
        <f>H291*D291</f>
        <v>1797819.1966323126</v>
      </c>
      <c r="P291" s="105">
        <f>I291*E291</f>
        <v>2331966.7950530848</v>
      </c>
      <c r="R291" s="72">
        <v>0.3</v>
      </c>
      <c r="S291" s="72">
        <f>R291</f>
        <v>0.3</v>
      </c>
      <c r="T291" s="105"/>
      <c r="U291" s="102" t="s">
        <v>106</v>
      </c>
    </row>
    <row r="292" spans="1:21" outlineLevel="1" x14ac:dyDescent="0.2">
      <c r="A292" s="80">
        <f t="shared" si="15"/>
        <v>282</v>
      </c>
      <c r="B292" s="114"/>
      <c r="G292" s="112"/>
      <c r="K292" s="124"/>
    </row>
    <row r="293" spans="1:21" ht="12" outlineLevel="1" thickBot="1" x14ac:dyDescent="0.25">
      <c r="A293" s="80">
        <f t="shared" si="15"/>
        <v>283</v>
      </c>
      <c r="B293" s="79" t="s">
        <v>110</v>
      </c>
      <c r="G293" s="104"/>
      <c r="K293" s="134">
        <f>SUM(K291,K289)</f>
        <v>6440837.8211040003</v>
      </c>
      <c r="L293" s="134">
        <f>SUM(L291,L289)</f>
        <v>6270503.0006521046</v>
      </c>
      <c r="M293" s="134">
        <f>SUM(M291,M289)</f>
        <v>6266710.038335098</v>
      </c>
      <c r="N293" s="134"/>
      <c r="O293" s="134">
        <f>SUM(O291,O289)</f>
        <v>7805692.7197050452</v>
      </c>
      <c r="P293" s="134">
        <f>SUM(P291,P289)</f>
        <v>8493210.2171860971</v>
      </c>
      <c r="R293" s="119">
        <v>7805692.7197050452</v>
      </c>
      <c r="S293" s="119">
        <v>8493210.2171860971</v>
      </c>
    </row>
    <row r="294" spans="1:21" ht="12" outlineLevel="1" thickTop="1" x14ac:dyDescent="0.2">
      <c r="A294" s="80">
        <f t="shared" si="15"/>
        <v>284</v>
      </c>
      <c r="B294" s="102" t="s">
        <v>111</v>
      </c>
      <c r="C294" s="103"/>
      <c r="D294" s="103"/>
      <c r="E294" s="103"/>
      <c r="G294" s="104"/>
      <c r="K294" s="124"/>
      <c r="L294" s="124"/>
      <c r="M294" s="124"/>
      <c r="N294" s="124"/>
      <c r="O294" s="124"/>
      <c r="P294" s="124"/>
      <c r="R294" s="105">
        <f>R293-L293</f>
        <v>1535189.7190529406</v>
      </c>
      <c r="S294" s="105">
        <f>S293-M293-R294</f>
        <v>691310.45979805849</v>
      </c>
      <c r="T294" s="105"/>
    </row>
    <row r="295" spans="1:21" outlineLevel="1" x14ac:dyDescent="0.2">
      <c r="A295" s="80">
        <f t="shared" si="15"/>
        <v>285</v>
      </c>
      <c r="B295" s="102" t="s">
        <v>112</v>
      </c>
      <c r="C295" s="103"/>
      <c r="D295" s="103"/>
      <c r="E295" s="103"/>
      <c r="G295" s="112"/>
      <c r="K295" s="124"/>
      <c r="L295" s="124"/>
      <c r="M295" s="124"/>
      <c r="N295" s="124"/>
      <c r="O295" s="124"/>
      <c r="P295" s="124"/>
      <c r="R295" s="76">
        <f>R294/L293</f>
        <v>0.2448272042758432</v>
      </c>
      <c r="S295" s="76">
        <f>S294/M293</f>
        <v>0.11031473541445708</v>
      </c>
      <c r="T295" s="105"/>
    </row>
    <row r="296" spans="1:21" outlineLevel="1" x14ac:dyDescent="0.2">
      <c r="A296" s="80">
        <f t="shared" si="15"/>
        <v>286</v>
      </c>
      <c r="B296" s="122" t="s">
        <v>113</v>
      </c>
      <c r="C296" s="103">
        <v>0.33799998462200165</v>
      </c>
      <c r="D296" s="103"/>
      <c r="E296" s="103"/>
      <c r="K296" s="103">
        <v>0.17889599967747927</v>
      </c>
      <c r="L296" s="105">
        <v>0</v>
      </c>
      <c r="M296" s="105">
        <v>0</v>
      </c>
      <c r="N296" s="105"/>
      <c r="O296" s="124"/>
      <c r="P296" s="124"/>
      <c r="R296" s="105">
        <f>R293-O293</f>
        <v>0</v>
      </c>
      <c r="S296" s="105">
        <f>S293-P293</f>
        <v>0</v>
      </c>
      <c r="T296" s="124"/>
    </row>
    <row r="297" spans="1:21" ht="12" outlineLevel="1" thickBot="1" x14ac:dyDescent="0.25">
      <c r="A297" s="80">
        <f t="shared" si="15"/>
        <v>287</v>
      </c>
      <c r="B297" s="102" t="s">
        <v>181</v>
      </c>
      <c r="E297" s="187">
        <v>0.9</v>
      </c>
      <c r="G297" s="188">
        <f>ROUND(G287*E297,6)</f>
        <v>4.5379999999999997E-2</v>
      </c>
      <c r="H297" s="188">
        <f>ROUND(H287*E297,6)</f>
        <v>5.5781999999999998E-2</v>
      </c>
      <c r="I297" s="188">
        <f>ROUND(I287*E297,6)</f>
        <v>5.7214000000000001E-2</v>
      </c>
    </row>
    <row r="298" spans="1:21" ht="12.75" outlineLevel="1" thickTop="1" thickBot="1" x14ac:dyDescent="0.25">
      <c r="A298" s="80">
        <f t="shared" si="15"/>
        <v>288</v>
      </c>
      <c r="B298" s="102" t="s">
        <v>182</v>
      </c>
      <c r="E298" s="79">
        <v>12</v>
      </c>
      <c r="G298" s="138">
        <f>ROUND(G291*E298,2)</f>
        <v>36.479999999999997</v>
      </c>
      <c r="H298" s="138">
        <f>ROUND(H291*E298,2)</f>
        <v>47.42</v>
      </c>
      <c r="I298" s="138">
        <f>ROUND(I291*E298,2)</f>
        <v>61.65</v>
      </c>
    </row>
    <row r="299" spans="1:21" ht="12" outlineLevel="1" thickTop="1" x14ac:dyDescent="0.2">
      <c r="A299" s="80">
        <f t="shared" si="15"/>
        <v>289</v>
      </c>
      <c r="B299" s="125"/>
      <c r="C299" s="126"/>
      <c r="D299" s="126"/>
      <c r="E299" s="126"/>
      <c r="F299" s="126"/>
      <c r="G299" s="127"/>
      <c r="H299" s="127"/>
      <c r="I299" s="127"/>
      <c r="J299" s="126"/>
      <c r="K299" s="126"/>
      <c r="L299" s="126"/>
      <c r="M299" s="126"/>
      <c r="N299" s="126"/>
      <c r="O299" s="126"/>
      <c r="P299" s="126"/>
      <c r="Q299" s="126"/>
      <c r="R299" s="126"/>
      <c r="S299" s="126"/>
      <c r="T299" s="126"/>
      <c r="U299" s="126"/>
    </row>
    <row r="300" spans="1:21" outlineLevel="1" x14ac:dyDescent="0.2">
      <c r="A300" s="80">
        <f t="shared" si="15"/>
        <v>290</v>
      </c>
    </row>
    <row r="301" spans="1:21" outlineLevel="1" x14ac:dyDescent="0.2">
      <c r="A301" s="80">
        <f t="shared" si="15"/>
        <v>291</v>
      </c>
      <c r="B301" s="100" t="s">
        <v>212</v>
      </c>
    </row>
    <row r="302" spans="1:21" outlineLevel="1" x14ac:dyDescent="0.2">
      <c r="A302" s="80">
        <f t="shared" si="15"/>
        <v>292</v>
      </c>
      <c r="B302" s="102" t="s">
        <v>183</v>
      </c>
    </row>
    <row r="303" spans="1:21" outlineLevel="1" x14ac:dyDescent="0.2">
      <c r="A303" s="80">
        <f t="shared" si="15"/>
        <v>293</v>
      </c>
      <c r="B303" s="102" t="s">
        <v>179</v>
      </c>
      <c r="C303" s="103">
        <v>204</v>
      </c>
    </row>
    <row r="304" spans="1:21" outlineLevel="1" x14ac:dyDescent="0.2">
      <c r="A304" s="80">
        <f t="shared" si="15"/>
        <v>294</v>
      </c>
      <c r="B304" s="79" t="s">
        <v>147</v>
      </c>
      <c r="C304" s="103"/>
    </row>
    <row r="305" spans="1:21" outlineLevel="1" x14ac:dyDescent="0.2">
      <c r="A305" s="80">
        <f t="shared" si="15"/>
        <v>295</v>
      </c>
      <c r="B305" s="111" t="s">
        <v>99</v>
      </c>
      <c r="C305" s="103">
        <v>540863777</v>
      </c>
      <c r="D305" s="103">
        <v>534843226.30681556</v>
      </c>
      <c r="E305" s="103">
        <v>534899242.67952603</v>
      </c>
      <c r="G305" s="112">
        <v>5.0422000000000002E-2</v>
      </c>
      <c r="H305" s="112">
        <f>G305+R305</f>
        <v>6.1994393529095401E-2</v>
      </c>
      <c r="I305" s="112">
        <f>H305+S305</f>
        <v>6.3665220945275686E-2</v>
      </c>
      <c r="K305" s="105">
        <f>G305*C305</f>
        <v>27271433.363894001</v>
      </c>
      <c r="L305" s="105">
        <f>G305*D305</f>
        <v>26967865.156842254</v>
      </c>
      <c r="M305" s="105">
        <f>G305*E305</f>
        <v>26970689.614387061</v>
      </c>
      <c r="N305" s="105"/>
      <c r="O305" s="105">
        <f>H305*D305</f>
        <v>33157281.448035754</v>
      </c>
      <c r="P305" s="105">
        <f>I305*E305</f>
        <v>34054478.468652666</v>
      </c>
      <c r="Q305" s="105"/>
      <c r="R305" s="112">
        <f>(R312-(O309-L309))/D307</f>
        <v>1.15723935290954E-2</v>
      </c>
      <c r="S305" s="112">
        <f>((S312+R312)-(P309-M309))/E307-R305</f>
        <v>1.6708274161802844E-3</v>
      </c>
      <c r="U305" s="102" t="s">
        <v>100</v>
      </c>
    </row>
    <row r="306" spans="1:21" outlineLevel="1" x14ac:dyDescent="0.2">
      <c r="A306" s="80">
        <f t="shared" si="15"/>
        <v>296</v>
      </c>
      <c r="B306" s="114" t="s">
        <v>103</v>
      </c>
      <c r="C306" s="130">
        <v>5018030</v>
      </c>
      <c r="D306" s="185" t="s">
        <v>102</v>
      </c>
      <c r="E306" s="126"/>
      <c r="G306" s="73">
        <f>K306/C306</f>
        <v>8.3760957985504272E-2</v>
      </c>
      <c r="K306" s="124">
        <v>420315</v>
      </c>
      <c r="L306" s="105">
        <f>G306*D306</f>
        <v>0</v>
      </c>
      <c r="M306" s="105">
        <f>G306*E306</f>
        <v>0</v>
      </c>
      <c r="N306" s="105"/>
      <c r="O306" s="105">
        <f>H306*D306</f>
        <v>0</v>
      </c>
      <c r="P306" s="105">
        <f>I306*E306</f>
        <v>0</v>
      </c>
    </row>
    <row r="307" spans="1:21" outlineLevel="1" x14ac:dyDescent="0.2">
      <c r="A307" s="80">
        <f t="shared" si="15"/>
        <v>297</v>
      </c>
      <c r="B307" s="106" t="s">
        <v>74</v>
      </c>
      <c r="C307" s="103">
        <f>SUM(C305:C306)</f>
        <v>545881807</v>
      </c>
      <c r="D307" s="103">
        <f>SUM(D305:D306)</f>
        <v>534843226.30681556</v>
      </c>
      <c r="E307" s="103">
        <f>SUM(E305:E306)</f>
        <v>534899242.67952603</v>
      </c>
      <c r="G307" s="112"/>
      <c r="K307" s="186">
        <f>SUM(K305:K306)</f>
        <v>27691748.363894001</v>
      </c>
      <c r="L307" s="186">
        <f>SUM(L305:L306)</f>
        <v>26967865.156842254</v>
      </c>
      <c r="M307" s="186">
        <f>SUM(M305:M306)</f>
        <v>26970689.614387061</v>
      </c>
      <c r="N307" s="186"/>
      <c r="O307" s="186">
        <f>SUM(O305:O306)</f>
        <v>33157281.448035754</v>
      </c>
      <c r="P307" s="186">
        <f>SUM(P305:P306)</f>
        <v>34054478.468652666</v>
      </c>
    </row>
    <row r="308" spans="1:21" outlineLevel="1" x14ac:dyDescent="0.2">
      <c r="A308" s="80">
        <f t="shared" si="15"/>
        <v>298</v>
      </c>
      <c r="B308" s="106"/>
      <c r="C308" s="103"/>
      <c r="G308" s="112"/>
      <c r="K308" s="124"/>
    </row>
    <row r="309" spans="1:21" outlineLevel="1" x14ac:dyDescent="0.2">
      <c r="A309" s="80">
        <f t="shared" si="15"/>
        <v>299</v>
      </c>
      <c r="B309" s="102" t="s">
        <v>180</v>
      </c>
      <c r="C309" s="103">
        <v>1298000</v>
      </c>
      <c r="D309" s="103">
        <v>1325042.9814690738</v>
      </c>
      <c r="E309" s="103">
        <v>1321250.3262371249</v>
      </c>
      <c r="G309" s="88">
        <v>5.65</v>
      </c>
      <c r="H309" s="71">
        <f>G309*(1+R309)</f>
        <v>7.3450000000000006</v>
      </c>
      <c r="I309" s="71">
        <f>H309*(1+S309)</f>
        <v>9.5485000000000007</v>
      </c>
      <c r="K309" s="105">
        <f>G309*C309</f>
        <v>7333700</v>
      </c>
      <c r="L309" s="105">
        <f>G309*D309</f>
        <v>7486492.8453002675</v>
      </c>
      <c r="M309" s="105">
        <f>G309*E309</f>
        <v>7465064.3432397563</v>
      </c>
      <c r="N309" s="105"/>
      <c r="O309" s="105">
        <f>H309*D309</f>
        <v>9732440.698890347</v>
      </c>
      <c r="P309" s="105">
        <f>I309*E309</f>
        <v>12615958.740075188</v>
      </c>
      <c r="R309" s="72">
        <v>0.3</v>
      </c>
      <c r="S309" s="72">
        <f>R309</f>
        <v>0.3</v>
      </c>
      <c r="T309" s="105"/>
      <c r="U309" s="102" t="s">
        <v>106</v>
      </c>
    </row>
    <row r="310" spans="1:21" outlineLevel="1" x14ac:dyDescent="0.2">
      <c r="A310" s="80">
        <f t="shared" si="15"/>
        <v>300</v>
      </c>
      <c r="B310" s="114"/>
      <c r="G310" s="112"/>
      <c r="K310" s="124"/>
    </row>
    <row r="311" spans="1:21" ht="12" outlineLevel="1" thickBot="1" x14ac:dyDescent="0.25">
      <c r="A311" s="80">
        <f t="shared" si="15"/>
        <v>301</v>
      </c>
      <c r="B311" s="79" t="s">
        <v>110</v>
      </c>
      <c r="G311" s="104"/>
      <c r="K311" s="134">
        <f>SUM(K309,K307)</f>
        <v>35025448.363894001</v>
      </c>
      <c r="L311" s="134">
        <f>SUM(L309,L307)</f>
        <v>34454358.002142519</v>
      </c>
      <c r="M311" s="134">
        <f>SUM(M309,M307)</f>
        <v>34435753.95762682</v>
      </c>
      <c r="N311" s="134"/>
      <c r="O311" s="134">
        <f>SUM(O309,O307)</f>
        <v>42889722.146926105</v>
      </c>
      <c r="P311" s="134">
        <f>SUM(P309,P307)</f>
        <v>46670437.208727852</v>
      </c>
      <c r="R311" s="119">
        <v>42889722.146926098</v>
      </c>
      <c r="S311" s="119">
        <v>46670437.208727852</v>
      </c>
    </row>
    <row r="312" spans="1:21" ht="12" outlineLevel="1" thickTop="1" x14ac:dyDescent="0.2">
      <c r="A312" s="80">
        <f t="shared" si="15"/>
        <v>302</v>
      </c>
      <c r="B312" s="102" t="s">
        <v>111</v>
      </c>
      <c r="C312" s="103"/>
      <c r="D312" s="103"/>
      <c r="E312" s="103"/>
      <c r="G312" s="104"/>
      <c r="K312" s="124"/>
      <c r="L312" s="124"/>
      <c r="M312" s="124"/>
      <c r="N312" s="124"/>
      <c r="O312" s="124"/>
      <c r="P312" s="124"/>
      <c r="R312" s="105">
        <f>R311-L311</f>
        <v>8435364.1447835788</v>
      </c>
      <c r="S312" s="105">
        <f>S311-M311-R312</f>
        <v>3799319.1063174531</v>
      </c>
      <c r="T312" s="105"/>
    </row>
    <row r="313" spans="1:21" outlineLevel="1" x14ac:dyDescent="0.2">
      <c r="A313" s="80">
        <f t="shared" si="15"/>
        <v>303</v>
      </c>
      <c r="B313" s="102" t="s">
        <v>112</v>
      </c>
      <c r="C313" s="103"/>
      <c r="D313" s="103"/>
      <c r="E313" s="103"/>
      <c r="G313" s="112"/>
      <c r="K313" s="124"/>
      <c r="L313" s="124"/>
      <c r="M313" s="124"/>
      <c r="N313" s="124"/>
      <c r="O313" s="124"/>
      <c r="P313" s="124"/>
      <c r="R313" s="76">
        <f>R312/L311</f>
        <v>0.24482720427584317</v>
      </c>
      <c r="S313" s="76">
        <f>S312/M311</f>
        <v>0.11033064967860189</v>
      </c>
      <c r="T313" s="105"/>
    </row>
    <row r="314" spans="1:21" outlineLevel="1" x14ac:dyDescent="0.2">
      <c r="A314" s="80">
        <f t="shared" si="15"/>
        <v>304</v>
      </c>
      <c r="B314" s="122" t="s">
        <v>113</v>
      </c>
      <c r="C314" s="103">
        <v>-0.57700002193450928</v>
      </c>
      <c r="D314" s="103"/>
      <c r="E314" s="103"/>
      <c r="K314" s="103">
        <v>-0.36389400064945221</v>
      </c>
      <c r="L314" s="105">
        <v>0</v>
      </c>
      <c r="M314" s="105">
        <v>0</v>
      </c>
      <c r="N314" s="105"/>
      <c r="O314" s="124"/>
      <c r="P314" s="124"/>
      <c r="R314" s="105">
        <f>R311-O311</f>
        <v>0</v>
      </c>
      <c r="S314" s="105">
        <f>S311-P311</f>
        <v>0</v>
      </c>
      <c r="T314" s="124"/>
    </row>
    <row r="315" spans="1:21" outlineLevel="1" x14ac:dyDescent="0.2">
      <c r="A315" s="80">
        <f t="shared" si="15"/>
        <v>305</v>
      </c>
      <c r="B315" s="125"/>
      <c r="C315" s="126"/>
      <c r="D315" s="126"/>
      <c r="E315" s="126"/>
      <c r="F315" s="126"/>
      <c r="G315" s="127"/>
      <c r="H315" s="127"/>
      <c r="I315" s="127"/>
      <c r="J315" s="126"/>
      <c r="K315" s="126"/>
      <c r="L315" s="126"/>
      <c r="M315" s="126"/>
      <c r="N315" s="126"/>
      <c r="O315" s="126"/>
      <c r="P315" s="126"/>
      <c r="Q315" s="126"/>
      <c r="R315" s="126"/>
      <c r="S315" s="126"/>
      <c r="T315" s="126"/>
      <c r="U315" s="126"/>
    </row>
    <row r="316" spans="1:21" outlineLevel="1" x14ac:dyDescent="0.2">
      <c r="A316" s="80">
        <f t="shared" si="15"/>
        <v>306</v>
      </c>
    </row>
    <row r="317" spans="1:21" outlineLevel="1" x14ac:dyDescent="0.2">
      <c r="A317" s="80">
        <f t="shared" si="15"/>
        <v>307</v>
      </c>
      <c r="B317" s="100" t="s">
        <v>213</v>
      </c>
    </row>
    <row r="318" spans="1:21" outlineLevel="1" x14ac:dyDescent="0.2">
      <c r="A318" s="80">
        <f t="shared" si="15"/>
        <v>308</v>
      </c>
      <c r="B318" s="102" t="s">
        <v>184</v>
      </c>
    </row>
    <row r="319" spans="1:21" outlineLevel="1" x14ac:dyDescent="0.2">
      <c r="A319" s="80">
        <f t="shared" si="15"/>
        <v>309</v>
      </c>
      <c r="B319" s="102" t="s">
        <v>185</v>
      </c>
      <c r="C319" s="103">
        <v>240</v>
      </c>
      <c r="D319" s="79">
        <v>240</v>
      </c>
      <c r="E319" s="79">
        <v>240</v>
      </c>
      <c r="G319" s="88">
        <v>1791</v>
      </c>
      <c r="H319" s="71">
        <v>3993.4524221229285</v>
      </c>
      <c r="I319" s="71">
        <f>H319</f>
        <v>3993.4524221229285</v>
      </c>
      <c r="K319" s="105">
        <f>G319*C319</f>
        <v>429840</v>
      </c>
      <c r="L319" s="105">
        <f>G319*D319</f>
        <v>429840</v>
      </c>
      <c r="M319" s="105">
        <f>G319*E319</f>
        <v>429840</v>
      </c>
      <c r="N319" s="105"/>
      <c r="O319" s="105">
        <f>H319*D319</f>
        <v>958428.58130950283</v>
      </c>
      <c r="P319" s="105">
        <f>I319*E319</f>
        <v>958428.58130950283</v>
      </c>
      <c r="R319" s="72">
        <f>(H319-G319)/G319</f>
        <v>1.2297333456856105</v>
      </c>
      <c r="S319" s="72">
        <f>(I319-H319)/H319</f>
        <v>0</v>
      </c>
      <c r="U319" s="102" t="s">
        <v>186</v>
      </c>
    </row>
    <row r="320" spans="1:21" outlineLevel="1" x14ac:dyDescent="0.2">
      <c r="A320" s="80">
        <f t="shared" si="15"/>
        <v>310</v>
      </c>
      <c r="B320" s="79" t="s">
        <v>147</v>
      </c>
      <c r="C320" s="103"/>
      <c r="G320" s="112"/>
      <c r="K320" s="124"/>
    </row>
    <row r="321" spans="1:21" outlineLevel="1" x14ac:dyDescent="0.2">
      <c r="A321" s="80">
        <f t="shared" si="15"/>
        <v>311</v>
      </c>
      <c r="B321" s="111" t="s">
        <v>99</v>
      </c>
      <c r="C321" s="103">
        <v>1952120354</v>
      </c>
      <c r="D321" s="103">
        <v>1967511960.3194919</v>
      </c>
      <c r="E321" s="103">
        <v>1964993565.6779518</v>
      </c>
      <c r="G321" s="112">
        <v>0</v>
      </c>
      <c r="H321" s="112">
        <v>0</v>
      </c>
      <c r="I321" s="112">
        <v>0</v>
      </c>
      <c r="K321" s="105">
        <f>G321*C321</f>
        <v>0</v>
      </c>
      <c r="L321" s="105">
        <f>G321*D321</f>
        <v>0</v>
      </c>
      <c r="M321" s="105">
        <f>G321*E321</f>
        <v>0</v>
      </c>
      <c r="N321" s="105"/>
      <c r="O321" s="105">
        <f t="shared" ref="O321:P324" si="16">H321*D321</f>
        <v>0</v>
      </c>
      <c r="P321" s="105">
        <f t="shared" si="16"/>
        <v>0</v>
      </c>
    </row>
    <row r="322" spans="1:21" outlineLevel="1" x14ac:dyDescent="0.2">
      <c r="A322" s="80">
        <f t="shared" si="15"/>
        <v>312</v>
      </c>
      <c r="B322" s="111" t="s">
        <v>101</v>
      </c>
      <c r="C322" s="103">
        <v>0</v>
      </c>
      <c r="D322" s="115" t="s">
        <v>102</v>
      </c>
      <c r="G322" s="73">
        <f>IFERROR(K322/C322,0)</f>
        <v>0</v>
      </c>
      <c r="H322" s="112">
        <v>0</v>
      </c>
      <c r="I322" s="112">
        <v>0</v>
      </c>
      <c r="K322" s="124">
        <v>0</v>
      </c>
      <c r="L322" s="105">
        <f>G322*D322</f>
        <v>0</v>
      </c>
      <c r="M322" s="105">
        <f>G322*E322</f>
        <v>0</v>
      </c>
      <c r="N322" s="105"/>
      <c r="O322" s="105">
        <f t="shared" si="16"/>
        <v>0</v>
      </c>
      <c r="P322" s="105">
        <f t="shared" si="16"/>
        <v>0</v>
      </c>
    </row>
    <row r="323" spans="1:21" outlineLevel="1" x14ac:dyDescent="0.2">
      <c r="A323" s="80">
        <f t="shared" si="15"/>
        <v>313</v>
      </c>
      <c r="B323" s="111" t="s">
        <v>172</v>
      </c>
      <c r="C323" s="103">
        <v>-4078452.1120000002</v>
      </c>
      <c r="D323" s="115" t="s">
        <v>102</v>
      </c>
      <c r="G323" s="73">
        <f>K323/C323</f>
        <v>1.3645294457732252E-2</v>
      </c>
      <c r="H323" s="112"/>
      <c r="I323" s="112"/>
      <c r="K323" s="124">
        <v>-55651.68</v>
      </c>
      <c r="L323" s="105">
        <f>G323*D323</f>
        <v>0</v>
      </c>
      <c r="M323" s="105">
        <f>G323*E323</f>
        <v>0</v>
      </c>
      <c r="N323" s="105"/>
      <c r="O323" s="105">
        <f t="shared" si="16"/>
        <v>0</v>
      </c>
      <c r="P323" s="105">
        <f t="shared" si="16"/>
        <v>0</v>
      </c>
    </row>
    <row r="324" spans="1:21" outlineLevel="1" x14ac:dyDescent="0.2">
      <c r="A324" s="80">
        <f t="shared" si="15"/>
        <v>314</v>
      </c>
      <c r="B324" s="114" t="s">
        <v>103</v>
      </c>
      <c r="C324" s="130">
        <v>-1818330</v>
      </c>
      <c r="D324" s="185" t="s">
        <v>102</v>
      </c>
      <c r="E324" s="126"/>
      <c r="G324" s="73">
        <f>K324/C324</f>
        <v>7.1310488195212088E-2</v>
      </c>
      <c r="K324" s="105">
        <v>-129666</v>
      </c>
      <c r="L324" s="105">
        <f>G324*D324</f>
        <v>0</v>
      </c>
      <c r="M324" s="105">
        <f>G324*E324</f>
        <v>0</v>
      </c>
      <c r="N324" s="105"/>
      <c r="O324" s="105">
        <f t="shared" si="16"/>
        <v>0</v>
      </c>
      <c r="P324" s="105">
        <f t="shared" si="16"/>
        <v>0</v>
      </c>
    </row>
    <row r="325" spans="1:21" outlineLevel="1" x14ac:dyDescent="0.2">
      <c r="A325" s="80">
        <f t="shared" si="15"/>
        <v>315</v>
      </c>
      <c r="B325" s="106" t="s">
        <v>74</v>
      </c>
      <c r="C325" s="103">
        <f>SUM(C321:C324)</f>
        <v>1946223571.888</v>
      </c>
      <c r="D325" s="103">
        <f>SUM(D321:D324)</f>
        <v>1967511960.3194919</v>
      </c>
      <c r="E325" s="103">
        <f>SUM(E321:E324)</f>
        <v>1964993565.6779518</v>
      </c>
      <c r="K325" s="186">
        <f>SUM(K321:K324)</f>
        <v>-185317.68</v>
      </c>
      <c r="L325" s="186">
        <f>SUM(L321:L324)</f>
        <v>0</v>
      </c>
      <c r="M325" s="186">
        <f>SUM(M321:M324)</f>
        <v>0</v>
      </c>
      <c r="O325" s="186">
        <f>SUM(O321:O324)</f>
        <v>0</v>
      </c>
      <c r="P325" s="186">
        <f>SUM(P321:P324)</f>
        <v>0</v>
      </c>
    </row>
    <row r="326" spans="1:21" outlineLevel="1" x14ac:dyDescent="0.2">
      <c r="A326" s="80">
        <f t="shared" si="15"/>
        <v>316</v>
      </c>
      <c r="B326" s="106"/>
      <c r="C326" s="103"/>
      <c r="K326" s="124"/>
    </row>
    <row r="327" spans="1:21" outlineLevel="1" x14ac:dyDescent="0.2">
      <c r="A327" s="80">
        <f t="shared" si="15"/>
        <v>317</v>
      </c>
      <c r="B327" s="79" t="s">
        <v>187</v>
      </c>
      <c r="C327" s="103">
        <v>3409722</v>
      </c>
      <c r="K327" s="105">
        <f>G327*C327</f>
        <v>0</v>
      </c>
      <c r="L327" s="105">
        <f>G327*D327</f>
        <v>0</v>
      </c>
      <c r="M327" s="105">
        <f>G327*E327</f>
        <v>0</v>
      </c>
      <c r="N327" s="105"/>
      <c r="O327" s="105">
        <f>H327*D327</f>
        <v>0</v>
      </c>
      <c r="P327" s="105">
        <f>I327*E327</f>
        <v>0</v>
      </c>
    </row>
    <row r="328" spans="1:21" outlineLevel="1" x14ac:dyDescent="0.2">
      <c r="A328" s="80">
        <f t="shared" si="15"/>
        <v>318</v>
      </c>
      <c r="K328" s="124"/>
    </row>
    <row r="329" spans="1:21" outlineLevel="1" x14ac:dyDescent="0.2">
      <c r="A329" s="80">
        <f t="shared" si="15"/>
        <v>319</v>
      </c>
      <c r="B329" s="102" t="s">
        <v>188</v>
      </c>
      <c r="K329" s="124">
        <v>13154883</v>
      </c>
      <c r="L329" s="124">
        <f>K329</f>
        <v>13154883</v>
      </c>
      <c r="M329" s="124">
        <f>L329</f>
        <v>13154883</v>
      </c>
      <c r="O329" s="124">
        <f>L329</f>
        <v>13154883</v>
      </c>
      <c r="P329" s="124">
        <f>M329</f>
        <v>13154883</v>
      </c>
    </row>
    <row r="330" spans="1:21" outlineLevel="1" x14ac:dyDescent="0.2">
      <c r="A330" s="80">
        <f t="shared" si="15"/>
        <v>320</v>
      </c>
      <c r="B330" s="114"/>
      <c r="K330" s="124"/>
    </row>
    <row r="331" spans="1:21" ht="12" outlineLevel="1" thickBot="1" x14ac:dyDescent="0.25">
      <c r="A331" s="80">
        <f t="shared" si="15"/>
        <v>321</v>
      </c>
      <c r="B331" s="79" t="s">
        <v>110</v>
      </c>
      <c r="K331" s="134">
        <f>SUM(K327,K325,K319,K329)</f>
        <v>13399405.32</v>
      </c>
      <c r="L331" s="134">
        <f>SUM(L327,L325,L319,L329)</f>
        <v>13584723</v>
      </c>
      <c r="M331" s="134">
        <f>SUM(M327,M325,M319,M329)</f>
        <v>13584723</v>
      </c>
      <c r="O331" s="134">
        <f>SUM(O327,O325,O319,O329)</f>
        <v>14113311.581309503</v>
      </c>
      <c r="P331" s="134">
        <f>SUM(P327,P325,P319,P329)</f>
        <v>14113311.581309503</v>
      </c>
      <c r="R331" s="119">
        <v>14113311.581309503</v>
      </c>
      <c r="S331" s="119">
        <v>14113311.581309503</v>
      </c>
    </row>
    <row r="332" spans="1:21" ht="12" outlineLevel="1" thickTop="1" x14ac:dyDescent="0.2">
      <c r="A332" s="80">
        <f t="shared" ref="A332:A394" si="17">A331+1</f>
        <v>322</v>
      </c>
      <c r="B332" s="102" t="s">
        <v>111</v>
      </c>
      <c r="R332" s="105">
        <f>R331-L331</f>
        <v>528588.58130950294</v>
      </c>
      <c r="S332" s="105">
        <f>S331-M331-R332</f>
        <v>0</v>
      </c>
    </row>
    <row r="333" spans="1:21" outlineLevel="1" x14ac:dyDescent="0.2">
      <c r="A333" s="80">
        <f t="shared" si="17"/>
        <v>323</v>
      </c>
      <c r="B333" s="102" t="s">
        <v>112</v>
      </c>
      <c r="R333" s="76">
        <f>R332/L331</f>
        <v>3.8910515975151126E-2</v>
      </c>
      <c r="S333" s="76">
        <f>S332/M331</f>
        <v>0</v>
      </c>
    </row>
    <row r="334" spans="1:21" outlineLevel="1" x14ac:dyDescent="0.2">
      <c r="A334" s="80">
        <f t="shared" si="17"/>
        <v>324</v>
      </c>
      <c r="B334" s="122" t="s">
        <v>113</v>
      </c>
      <c r="C334" s="103">
        <v>-0.31399959325790405</v>
      </c>
      <c r="K334" s="103">
        <v>0</v>
      </c>
      <c r="L334" s="105">
        <v>-0.13057444617152214</v>
      </c>
      <c r="M334" s="105">
        <v>-0.13563865423202515</v>
      </c>
      <c r="N334" s="105"/>
      <c r="O334" s="124"/>
      <c r="P334" s="124"/>
      <c r="R334" s="105">
        <f>R331-O331</f>
        <v>0</v>
      </c>
      <c r="S334" s="105">
        <f>S331-P331</f>
        <v>0</v>
      </c>
      <c r="T334" s="124"/>
    </row>
    <row r="335" spans="1:21" outlineLevel="1" x14ac:dyDescent="0.2">
      <c r="A335" s="80">
        <f t="shared" si="17"/>
        <v>325</v>
      </c>
      <c r="B335" s="125"/>
      <c r="C335" s="126"/>
      <c r="D335" s="126"/>
      <c r="E335" s="126"/>
      <c r="F335" s="126"/>
      <c r="G335" s="127"/>
      <c r="H335" s="127"/>
      <c r="I335" s="127"/>
      <c r="J335" s="126"/>
      <c r="K335" s="126"/>
      <c r="L335" s="126"/>
      <c r="M335" s="126"/>
      <c r="N335" s="126"/>
      <c r="O335" s="126"/>
      <c r="P335" s="126"/>
      <c r="Q335" s="126"/>
      <c r="R335" s="126"/>
      <c r="S335" s="126"/>
      <c r="T335" s="126"/>
      <c r="U335" s="126"/>
    </row>
    <row r="336" spans="1:21" outlineLevel="1" x14ac:dyDescent="0.2">
      <c r="A336" s="80">
        <f t="shared" si="17"/>
        <v>326</v>
      </c>
    </row>
    <row r="337" spans="1:21" outlineLevel="1" x14ac:dyDescent="0.2">
      <c r="A337" s="80">
        <f t="shared" si="17"/>
        <v>327</v>
      </c>
      <c r="B337" s="100" t="s">
        <v>214</v>
      </c>
    </row>
    <row r="338" spans="1:21" outlineLevel="1" x14ac:dyDescent="0.2">
      <c r="A338" s="80">
        <f t="shared" si="17"/>
        <v>328</v>
      </c>
      <c r="B338" s="106" t="s">
        <v>185</v>
      </c>
      <c r="C338" s="103">
        <v>1183</v>
      </c>
      <c r="D338" s="103">
        <v>1090.9765698219305</v>
      </c>
      <c r="E338" s="103">
        <v>1090.9765698219305</v>
      </c>
      <c r="G338" s="88">
        <v>307</v>
      </c>
      <c r="H338" s="71">
        <v>471.56162599833863</v>
      </c>
      <c r="I338" s="71">
        <f>H338</f>
        <v>471.56162599833863</v>
      </c>
      <c r="K338" s="105">
        <f>G338*C338</f>
        <v>363181</v>
      </c>
      <c r="L338" s="105">
        <f>G338*D338</f>
        <v>334929.80693533266</v>
      </c>
      <c r="M338" s="105">
        <f>G338*E338</f>
        <v>334929.80693533266</v>
      </c>
      <c r="N338" s="105"/>
      <c r="O338" s="105">
        <f>H338*D338</f>
        <v>514462.68519131956</v>
      </c>
      <c r="P338" s="105">
        <f>I338*E338</f>
        <v>514462.68519131956</v>
      </c>
      <c r="R338" s="72">
        <f>(H338-G338)/G338</f>
        <v>0.53603135504344834</v>
      </c>
      <c r="S338" s="72">
        <f>(I338-H338)/H338</f>
        <v>0</v>
      </c>
      <c r="U338" s="102" t="s">
        <v>186</v>
      </c>
    </row>
    <row r="339" spans="1:21" outlineLevel="1" x14ac:dyDescent="0.2">
      <c r="A339" s="80">
        <f t="shared" si="17"/>
        <v>329</v>
      </c>
      <c r="B339" s="106"/>
      <c r="C339" s="103"/>
      <c r="G339" s="88"/>
      <c r="K339" s="124"/>
    </row>
    <row r="340" spans="1:21" outlineLevel="1" x14ac:dyDescent="0.2">
      <c r="A340" s="80">
        <f t="shared" si="17"/>
        <v>330</v>
      </c>
      <c r="B340" s="106" t="s">
        <v>189</v>
      </c>
      <c r="C340" s="103">
        <v>795973</v>
      </c>
      <c r="D340" s="103">
        <v>698637.83258738962</v>
      </c>
      <c r="E340" s="103">
        <v>774721.53188225022</v>
      </c>
      <c r="G340" s="88">
        <f>K340/C340</f>
        <v>4.0568084595834284</v>
      </c>
      <c r="H340" s="88">
        <f>O340/D340</f>
        <v>10.894680648715472</v>
      </c>
      <c r="I340" s="88">
        <f>P340/E340</f>
        <v>10.894680648715472</v>
      </c>
      <c r="K340" s="105">
        <v>3229110</v>
      </c>
      <c r="L340" s="124">
        <v>2834240</v>
      </c>
      <c r="M340" s="124">
        <v>3142897</v>
      </c>
      <c r="N340" s="124"/>
      <c r="O340" s="124">
        <v>7611436.0751503529</v>
      </c>
      <c r="P340" s="124">
        <v>8440343.6815407574</v>
      </c>
      <c r="R340" s="72">
        <f>(H340-G340)/G340</f>
        <v>1.6855299571708611</v>
      </c>
      <c r="S340" s="72">
        <f>(I340-H340)/H340</f>
        <v>0</v>
      </c>
      <c r="U340" s="102" t="s">
        <v>190</v>
      </c>
    </row>
    <row r="341" spans="1:21" outlineLevel="1" x14ac:dyDescent="0.2">
      <c r="A341" s="80">
        <f t="shared" si="17"/>
        <v>331</v>
      </c>
      <c r="B341" s="106"/>
      <c r="C341" s="103"/>
      <c r="G341" s="88"/>
      <c r="K341" s="124"/>
    </row>
    <row r="342" spans="1:21" outlineLevel="1" x14ac:dyDescent="0.2">
      <c r="A342" s="80">
        <f t="shared" si="17"/>
        <v>332</v>
      </c>
      <c r="B342" s="79" t="s">
        <v>147</v>
      </c>
      <c r="C342" s="103"/>
      <c r="G342" s="112"/>
      <c r="K342" s="124"/>
    </row>
    <row r="343" spans="1:21" outlineLevel="1" x14ac:dyDescent="0.2">
      <c r="A343" s="80">
        <f t="shared" si="17"/>
        <v>333</v>
      </c>
      <c r="B343" s="111" t="s">
        <v>99</v>
      </c>
      <c r="C343" s="103">
        <v>314106328.37499994</v>
      </c>
      <c r="D343" s="103">
        <v>304773055.46200001</v>
      </c>
      <c r="E343" s="103">
        <v>304773055.46200001</v>
      </c>
      <c r="G343" s="112">
        <v>0</v>
      </c>
      <c r="H343" s="112">
        <v>0</v>
      </c>
      <c r="I343" s="112">
        <v>0</v>
      </c>
      <c r="K343" s="105">
        <f>G343*C343</f>
        <v>0</v>
      </c>
      <c r="L343" s="105">
        <f>G343*D343</f>
        <v>0</v>
      </c>
      <c r="M343" s="105">
        <f>G343*E343</f>
        <v>0</v>
      </c>
      <c r="N343" s="105"/>
      <c r="O343" s="105">
        <f t="shared" ref="O343:P345" si="18">H343*D343</f>
        <v>0</v>
      </c>
      <c r="P343" s="105">
        <f t="shared" si="18"/>
        <v>0</v>
      </c>
    </row>
    <row r="344" spans="1:21" outlineLevel="1" x14ac:dyDescent="0.2">
      <c r="A344" s="80">
        <f t="shared" si="17"/>
        <v>334</v>
      </c>
      <c r="B344" s="111" t="s">
        <v>101</v>
      </c>
      <c r="C344" s="103">
        <v>0</v>
      </c>
      <c r="D344" s="115" t="s">
        <v>102</v>
      </c>
      <c r="G344" s="112">
        <v>0</v>
      </c>
      <c r="H344" s="112">
        <v>0</v>
      </c>
      <c r="I344" s="112">
        <v>0</v>
      </c>
      <c r="K344" s="105">
        <f>G344*C344</f>
        <v>0</v>
      </c>
      <c r="L344" s="105">
        <f>G344*D344</f>
        <v>0</v>
      </c>
      <c r="M344" s="105">
        <f>G344*E344</f>
        <v>0</v>
      </c>
      <c r="N344" s="105"/>
      <c r="O344" s="105">
        <f t="shared" si="18"/>
        <v>0</v>
      </c>
      <c r="P344" s="105">
        <f t="shared" si="18"/>
        <v>0</v>
      </c>
    </row>
    <row r="345" spans="1:21" outlineLevel="1" x14ac:dyDescent="0.2">
      <c r="A345" s="80">
        <f t="shared" si="17"/>
        <v>335</v>
      </c>
      <c r="B345" s="114" t="s">
        <v>103</v>
      </c>
      <c r="C345" s="103">
        <v>2550576</v>
      </c>
      <c r="D345" s="115" t="s">
        <v>102</v>
      </c>
      <c r="G345" s="73">
        <f>K345/C345</f>
        <v>1.2422292062655651E-2</v>
      </c>
      <c r="K345" s="105">
        <v>31684</v>
      </c>
      <c r="L345" s="105">
        <f>G345*D345</f>
        <v>0</v>
      </c>
      <c r="M345" s="105">
        <f>G345*E345</f>
        <v>0</v>
      </c>
      <c r="N345" s="105"/>
      <c r="O345" s="105">
        <f t="shared" si="18"/>
        <v>0</v>
      </c>
      <c r="P345" s="105">
        <f t="shared" si="18"/>
        <v>0</v>
      </c>
    </row>
    <row r="346" spans="1:21" outlineLevel="1" x14ac:dyDescent="0.2">
      <c r="A346" s="80">
        <f t="shared" si="17"/>
        <v>336</v>
      </c>
      <c r="B346" s="106" t="s">
        <v>74</v>
      </c>
      <c r="C346" s="160">
        <f>SUM(C342:C345)</f>
        <v>316656904.37499994</v>
      </c>
      <c r="D346" s="160">
        <f>SUM(D342:D345)</f>
        <v>304773055.46200001</v>
      </c>
      <c r="E346" s="160">
        <f>SUM(E342:E345)</f>
        <v>304773055.46200001</v>
      </c>
      <c r="K346" s="186">
        <f>SUM(K343:K345)</f>
        <v>31684</v>
      </c>
      <c r="L346" s="186">
        <f>SUM(L343:L345)</f>
        <v>0</v>
      </c>
      <c r="M346" s="186">
        <f>SUM(M343:M345)</f>
        <v>0</v>
      </c>
      <c r="O346" s="186">
        <f>SUM(O343:O345)</f>
        <v>0</v>
      </c>
      <c r="P346" s="186">
        <f>SUM(P343:P345)</f>
        <v>0</v>
      </c>
    </row>
    <row r="347" spans="1:21" outlineLevel="1" x14ac:dyDescent="0.2">
      <c r="A347" s="80">
        <f t="shared" si="17"/>
        <v>337</v>
      </c>
      <c r="B347" s="106"/>
      <c r="K347" s="124"/>
    </row>
    <row r="348" spans="1:21" ht="12" outlineLevel="1" thickBot="1" x14ac:dyDescent="0.25">
      <c r="A348" s="80">
        <f t="shared" si="17"/>
        <v>338</v>
      </c>
      <c r="B348" s="79" t="s">
        <v>110</v>
      </c>
      <c r="K348" s="134">
        <f>SUM(K346,K340,K338)</f>
        <v>3623975</v>
      </c>
      <c r="L348" s="134">
        <f>SUM(L346,L340,L338)</f>
        <v>3169169.8069353327</v>
      </c>
      <c r="M348" s="134">
        <f>SUM(M346,M340,M338)</f>
        <v>3477826.8069353327</v>
      </c>
      <c r="O348" s="134">
        <f>SUM(O346,O340,O338)</f>
        <v>8125898.7603416722</v>
      </c>
      <c r="P348" s="134">
        <f>SUM(P346,P340,P338)</f>
        <v>8954806.3667320777</v>
      </c>
      <c r="R348" s="119">
        <v>8125898.7603416722</v>
      </c>
      <c r="S348" s="119">
        <v>8954806.3667320777</v>
      </c>
    </row>
    <row r="349" spans="1:21" ht="12" outlineLevel="1" thickTop="1" x14ac:dyDescent="0.2">
      <c r="A349" s="80">
        <f t="shared" si="17"/>
        <v>339</v>
      </c>
      <c r="B349" s="102" t="s">
        <v>111</v>
      </c>
      <c r="R349" s="105">
        <f>R348-L348</f>
        <v>4956728.9534063395</v>
      </c>
      <c r="S349" s="105">
        <f>S348-M348-R349</f>
        <v>520250.60639040545</v>
      </c>
    </row>
    <row r="350" spans="1:21" outlineLevel="1" x14ac:dyDescent="0.2">
      <c r="A350" s="80">
        <f t="shared" si="17"/>
        <v>340</v>
      </c>
      <c r="B350" s="102" t="s">
        <v>112</v>
      </c>
      <c r="M350" s="131"/>
      <c r="R350" s="76">
        <f>R349/L348</f>
        <v>1.5640465028283295</v>
      </c>
      <c r="S350" s="76">
        <f>S349/M348</f>
        <v>0.14959071721252595</v>
      </c>
    </row>
    <row r="351" spans="1:21" outlineLevel="1" x14ac:dyDescent="0.2">
      <c r="A351" s="80">
        <f t="shared" si="17"/>
        <v>341</v>
      </c>
      <c r="B351" s="122" t="s">
        <v>113</v>
      </c>
      <c r="K351" s="103">
        <v>0</v>
      </c>
      <c r="O351" s="124"/>
      <c r="P351" s="124"/>
      <c r="R351" s="105">
        <f>R348-O348</f>
        <v>0</v>
      </c>
      <c r="S351" s="105">
        <f>S348-P348</f>
        <v>0</v>
      </c>
    </row>
    <row r="352" spans="1:21" outlineLevel="1" x14ac:dyDescent="0.2">
      <c r="A352" s="80">
        <f t="shared" si="17"/>
        <v>342</v>
      </c>
      <c r="B352" s="125"/>
      <c r="C352" s="126"/>
      <c r="D352" s="126"/>
      <c r="E352" s="126"/>
      <c r="F352" s="126"/>
      <c r="G352" s="127"/>
      <c r="H352" s="127"/>
      <c r="I352" s="127"/>
      <c r="J352" s="126"/>
      <c r="K352" s="126"/>
      <c r="L352" s="126"/>
      <c r="M352" s="126"/>
      <c r="N352" s="126"/>
      <c r="O352" s="126"/>
      <c r="P352" s="126"/>
      <c r="Q352" s="126"/>
      <c r="R352" s="126"/>
      <c r="S352" s="126"/>
      <c r="T352" s="126"/>
      <c r="U352" s="126"/>
    </row>
    <row r="353" spans="1:21" outlineLevel="1" x14ac:dyDescent="0.2">
      <c r="A353" s="80">
        <f t="shared" si="17"/>
        <v>343</v>
      </c>
    </row>
    <row r="354" spans="1:21" outlineLevel="1" x14ac:dyDescent="0.2">
      <c r="A354" s="80">
        <f t="shared" si="17"/>
        <v>344</v>
      </c>
      <c r="B354" s="100" t="s">
        <v>191</v>
      </c>
    </row>
    <row r="355" spans="1:21" outlineLevel="1" x14ac:dyDescent="0.2">
      <c r="A355" s="80">
        <f t="shared" si="17"/>
        <v>345</v>
      </c>
      <c r="B355" s="100" t="s">
        <v>192</v>
      </c>
    </row>
    <row r="356" spans="1:21" outlineLevel="1" x14ac:dyDescent="0.2">
      <c r="A356" s="80">
        <f t="shared" si="17"/>
        <v>346</v>
      </c>
      <c r="B356" s="102" t="s">
        <v>179</v>
      </c>
      <c r="C356" s="103">
        <v>96</v>
      </c>
      <c r="D356" s="189">
        <v>96</v>
      </c>
      <c r="E356" s="189">
        <v>96</v>
      </c>
      <c r="G356" s="112"/>
      <c r="K356" s="105">
        <f>G356*C356</f>
        <v>0</v>
      </c>
      <c r="L356" s="105">
        <f>G356*D356</f>
        <v>0</v>
      </c>
      <c r="M356" s="105">
        <f>G356*E356</f>
        <v>0</v>
      </c>
      <c r="N356" s="105"/>
      <c r="O356" s="105">
        <f>H356*D356</f>
        <v>0</v>
      </c>
      <c r="P356" s="105">
        <f>I356*E356</f>
        <v>0</v>
      </c>
    </row>
    <row r="357" spans="1:21" outlineLevel="1" x14ac:dyDescent="0.2">
      <c r="A357" s="80">
        <f t="shared" si="17"/>
        <v>347</v>
      </c>
      <c r="B357" s="79" t="s">
        <v>147</v>
      </c>
      <c r="C357" s="103"/>
      <c r="G357" s="112"/>
    </row>
    <row r="358" spans="1:21" outlineLevel="1" x14ac:dyDescent="0.2">
      <c r="A358" s="80">
        <f t="shared" si="17"/>
        <v>348</v>
      </c>
      <c r="B358" s="111" t="s">
        <v>99</v>
      </c>
      <c r="C358" s="103">
        <v>7070140</v>
      </c>
      <c r="D358" s="103">
        <v>6714960.2368700616</v>
      </c>
      <c r="E358" s="103">
        <v>6710049.8818741431</v>
      </c>
      <c r="G358" s="73">
        <f>K358/C358</f>
        <v>3.5139756779922322E-2</v>
      </c>
      <c r="H358" s="112">
        <f t="shared" ref="H358:I360" si="19">G358+R358</f>
        <v>0.12915032876857874</v>
      </c>
      <c r="I358" s="112">
        <f t="shared" si="19"/>
        <v>0.12937531311662395</v>
      </c>
      <c r="K358" s="124">
        <v>248443</v>
      </c>
      <c r="L358" s="105">
        <f>G358*D358</f>
        <v>235962.06951046354</v>
      </c>
      <c r="M358" s="105">
        <f>G358*E358</f>
        <v>235789.5208302039</v>
      </c>
      <c r="N358" s="105"/>
      <c r="O358" s="105">
        <f t="shared" ref="O358:P360" si="20">H358*D358</f>
        <v>867239.32225970179</v>
      </c>
      <c r="P358" s="105">
        <f t="shared" si="20"/>
        <v>868114.80449563288</v>
      </c>
      <c r="R358" s="112">
        <f>(R370-(O356-L356)-(O363-L363)-(O365-L365))/D361</f>
        <v>9.4010571988656422E-2</v>
      </c>
      <c r="S358" s="112">
        <f>((S370+R370)-(P356-M356)-(P363-M363)-(P365-M365))/E361-R358</f>
        <v>2.2498434804521517E-4</v>
      </c>
      <c r="U358" s="102" t="s">
        <v>100</v>
      </c>
    </row>
    <row r="359" spans="1:21" outlineLevel="1" x14ac:dyDescent="0.2">
      <c r="A359" s="80">
        <f t="shared" si="17"/>
        <v>349</v>
      </c>
      <c r="B359" s="111" t="s">
        <v>101</v>
      </c>
      <c r="C359" s="103">
        <v>-182514.82154599993</v>
      </c>
      <c r="D359" s="115" t="s">
        <v>102</v>
      </c>
      <c r="G359" s="73">
        <f>K359/C359</f>
        <v>7.7834774620863356E-2</v>
      </c>
      <c r="H359" s="112">
        <f t="shared" si="19"/>
        <v>0.17184534660951978</v>
      </c>
      <c r="I359" s="112">
        <f t="shared" si="19"/>
        <v>0.17207033095756499</v>
      </c>
      <c r="K359" s="124">
        <v>-14206</v>
      </c>
      <c r="L359" s="105">
        <f>G359*D359</f>
        <v>0</v>
      </c>
      <c r="M359" s="105">
        <f>G359*E359</f>
        <v>0</v>
      </c>
      <c r="N359" s="105"/>
      <c r="O359" s="105">
        <f t="shared" si="20"/>
        <v>0</v>
      </c>
      <c r="P359" s="105">
        <f t="shared" si="20"/>
        <v>0</v>
      </c>
      <c r="R359" s="152">
        <f>R358</f>
        <v>9.4010571988656422E-2</v>
      </c>
      <c r="S359" s="152">
        <f>S358</f>
        <v>2.2498434804521517E-4</v>
      </c>
      <c r="U359" s="102" t="s">
        <v>100</v>
      </c>
    </row>
    <row r="360" spans="1:21" outlineLevel="1" x14ac:dyDescent="0.2">
      <c r="A360" s="80">
        <f t="shared" si="17"/>
        <v>350</v>
      </c>
      <c r="B360" s="114" t="s">
        <v>103</v>
      </c>
      <c r="C360" s="130">
        <v>-119780</v>
      </c>
      <c r="D360" s="185" t="s">
        <v>102</v>
      </c>
      <c r="E360" s="126"/>
      <c r="G360" s="73">
        <f>K360/C360</f>
        <v>7.3259308732676567E-2</v>
      </c>
      <c r="H360" s="112">
        <f t="shared" si="19"/>
        <v>0.16726988072133298</v>
      </c>
      <c r="I360" s="112">
        <f t="shared" si="19"/>
        <v>0.16749486506937819</v>
      </c>
      <c r="K360" s="190">
        <v>-8775</v>
      </c>
      <c r="L360" s="116">
        <f>G360*D360</f>
        <v>0</v>
      </c>
      <c r="M360" s="116">
        <f>G360*E360</f>
        <v>0</v>
      </c>
      <c r="N360" s="105"/>
      <c r="O360" s="116">
        <f t="shared" si="20"/>
        <v>0</v>
      </c>
      <c r="P360" s="116">
        <f t="shared" si="20"/>
        <v>0</v>
      </c>
      <c r="R360" s="152">
        <f>R359</f>
        <v>9.4010571988656422E-2</v>
      </c>
      <c r="S360" s="152">
        <f>S359</f>
        <v>2.2498434804521517E-4</v>
      </c>
      <c r="U360" s="102" t="s">
        <v>100</v>
      </c>
    </row>
    <row r="361" spans="1:21" outlineLevel="1" x14ac:dyDescent="0.2">
      <c r="A361" s="80">
        <f t="shared" si="17"/>
        <v>351</v>
      </c>
      <c r="B361" s="106" t="s">
        <v>74</v>
      </c>
      <c r="C361" s="103">
        <f>SUM(C358:C360)</f>
        <v>6767845.1784540005</v>
      </c>
      <c r="D361" s="103">
        <f>SUM(D358:D360)</f>
        <v>6714960.2368700616</v>
      </c>
      <c r="E361" s="103">
        <f>SUM(E358:E360)</f>
        <v>6710049.8818741431</v>
      </c>
      <c r="G361" s="112"/>
      <c r="K361" s="124">
        <f>SUM(K358:K360)</f>
        <v>225462</v>
      </c>
      <c r="L361" s="124">
        <f>SUM(L358:L360)</f>
        <v>235962.06951046354</v>
      </c>
      <c r="M361" s="124">
        <f>SUM(M358:M360)</f>
        <v>235789.5208302039</v>
      </c>
      <c r="O361" s="124">
        <f>SUM(O358:O360)</f>
        <v>867239.32225970179</v>
      </c>
      <c r="P361" s="124">
        <f>SUM(P358:P360)</f>
        <v>868114.80449563288</v>
      </c>
    </row>
    <row r="362" spans="1:21" outlineLevel="1" x14ac:dyDescent="0.2">
      <c r="A362" s="80">
        <f t="shared" si="17"/>
        <v>352</v>
      </c>
      <c r="B362" s="106"/>
      <c r="C362" s="103"/>
      <c r="G362" s="112"/>
      <c r="K362" s="124"/>
      <c r="L362" s="124"/>
      <c r="M362" s="124"/>
      <c r="O362" s="124"/>
      <c r="P362" s="124"/>
    </row>
    <row r="363" spans="1:21" outlineLevel="1" x14ac:dyDescent="0.2">
      <c r="A363" s="80">
        <f t="shared" si="17"/>
        <v>353</v>
      </c>
      <c r="B363" s="79" t="s">
        <v>193</v>
      </c>
      <c r="C363" s="103">
        <v>14047</v>
      </c>
      <c r="D363" s="103">
        <v>13394.355918136085</v>
      </c>
      <c r="E363" s="103">
        <v>13319.835934941628</v>
      </c>
      <c r="G363" s="191">
        <v>5.25</v>
      </c>
      <c r="H363" s="71">
        <f>G363*(1+R363)</f>
        <v>19.295501396937592</v>
      </c>
      <c r="I363" s="71">
        <f>H363*(1+S363)</f>
        <v>19.295501396937592</v>
      </c>
      <c r="K363" s="124">
        <v>73747</v>
      </c>
      <c r="L363" s="105">
        <f>G363*D363</f>
        <v>70320.368570214443</v>
      </c>
      <c r="M363" s="105">
        <f>G363*E363</f>
        <v>69929.138658443553</v>
      </c>
      <c r="N363" s="105"/>
      <c r="O363" s="105">
        <f>H363*D363</f>
        <v>258450.81332947413</v>
      </c>
      <c r="P363" s="105">
        <f>I363*E363</f>
        <v>257012.91288964573</v>
      </c>
      <c r="R363" s="72">
        <f>R371</f>
        <v>2.675333599416684</v>
      </c>
      <c r="S363" s="72">
        <f>S371</f>
        <v>0</v>
      </c>
      <c r="T363" s="105"/>
      <c r="U363" s="102" t="s">
        <v>106</v>
      </c>
    </row>
    <row r="364" spans="1:21" outlineLevel="1" x14ac:dyDescent="0.2">
      <c r="A364" s="80">
        <f t="shared" si="17"/>
        <v>354</v>
      </c>
      <c r="C364" s="103"/>
      <c r="D364" s="103"/>
      <c r="E364" s="103"/>
      <c r="G364" s="104"/>
      <c r="K364" s="124"/>
      <c r="L364" s="124"/>
      <c r="M364" s="124"/>
      <c r="O364" s="124"/>
      <c r="P364" s="124"/>
    </row>
    <row r="365" spans="1:21" outlineLevel="1" x14ac:dyDescent="0.2">
      <c r="A365" s="80">
        <f t="shared" si="17"/>
        <v>355</v>
      </c>
      <c r="B365" s="102" t="s">
        <v>194</v>
      </c>
      <c r="C365" s="103">
        <v>1785000</v>
      </c>
      <c r="D365" s="103">
        <v>1725954.2492423062</v>
      </c>
      <c r="E365" s="103">
        <v>1723920.2776531272</v>
      </c>
      <c r="G365" s="73">
        <v>2.5000000000000001E-4</v>
      </c>
      <c r="H365" s="75">
        <f>G365*(1+R365)</f>
        <v>9.1883339985417102E-4</v>
      </c>
      <c r="I365" s="75">
        <f>H365*(1+S365)</f>
        <v>9.1883339985417102E-4</v>
      </c>
      <c r="K365" s="124">
        <v>447</v>
      </c>
      <c r="L365" s="105">
        <f>G365*D365</f>
        <v>431.48856231057658</v>
      </c>
      <c r="M365" s="105">
        <f>G365*E365</f>
        <v>430.9800694132818</v>
      </c>
      <c r="N365" s="105"/>
      <c r="O365" s="105">
        <f>H365*D365</f>
        <v>1585.8644108240615</v>
      </c>
      <c r="P365" s="105">
        <f>I365*E365</f>
        <v>1583.9955297935694</v>
      </c>
      <c r="R365" s="72">
        <f>R363</f>
        <v>2.675333599416684</v>
      </c>
      <c r="S365" s="72">
        <f>S363</f>
        <v>0</v>
      </c>
      <c r="T365" s="105"/>
      <c r="U365" s="102" t="s">
        <v>109</v>
      </c>
    </row>
    <row r="366" spans="1:21" outlineLevel="1" x14ac:dyDescent="0.2">
      <c r="A366" s="80">
        <f t="shared" si="17"/>
        <v>356</v>
      </c>
      <c r="B366" s="102" t="s">
        <v>195</v>
      </c>
      <c r="D366" s="103"/>
      <c r="E366" s="103"/>
      <c r="K366" s="124">
        <v>134789</v>
      </c>
      <c r="L366" s="105">
        <f>G366*D366</f>
        <v>0</v>
      </c>
      <c r="M366" s="105">
        <f>G366*E366</f>
        <v>0</v>
      </c>
      <c r="N366" s="105"/>
      <c r="O366" s="105">
        <f>H366*D366</f>
        <v>0</v>
      </c>
      <c r="P366" s="105">
        <f>I366*E366</f>
        <v>0</v>
      </c>
    </row>
    <row r="367" spans="1:21" outlineLevel="1" x14ac:dyDescent="0.2">
      <c r="A367" s="80">
        <f t="shared" si="17"/>
        <v>357</v>
      </c>
      <c r="B367" s="102" t="s">
        <v>196</v>
      </c>
      <c r="K367" s="124"/>
      <c r="L367" s="124"/>
      <c r="M367" s="124"/>
      <c r="O367" s="124"/>
      <c r="P367" s="124"/>
    </row>
    <row r="368" spans="1:21" outlineLevel="1" x14ac:dyDescent="0.2">
      <c r="A368" s="80">
        <f t="shared" si="17"/>
        <v>358</v>
      </c>
      <c r="B368" s="114"/>
      <c r="K368" s="124"/>
      <c r="L368" s="124"/>
      <c r="M368" s="124"/>
      <c r="O368" s="124"/>
      <c r="P368" s="124"/>
    </row>
    <row r="369" spans="1:21" ht="12" outlineLevel="1" thickBot="1" x14ac:dyDescent="0.25">
      <c r="A369" s="80">
        <f t="shared" si="17"/>
        <v>359</v>
      </c>
      <c r="B369" s="79" t="s">
        <v>110</v>
      </c>
      <c r="K369" s="134">
        <f>SUM(K363,K361,K356,K365,K366)</f>
        <v>434445</v>
      </c>
      <c r="L369" s="134">
        <f>SUM(L363,L361,L356,L365,L366)</f>
        <v>306713.92664298858</v>
      </c>
      <c r="M369" s="134">
        <f>SUM(M363,M361,M356,M365,M366)</f>
        <v>306149.63955806073</v>
      </c>
      <c r="O369" s="134">
        <f>SUM(O363,O361,O356,O365,O366)</f>
        <v>1127276</v>
      </c>
      <c r="P369" s="134">
        <f>SUM(P363,P361,P356,P365,P366)</f>
        <v>1126711.7129150722</v>
      </c>
      <c r="R369" s="119">
        <v>1127276</v>
      </c>
      <c r="S369" s="119">
        <v>1126711.7129150722</v>
      </c>
    </row>
    <row r="370" spans="1:21" ht="12" outlineLevel="1" thickTop="1" x14ac:dyDescent="0.2">
      <c r="A370" s="80">
        <f t="shared" si="17"/>
        <v>360</v>
      </c>
      <c r="B370" s="102" t="s">
        <v>111</v>
      </c>
      <c r="R370" s="105">
        <f>R369-L369</f>
        <v>820562.07335701142</v>
      </c>
      <c r="S370" s="105">
        <f>S369-M369-R370</f>
        <v>0</v>
      </c>
    </row>
    <row r="371" spans="1:21" outlineLevel="1" x14ac:dyDescent="0.2">
      <c r="A371" s="80">
        <f t="shared" si="17"/>
        <v>361</v>
      </c>
      <c r="B371" s="102" t="s">
        <v>112</v>
      </c>
      <c r="R371" s="76">
        <f>R370/L369</f>
        <v>2.675333599416684</v>
      </c>
      <c r="S371" s="76">
        <f>S370/M369</f>
        <v>0</v>
      </c>
    </row>
    <row r="372" spans="1:21" outlineLevel="1" x14ac:dyDescent="0.2">
      <c r="A372" s="80">
        <f t="shared" si="17"/>
        <v>362</v>
      </c>
      <c r="B372" s="122" t="s">
        <v>113</v>
      </c>
      <c r="C372" s="103">
        <v>0</v>
      </c>
      <c r="K372" s="103">
        <v>0</v>
      </c>
      <c r="L372" s="103">
        <v>1.6332131503731944</v>
      </c>
      <c r="M372" s="103">
        <v>1.6320188534446061</v>
      </c>
      <c r="O372" s="124"/>
      <c r="P372" s="124"/>
      <c r="R372" s="105">
        <f>R369-O369</f>
        <v>0</v>
      </c>
      <c r="S372" s="105">
        <f>S369-P369</f>
        <v>0</v>
      </c>
    </row>
    <row r="373" spans="1:21" outlineLevel="1" x14ac:dyDescent="0.2">
      <c r="A373" s="80">
        <f t="shared" si="17"/>
        <v>363</v>
      </c>
      <c r="B373" s="125"/>
      <c r="C373" s="126"/>
      <c r="D373" s="126"/>
      <c r="E373" s="126"/>
      <c r="F373" s="126"/>
      <c r="G373" s="127"/>
      <c r="H373" s="127"/>
      <c r="I373" s="127"/>
      <c r="J373" s="126"/>
      <c r="K373" s="126"/>
      <c r="L373" s="126"/>
      <c r="M373" s="126"/>
      <c r="N373" s="126"/>
      <c r="O373" s="126"/>
      <c r="P373" s="126"/>
      <c r="Q373" s="126"/>
      <c r="R373" s="126"/>
      <c r="S373" s="126"/>
      <c r="T373" s="126"/>
      <c r="U373" s="126"/>
    </row>
    <row r="374" spans="1:21" outlineLevel="1" x14ac:dyDescent="0.2">
      <c r="A374" s="80">
        <f t="shared" si="17"/>
        <v>364</v>
      </c>
    </row>
    <row r="375" spans="1:21" outlineLevel="1" x14ac:dyDescent="0.2">
      <c r="A375" s="80">
        <f t="shared" si="17"/>
        <v>365</v>
      </c>
      <c r="B375" s="100" t="s">
        <v>197</v>
      </c>
    </row>
    <row r="376" spans="1:21" outlineLevel="1" x14ac:dyDescent="0.2">
      <c r="A376" s="80">
        <f t="shared" si="17"/>
        <v>366</v>
      </c>
      <c r="B376" s="100" t="s">
        <v>198</v>
      </c>
    </row>
    <row r="377" spans="1:21" outlineLevel="1" x14ac:dyDescent="0.2">
      <c r="A377" s="80">
        <f t="shared" si="17"/>
        <v>367</v>
      </c>
      <c r="B377" s="79" t="s">
        <v>147</v>
      </c>
      <c r="C377" s="103"/>
      <c r="G377" s="112" t="s">
        <v>199</v>
      </c>
      <c r="P377" s="105"/>
    </row>
    <row r="378" spans="1:21" outlineLevel="1" x14ac:dyDescent="0.2">
      <c r="A378" s="80">
        <f t="shared" si="17"/>
        <v>368</v>
      </c>
      <c r="B378" s="111" t="s">
        <v>99</v>
      </c>
      <c r="C378" s="103">
        <v>66303800.464439668</v>
      </c>
      <c r="D378" s="103">
        <v>67255417.982360825</v>
      </c>
      <c r="E378" s="103">
        <v>67027608.143863305</v>
      </c>
      <c r="G378" s="73">
        <v>0.24954457821507642</v>
      </c>
      <c r="H378" s="152">
        <f>R381/D378</f>
        <v>0.31727738722237253</v>
      </c>
      <c r="I378" s="152">
        <f>S381/E378</f>
        <v>0.34810792173485411</v>
      </c>
      <c r="K378" s="124">
        <v>15259023</v>
      </c>
      <c r="L378" s="105">
        <f>G378*D378</f>
        <v>16783224.913086899</v>
      </c>
      <c r="M378" s="105">
        <f>G378*E378</f>
        <v>16726376.20302579</v>
      </c>
      <c r="N378" s="105"/>
      <c r="O378" s="105">
        <f t="shared" ref="O378:P380" si="21">H378*D378</f>
        <v>21338623.293992013</v>
      </c>
      <c r="P378" s="105">
        <f t="shared" si="21"/>
        <v>23332841.369818438</v>
      </c>
      <c r="R378" s="72">
        <f>(H378-G378)/G378</f>
        <v>0.2714256887157005</v>
      </c>
      <c r="S378" s="72">
        <f>(I378-H378)/H378</f>
        <v>9.7172177262267845E-2</v>
      </c>
      <c r="U378" s="102" t="s">
        <v>100</v>
      </c>
    </row>
    <row r="379" spans="1:21" outlineLevel="1" x14ac:dyDescent="0.2">
      <c r="A379" s="80">
        <f t="shared" si="17"/>
        <v>369</v>
      </c>
      <c r="B379" s="111" t="s">
        <v>101</v>
      </c>
      <c r="C379" s="103">
        <v>0</v>
      </c>
      <c r="D379" s="115" t="s">
        <v>102</v>
      </c>
      <c r="E379" s="103"/>
      <c r="G379" s="73">
        <f>IFERROR(K379/C379,0)</f>
        <v>0</v>
      </c>
      <c r="I379" s="152"/>
      <c r="K379" s="124">
        <v>0</v>
      </c>
      <c r="L379" s="105">
        <f>G379*D379</f>
        <v>0</v>
      </c>
      <c r="M379" s="105">
        <f>G379*E379</f>
        <v>0</v>
      </c>
      <c r="N379" s="105"/>
      <c r="O379" s="105">
        <f t="shared" si="21"/>
        <v>0</v>
      </c>
      <c r="P379" s="105">
        <f t="shared" si="21"/>
        <v>0</v>
      </c>
    </row>
    <row r="380" spans="1:21" outlineLevel="1" x14ac:dyDescent="0.2">
      <c r="A380" s="80">
        <f t="shared" si="17"/>
        <v>370</v>
      </c>
      <c r="B380" s="114" t="s">
        <v>103</v>
      </c>
      <c r="C380" s="130">
        <v>441294</v>
      </c>
      <c r="D380" s="185" t="s">
        <v>102</v>
      </c>
      <c r="E380" s="130"/>
      <c r="G380" s="73">
        <f>K380/C380</f>
        <v>0.23013682488318446</v>
      </c>
      <c r="I380" s="152"/>
      <c r="K380" s="190">
        <v>101558</v>
      </c>
      <c r="L380" s="105">
        <f>G380*D380</f>
        <v>0</v>
      </c>
      <c r="M380" s="105">
        <f>G380*E380</f>
        <v>0</v>
      </c>
      <c r="N380" s="105"/>
      <c r="O380" s="105">
        <f t="shared" si="21"/>
        <v>0</v>
      </c>
      <c r="P380" s="105">
        <f t="shared" si="21"/>
        <v>0</v>
      </c>
    </row>
    <row r="381" spans="1:21" ht="12" outlineLevel="1" thickBot="1" x14ac:dyDescent="0.25">
      <c r="A381" s="80">
        <f t="shared" si="17"/>
        <v>371</v>
      </c>
      <c r="B381" s="106" t="s">
        <v>74</v>
      </c>
      <c r="C381" s="103">
        <f>SUM(C378:C380)</f>
        <v>66745094.464439668</v>
      </c>
      <c r="D381" s="103">
        <f>SUM(D378:D380)</f>
        <v>67255417.982360825</v>
      </c>
      <c r="E381" s="103">
        <f>SUM(E378:E380)</f>
        <v>67027608.143863305</v>
      </c>
      <c r="G381" s="112"/>
      <c r="K381" s="134">
        <f>SUM(K378:K380)</f>
        <v>15360581</v>
      </c>
      <c r="L381" s="134">
        <f>SUM(L378:L380)</f>
        <v>16783224.913086899</v>
      </c>
      <c r="M381" s="134">
        <f>SUM(M378:M380)</f>
        <v>16726376.20302579</v>
      </c>
      <c r="O381" s="134">
        <f>SUM(O378:O380)</f>
        <v>21338623.293992013</v>
      </c>
      <c r="P381" s="134">
        <f>SUM(P378:P380)</f>
        <v>23332841.369818438</v>
      </c>
      <c r="R381" s="119">
        <v>21338623.293992013</v>
      </c>
      <c r="S381" s="119">
        <v>23332841.369818438</v>
      </c>
    </row>
    <row r="382" spans="1:21" ht="12" outlineLevel="1" thickTop="1" x14ac:dyDescent="0.2">
      <c r="A382" s="80">
        <f t="shared" si="17"/>
        <v>372</v>
      </c>
      <c r="B382" s="79" t="s">
        <v>110</v>
      </c>
      <c r="R382" s="105">
        <f>R381-L381</f>
        <v>4555398.3809051141</v>
      </c>
      <c r="S382" s="105">
        <f>S381-M381-R382</f>
        <v>2051066.7858875338</v>
      </c>
    </row>
    <row r="383" spans="1:21" outlineLevel="1" x14ac:dyDescent="0.2">
      <c r="A383" s="80">
        <f t="shared" si="17"/>
        <v>373</v>
      </c>
      <c r="B383" s="102" t="s">
        <v>111</v>
      </c>
      <c r="M383" s="124"/>
      <c r="P383" s="71"/>
      <c r="R383" s="76">
        <f>R382/L381</f>
        <v>0.2714256887157005</v>
      </c>
      <c r="S383" s="76">
        <f>S382/M381</f>
        <v>0.12262469533098851</v>
      </c>
    </row>
    <row r="384" spans="1:21" outlineLevel="1" x14ac:dyDescent="0.2">
      <c r="A384" s="80">
        <f t="shared" si="17"/>
        <v>374</v>
      </c>
      <c r="B384" s="102" t="s">
        <v>112</v>
      </c>
      <c r="P384" s="192"/>
      <c r="R384" s="105">
        <f>R381-O381</f>
        <v>0</v>
      </c>
      <c r="S384" s="105">
        <f>S381-P381</f>
        <v>0</v>
      </c>
    </row>
    <row r="385" spans="1:19" outlineLevel="1" x14ac:dyDescent="0.2">
      <c r="A385" s="80">
        <f t="shared" si="17"/>
        <v>375</v>
      </c>
      <c r="B385" s="122" t="s">
        <v>113</v>
      </c>
      <c r="C385" s="103">
        <v>0</v>
      </c>
      <c r="K385" s="103">
        <v>0</v>
      </c>
      <c r="L385" s="103">
        <v>0</v>
      </c>
      <c r="M385" s="103">
        <v>0</v>
      </c>
    </row>
    <row r="386" spans="1:19" x14ac:dyDescent="0.2">
      <c r="A386" s="80">
        <f t="shared" si="17"/>
        <v>376</v>
      </c>
    </row>
    <row r="387" spans="1:19" x14ac:dyDescent="0.2">
      <c r="A387" s="80">
        <f t="shared" si="17"/>
        <v>377</v>
      </c>
      <c r="B387" s="83" t="s">
        <v>200</v>
      </c>
      <c r="C387" s="193">
        <f>SUM(C23,C43,C61,C86,C135,C171,C195,C243,C267,C289,C307,C325,C346,C361,C381)</f>
        <v>23292161227.789402</v>
      </c>
      <c r="D387" s="193">
        <f>SUM(D23,D43,D61,D86,D135,D171,D195,D243,D267,D289,D307,D325,D346,D361,D381)</f>
        <v>23558158394.432896</v>
      </c>
      <c r="E387" s="193">
        <f>SUM(E23,E43,E61,E86,E135,E171,E195,E243,E267,E289,E307,E325,E346,E361,E381)</f>
        <v>23775605944.94062</v>
      </c>
      <c r="P387" s="194"/>
      <c r="R387" s="71"/>
    </row>
    <row r="388" spans="1:19" x14ac:dyDescent="0.2">
      <c r="A388" s="80">
        <f t="shared" si="17"/>
        <v>378</v>
      </c>
      <c r="B388" s="83" t="s">
        <v>201</v>
      </c>
      <c r="C388" s="193">
        <f>SUM(C65,C90,C107,C112,C139,C175,C199,C216,C221,C247,C270,C291,C309,C327,C363)</f>
        <v>18673135</v>
      </c>
      <c r="D388" s="193">
        <f>SUM(D65,D90,D107,D112,D139,D175,D199,D216,D221,D247,D270,D291,D309,D327,D363,D340)</f>
        <v>15931928.352352697</v>
      </c>
      <c r="E388" s="193">
        <f>SUM(E65,E90,E107,E112,E139,E175,E199,E216,E221,E247,E270,E291,E309,E327,E363,E340)</f>
        <v>16044017.391015278</v>
      </c>
      <c r="P388" s="194"/>
    </row>
    <row r="389" spans="1:19" x14ac:dyDescent="0.2">
      <c r="A389" s="80">
        <f t="shared" si="17"/>
        <v>379</v>
      </c>
      <c r="B389" s="83" t="s">
        <v>202</v>
      </c>
      <c r="C389" s="83"/>
      <c r="D389" s="83"/>
      <c r="E389" s="83"/>
      <c r="F389" s="83"/>
      <c r="G389" s="83"/>
      <c r="H389" s="83"/>
      <c r="I389" s="83"/>
      <c r="J389" s="83"/>
      <c r="K389" s="194">
        <f t="shared" ref="K389:P389" si="22">SUM(K24,K44,K69,K94,K114,K145,K179,K203,K223,K251,K276,K293,K311,K331,K348,K369,K381)</f>
        <v>2094679068.6664464</v>
      </c>
      <c r="L389" s="194">
        <f t="shared" si="22"/>
        <v>2118609636.1930223</v>
      </c>
      <c r="M389" s="194">
        <f t="shared" si="22"/>
        <v>2140998717.1875465</v>
      </c>
      <c r="N389" s="194">
        <f t="shared" si="22"/>
        <v>0</v>
      </c>
      <c r="O389" s="194">
        <f t="shared" si="22"/>
        <v>2702986394.1930223</v>
      </c>
      <c r="P389" s="194">
        <f t="shared" si="22"/>
        <v>2985277399.1875458</v>
      </c>
    </row>
    <row r="390" spans="1:19" x14ac:dyDescent="0.2">
      <c r="A390" s="80">
        <f t="shared" si="17"/>
        <v>380</v>
      </c>
      <c r="M390" s="80" t="s">
        <v>203</v>
      </c>
      <c r="O390" s="195">
        <v>2702986396.0946202</v>
      </c>
      <c r="P390" s="195">
        <v>2985277400.9672737</v>
      </c>
      <c r="S390" s="131"/>
    </row>
    <row r="391" spans="1:19" x14ac:dyDescent="0.2">
      <c r="A391" s="80">
        <f t="shared" si="17"/>
        <v>381</v>
      </c>
      <c r="B391" s="122" t="s">
        <v>113</v>
      </c>
      <c r="D391" s="103">
        <v>0</v>
      </c>
      <c r="E391" s="103">
        <v>0</v>
      </c>
      <c r="M391" s="122" t="s">
        <v>113</v>
      </c>
      <c r="O391" s="195">
        <f>O390-O389+O151</f>
        <v>1.9015979766845703</v>
      </c>
      <c r="P391" s="195">
        <f>P390-P389+P151</f>
        <v>1.7797279357910156</v>
      </c>
    </row>
    <row r="392" spans="1:19" x14ac:dyDescent="0.2">
      <c r="A392" s="80">
        <f t="shared" si="17"/>
        <v>382</v>
      </c>
      <c r="B392" s="122" t="s">
        <v>113</v>
      </c>
      <c r="D392" s="103">
        <v>0</v>
      </c>
      <c r="E392" s="103">
        <v>0</v>
      </c>
    </row>
    <row r="393" spans="1:19" x14ac:dyDescent="0.2">
      <c r="A393" s="80">
        <f t="shared" si="17"/>
        <v>383</v>
      </c>
      <c r="P393" s="124"/>
    </row>
    <row r="394" spans="1:19" x14ac:dyDescent="0.2">
      <c r="A394" s="80">
        <f t="shared" si="17"/>
        <v>384</v>
      </c>
      <c r="P394" s="131"/>
    </row>
    <row r="395" spans="1:19" x14ac:dyDescent="0.2">
      <c r="P395" s="124"/>
    </row>
    <row r="396" spans="1:19" x14ac:dyDescent="0.2">
      <c r="P396" s="131"/>
    </row>
  </sheetData>
  <mergeCells count="11">
    <mergeCell ref="K148:P148"/>
    <mergeCell ref="A1:U1"/>
    <mergeCell ref="A2:U2"/>
    <mergeCell ref="A3:U3"/>
    <mergeCell ref="A4:U4"/>
    <mergeCell ref="A5:U5"/>
    <mergeCell ref="C8:E8"/>
    <mergeCell ref="G8:I8"/>
    <mergeCell ref="K8:M8"/>
    <mergeCell ref="O8:P8"/>
    <mergeCell ref="R8:S8"/>
  </mergeCells>
  <printOptions horizontalCentered="1"/>
  <pageMargins left="0.7" right="0.7" top="0.75" bottom="0.75" header="0.3" footer="0.3"/>
  <pageSetup scale="45" fitToHeight="0" orientation="landscape" r:id="rId1"/>
  <headerFooter alignWithMargins="0">
    <oddFooter>&amp;R&amp;F
&amp;A
&amp;P of &amp;N</oddFooter>
  </headerFooter>
  <rowBreaks count="3" manualBreakCount="3">
    <brk id="49" min="1" max="11" man="1"/>
    <brk id="76" min="1" max="11" man="1"/>
    <brk id="154" min="1" max="11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4CEFB-AF52-43A7-9EED-279E7D6AFF9A}">
  <sheetPr transitionEvaluation="1" transitionEntry="1"/>
  <dimension ref="A1:Z396"/>
  <sheetViews>
    <sheetView zoomScaleNormal="100" zoomScaleSheetLayoutView="80" workbookViewId="0">
      <pane ySplit="10" topLeftCell="A125" activePane="bottomLeft" state="frozen"/>
      <selection sqref="A1:XFD1048576"/>
      <selection pane="bottomLeft" activeCell="I127" sqref="I127"/>
    </sheetView>
  </sheetViews>
  <sheetFormatPr defaultColWidth="11.7109375" defaultRowHeight="11.25" outlineLevelRow="1" x14ac:dyDescent="0.2"/>
  <cols>
    <col min="1" max="1" width="5.28515625" style="80" customWidth="1"/>
    <col min="2" max="2" width="52" style="79" bestFit="1" customWidth="1"/>
    <col min="3" max="3" width="12.85546875" style="79" bestFit="1" customWidth="1"/>
    <col min="4" max="4" width="14.140625" style="79" customWidth="1"/>
    <col min="5" max="5" width="12.85546875" style="79" bestFit="1" customWidth="1"/>
    <col min="6" max="6" width="1" style="79" customWidth="1"/>
    <col min="7" max="7" width="11.28515625" style="79" bestFit="1" customWidth="1"/>
    <col min="8" max="9" width="11.5703125" style="79" bestFit="1" customWidth="1"/>
    <col min="10" max="10" width="1" style="79" customWidth="1"/>
    <col min="11" max="12" width="12.85546875" style="79" bestFit="1" customWidth="1"/>
    <col min="13" max="13" width="13.140625" style="79" customWidth="1"/>
    <col min="14" max="14" width="0.7109375" style="79" customWidth="1"/>
    <col min="15" max="15" width="15.140625" style="79" bestFit="1" customWidth="1"/>
    <col min="16" max="16" width="12.85546875" style="79" bestFit="1" customWidth="1"/>
    <col min="17" max="17" width="1" style="79" customWidth="1"/>
    <col min="18" max="18" width="12.85546875" style="79" bestFit="1" customWidth="1"/>
    <col min="19" max="19" width="13.42578125" style="79" bestFit="1" customWidth="1"/>
    <col min="20" max="20" width="1" style="79" customWidth="1"/>
    <col min="21" max="21" width="39.42578125" style="79" bestFit="1" customWidth="1"/>
    <col min="22" max="16384" width="11.7109375" style="79"/>
  </cols>
  <sheetData>
    <row r="1" spans="1:21" ht="15.75" x14ac:dyDescent="0.25">
      <c r="A1" s="271" t="s">
        <v>0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273"/>
      <c r="T1" s="273"/>
      <c r="U1" s="273"/>
    </row>
    <row r="2" spans="1:21" ht="15.75" customHeight="1" x14ac:dyDescent="0.25">
      <c r="A2" s="271" t="s">
        <v>1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  <c r="T2" s="273"/>
      <c r="U2" s="273"/>
    </row>
    <row r="3" spans="1:21" ht="15.75" x14ac:dyDescent="0.25">
      <c r="A3" s="271" t="s">
        <v>215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73"/>
      <c r="Q3" s="273"/>
      <c r="R3" s="273"/>
      <c r="S3" s="273"/>
      <c r="T3" s="273"/>
      <c r="U3" s="273"/>
    </row>
    <row r="4" spans="1:21" ht="15.75" x14ac:dyDescent="0.25">
      <c r="A4" s="271" t="s">
        <v>127</v>
      </c>
      <c r="B4" s="273"/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73"/>
      <c r="S4" s="273"/>
      <c r="T4" s="273"/>
      <c r="U4" s="273"/>
    </row>
    <row r="5" spans="1:21" ht="15.75" x14ac:dyDescent="0.25">
      <c r="A5" s="274" t="s">
        <v>128</v>
      </c>
      <c r="B5" s="273"/>
      <c r="C5" s="273"/>
      <c r="D5" s="273"/>
      <c r="E5" s="273"/>
      <c r="F5" s="273"/>
      <c r="G5" s="273"/>
      <c r="H5" s="273"/>
      <c r="I5" s="273"/>
      <c r="J5" s="273"/>
      <c r="K5" s="273"/>
      <c r="L5" s="273"/>
      <c r="M5" s="273"/>
      <c r="N5" s="273"/>
      <c r="O5" s="273"/>
      <c r="P5" s="273"/>
      <c r="Q5" s="273"/>
      <c r="R5" s="273"/>
      <c r="S5" s="273"/>
      <c r="T5" s="273"/>
      <c r="U5" s="273"/>
    </row>
    <row r="6" spans="1:21" x14ac:dyDescent="0.2">
      <c r="B6" s="81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</row>
    <row r="7" spans="1:21" x14ac:dyDescent="0.2"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</row>
    <row r="8" spans="1:21" ht="15.75" customHeight="1" x14ac:dyDescent="0.25">
      <c r="B8" s="83"/>
      <c r="C8" s="275" t="s">
        <v>129</v>
      </c>
      <c r="D8" s="276"/>
      <c r="E8" s="277"/>
      <c r="F8" s="86"/>
      <c r="G8" s="275" t="s">
        <v>130</v>
      </c>
      <c r="H8" s="276"/>
      <c r="I8" s="277"/>
      <c r="J8" s="87"/>
      <c r="K8" s="278" t="s">
        <v>131</v>
      </c>
      <c r="L8" s="279"/>
      <c r="M8" s="280"/>
      <c r="N8" s="82"/>
      <c r="O8" s="281" t="s">
        <v>132</v>
      </c>
      <c r="P8" s="280"/>
      <c r="Q8" s="88"/>
      <c r="R8" s="276" t="s">
        <v>133</v>
      </c>
      <c r="S8" s="277"/>
      <c r="T8" s="88"/>
      <c r="U8" s="82"/>
    </row>
    <row r="9" spans="1:21" ht="22.5" x14ac:dyDescent="0.2">
      <c r="A9" s="89" t="s">
        <v>134</v>
      </c>
      <c r="B9" s="90" t="s">
        <v>135</v>
      </c>
      <c r="C9" s="91" t="s">
        <v>136</v>
      </c>
      <c r="D9" s="84" t="s">
        <v>5</v>
      </c>
      <c r="E9" s="85" t="s">
        <v>6</v>
      </c>
      <c r="F9" s="86"/>
      <c r="G9" s="92" t="str">
        <f>C9</f>
        <v xml:space="preserve">Test Year </v>
      </c>
      <c r="H9" s="84" t="str">
        <f>D9</f>
        <v>MYRP 2025</v>
      </c>
      <c r="I9" s="85" t="str">
        <f>E9</f>
        <v>MYRP 2026</v>
      </c>
      <c r="J9" s="87"/>
      <c r="K9" s="92" t="str">
        <f>G9</f>
        <v xml:space="preserve">Test Year </v>
      </c>
      <c r="L9" s="84" t="str">
        <f>H9</f>
        <v>MYRP 2025</v>
      </c>
      <c r="M9" s="85" t="str">
        <f>I9</f>
        <v>MYRP 2026</v>
      </c>
      <c r="N9" s="82"/>
      <c r="O9" s="84" t="str">
        <f>H9</f>
        <v>MYRP 2025</v>
      </c>
      <c r="P9" s="85" t="str">
        <f>I9</f>
        <v>MYRP 2026</v>
      </c>
      <c r="Q9" s="88"/>
      <c r="R9" s="84" t="str">
        <f>O9</f>
        <v>MYRP 2025</v>
      </c>
      <c r="S9" s="85" t="str">
        <f>P9</f>
        <v>MYRP 2026</v>
      </c>
      <c r="T9" s="88"/>
      <c r="U9" s="93" t="s">
        <v>137</v>
      </c>
    </row>
    <row r="10" spans="1:21" x14ac:dyDescent="0.2">
      <c r="A10" s="94"/>
      <c r="B10" s="95" t="s">
        <v>21</v>
      </c>
      <c r="C10" s="95" t="s">
        <v>22</v>
      </c>
      <c r="D10" s="95" t="s">
        <v>23</v>
      </c>
      <c r="E10" s="95" t="s">
        <v>24</v>
      </c>
      <c r="F10" s="96"/>
      <c r="G10" s="95" t="s">
        <v>25</v>
      </c>
      <c r="H10" s="80" t="s">
        <v>26</v>
      </c>
      <c r="I10" s="80" t="s">
        <v>27</v>
      </c>
      <c r="J10" s="97"/>
      <c r="K10" s="95" t="s">
        <v>138</v>
      </c>
      <c r="L10" s="98" t="s">
        <v>139</v>
      </c>
      <c r="M10" s="98" t="s">
        <v>140</v>
      </c>
      <c r="N10" s="98"/>
      <c r="O10" s="80" t="s">
        <v>141</v>
      </c>
      <c r="P10" s="80" t="s">
        <v>142</v>
      </c>
      <c r="Q10" s="88"/>
      <c r="R10" s="80" t="s">
        <v>33</v>
      </c>
      <c r="S10" s="80" t="s">
        <v>34</v>
      </c>
      <c r="T10" s="88"/>
      <c r="U10" s="99" t="s">
        <v>143</v>
      </c>
    </row>
    <row r="11" spans="1:21" hidden="1" outlineLevel="1" x14ac:dyDescent="0.2">
      <c r="A11" s="80">
        <v>1</v>
      </c>
      <c r="B11" s="100" t="s">
        <v>204</v>
      </c>
      <c r="C11" s="101"/>
      <c r="D11" s="82"/>
      <c r="E11" s="82"/>
      <c r="F11" s="86"/>
      <c r="G11" s="101"/>
      <c r="H11" s="82"/>
      <c r="I11" s="82"/>
      <c r="J11" s="87"/>
      <c r="K11" s="101"/>
      <c r="L11" s="101"/>
      <c r="M11" s="101"/>
      <c r="N11" s="101"/>
      <c r="O11" s="82"/>
      <c r="P11" s="82"/>
      <c r="Q11" s="88"/>
      <c r="R11" s="82"/>
      <c r="S11" s="82"/>
      <c r="T11" s="88"/>
      <c r="U11" s="81"/>
    </row>
    <row r="12" spans="1:21" hidden="1" outlineLevel="1" x14ac:dyDescent="0.2">
      <c r="A12" s="80">
        <f t="shared" ref="A12:A75" si="0">A11+1</f>
        <v>2</v>
      </c>
      <c r="B12" s="102" t="s">
        <v>144</v>
      </c>
      <c r="F12" s="86"/>
      <c r="G12" s="103"/>
      <c r="H12" s="103"/>
      <c r="I12" s="103"/>
      <c r="J12" s="87"/>
      <c r="O12" s="103"/>
      <c r="T12" s="88"/>
    </row>
    <row r="13" spans="1:21" hidden="1" outlineLevel="1" x14ac:dyDescent="0.2">
      <c r="A13" s="80">
        <f t="shared" si="0"/>
        <v>3</v>
      </c>
      <c r="B13" s="79" t="s">
        <v>35</v>
      </c>
      <c r="C13" s="104"/>
      <c r="D13" s="104"/>
      <c r="E13" s="104"/>
      <c r="F13" s="104"/>
      <c r="G13" s="103"/>
      <c r="H13" s="103"/>
      <c r="I13" s="103"/>
      <c r="J13" s="87"/>
      <c r="O13" s="103"/>
      <c r="T13" s="88"/>
    </row>
    <row r="14" spans="1:21" hidden="1" outlineLevel="1" x14ac:dyDescent="0.2">
      <c r="A14" s="80">
        <f t="shared" si="0"/>
        <v>4</v>
      </c>
      <c r="B14" s="79" t="s">
        <v>145</v>
      </c>
      <c r="C14" s="104">
        <v>13063955</v>
      </c>
      <c r="D14" s="104">
        <v>13402924</v>
      </c>
      <c r="E14" s="104">
        <v>13545540</v>
      </c>
      <c r="F14" s="104"/>
      <c r="G14" s="88">
        <v>7.49</v>
      </c>
      <c r="H14" s="71">
        <f>G14*(1+R14)</f>
        <v>9.7370000000000001</v>
      </c>
      <c r="I14" s="71">
        <f>H14*(1+S14)</f>
        <v>12.658100000000001</v>
      </c>
      <c r="J14" s="87"/>
      <c r="K14" s="105">
        <f>G14*C14</f>
        <v>97849022.950000003</v>
      </c>
      <c r="L14" s="105">
        <f>G14*D14</f>
        <v>100387900.76000001</v>
      </c>
      <c r="M14" s="105">
        <f>G14*E14</f>
        <v>101456094.60000001</v>
      </c>
      <c r="N14" s="105"/>
      <c r="O14" s="105">
        <f>H14*D14</f>
        <v>130504270.98800001</v>
      </c>
      <c r="P14" s="105">
        <f>I14*E14</f>
        <v>171460799.87400001</v>
      </c>
      <c r="R14" s="72">
        <v>0.3</v>
      </c>
      <c r="S14" s="72">
        <f>R14</f>
        <v>0.3</v>
      </c>
      <c r="T14" s="88"/>
      <c r="U14" s="79" t="s">
        <v>97</v>
      </c>
    </row>
    <row r="15" spans="1:21" hidden="1" outlineLevel="1" x14ac:dyDescent="0.2">
      <c r="A15" s="80">
        <f t="shared" si="0"/>
        <v>5</v>
      </c>
      <c r="B15" s="79" t="s">
        <v>146</v>
      </c>
      <c r="C15" s="104">
        <v>4524</v>
      </c>
      <c r="D15" s="104">
        <v>4641</v>
      </c>
      <c r="E15" s="104">
        <v>4692</v>
      </c>
      <c r="F15" s="104"/>
      <c r="G15" s="88">
        <v>17.989999999999998</v>
      </c>
      <c r="H15" s="71">
        <f>G15*(1+R15)</f>
        <v>23.387</v>
      </c>
      <c r="I15" s="71">
        <f>H15*(1+S15)</f>
        <v>30.403100000000002</v>
      </c>
      <c r="J15" s="87"/>
      <c r="K15" s="105">
        <f>G15*C15</f>
        <v>81386.759999999995</v>
      </c>
      <c r="L15" s="105">
        <f>G15*D15</f>
        <v>83491.59</v>
      </c>
      <c r="M15" s="105">
        <f>G15*E15</f>
        <v>84409.079999999987</v>
      </c>
      <c r="N15" s="105"/>
      <c r="O15" s="105">
        <f>H15*D15</f>
        <v>108539.067</v>
      </c>
      <c r="P15" s="105">
        <f>I15*E15</f>
        <v>142651.34520000001</v>
      </c>
      <c r="R15" s="74">
        <f>R14</f>
        <v>0.3</v>
      </c>
      <c r="S15" s="74">
        <f>S14</f>
        <v>0.3</v>
      </c>
      <c r="T15" s="88"/>
      <c r="U15" s="79" t="s">
        <v>97</v>
      </c>
    </row>
    <row r="16" spans="1:21" hidden="1" outlineLevel="1" x14ac:dyDescent="0.2">
      <c r="A16" s="80">
        <f t="shared" si="0"/>
        <v>6</v>
      </c>
      <c r="B16" s="106" t="s">
        <v>74</v>
      </c>
      <c r="C16" s="107">
        <f>SUM(C14:C15)</f>
        <v>13068479</v>
      </c>
      <c r="D16" s="107">
        <f>SUM(D14:D15)</f>
        <v>13407565</v>
      </c>
      <c r="E16" s="107">
        <f>SUM(E14:E15)</f>
        <v>13550232</v>
      </c>
      <c r="F16" s="104"/>
      <c r="G16" s="108"/>
      <c r="H16" s="71"/>
      <c r="I16" s="71"/>
      <c r="J16" s="87"/>
      <c r="K16" s="109">
        <f>SUM(K14:K15)</f>
        <v>97930409.710000008</v>
      </c>
      <c r="L16" s="109">
        <f>SUM(L14:L15)</f>
        <v>100471392.35000001</v>
      </c>
      <c r="M16" s="109">
        <f>SUM(M14:M15)</f>
        <v>101540503.68000001</v>
      </c>
      <c r="N16" s="109"/>
      <c r="O16" s="109">
        <f>SUM(O14:O15)</f>
        <v>130612810.05500001</v>
      </c>
      <c r="P16" s="109">
        <f>SUM(P14:P15)</f>
        <v>171603451.21920002</v>
      </c>
      <c r="R16" s="74"/>
      <c r="S16" s="74"/>
      <c r="T16" s="88"/>
    </row>
    <row r="17" spans="1:21" hidden="1" outlineLevel="1" x14ac:dyDescent="0.2">
      <c r="A17" s="80">
        <f t="shared" si="0"/>
        <v>7</v>
      </c>
      <c r="B17" s="79" t="s">
        <v>147</v>
      </c>
      <c r="C17" s="104"/>
      <c r="D17" s="104"/>
      <c r="E17" s="104"/>
      <c r="F17" s="104"/>
      <c r="G17" s="108"/>
      <c r="J17" s="87"/>
      <c r="K17" s="105"/>
      <c r="L17" s="105"/>
      <c r="M17" s="105"/>
      <c r="N17" s="105"/>
      <c r="O17" s="105"/>
      <c r="P17" s="105"/>
      <c r="R17" s="76"/>
      <c r="S17" s="76"/>
      <c r="T17" s="88"/>
      <c r="U17" s="110"/>
    </row>
    <row r="18" spans="1:21" hidden="1" outlineLevel="1" x14ac:dyDescent="0.2">
      <c r="A18" s="80">
        <f t="shared" si="0"/>
        <v>8</v>
      </c>
      <c r="B18" s="111" t="s">
        <v>148</v>
      </c>
      <c r="C18" s="104">
        <v>6506331253</v>
      </c>
      <c r="D18" s="104">
        <v>6356287865.579875</v>
      </c>
      <c r="E18" s="104">
        <v>6454126299.9336367</v>
      </c>
      <c r="F18" s="104"/>
      <c r="G18" s="112">
        <v>8.9437000000000003E-2</v>
      </c>
      <c r="H18" s="112">
        <f>G18+R18</f>
        <v>0.11651582591302051</v>
      </c>
      <c r="I18" s="112">
        <f>H18+S18</f>
        <v>0.12567450443201938</v>
      </c>
      <c r="J18" s="87"/>
      <c r="K18" s="105">
        <f>G18*C18</f>
        <v>581906748.27456105</v>
      </c>
      <c r="L18" s="105">
        <f>G18*D18</f>
        <v>568487317.83386731</v>
      </c>
      <c r="M18" s="105">
        <f>G18*E18</f>
        <v>577237693.88716471</v>
      </c>
      <c r="N18" s="105"/>
      <c r="O18" s="105">
        <f>H18*D18</f>
        <v>740608130.39894938</v>
      </c>
      <c r="P18" s="105">
        <f>I18*E18</f>
        <v>811119124.28582275</v>
      </c>
      <c r="R18" s="112">
        <f>(R25-(O16-L16))/D23</f>
        <v>2.70788259130205E-2</v>
      </c>
      <c r="S18" s="112">
        <f>((S25+R25)-(P16-M16))/E23-R18</f>
        <v>9.1586785189988612E-3</v>
      </c>
      <c r="T18" s="88"/>
      <c r="U18" s="102" t="s">
        <v>100</v>
      </c>
    </row>
    <row r="19" spans="1:21" hidden="1" outlineLevel="1" x14ac:dyDescent="0.2">
      <c r="A19" s="80">
        <f t="shared" si="0"/>
        <v>9</v>
      </c>
      <c r="B19" s="111" t="s">
        <v>149</v>
      </c>
      <c r="C19" s="104">
        <v>5206810367</v>
      </c>
      <c r="D19" s="104">
        <v>4921917985.8154898</v>
      </c>
      <c r="E19" s="104">
        <v>4993522939.7803335</v>
      </c>
      <c r="F19" s="104"/>
      <c r="G19" s="112">
        <v>0.10885400000000001</v>
      </c>
      <c r="H19" s="112">
        <f>G19+R19</f>
        <v>0.1359328259130205</v>
      </c>
      <c r="I19" s="112">
        <f>H19+S19</f>
        <v>0.14509150443201935</v>
      </c>
      <c r="J19" s="87"/>
      <c r="K19" s="105">
        <f>G19*C19</f>
        <v>566782135.68941808</v>
      </c>
      <c r="L19" s="105">
        <f>G19*D19</f>
        <v>535770460.42795938</v>
      </c>
      <c r="M19" s="105">
        <f>G19*E19</f>
        <v>543564946.0868485</v>
      </c>
      <c r="N19" s="105"/>
      <c r="O19" s="105">
        <f>H19*D19</f>
        <v>669050220.72402143</v>
      </c>
      <c r="P19" s="105">
        <f>I19*E19</f>
        <v>724517755.74852848</v>
      </c>
      <c r="R19" s="112">
        <f>R18</f>
        <v>2.70788259130205E-2</v>
      </c>
      <c r="S19" s="112">
        <f>S18</f>
        <v>9.1586785189988612E-3</v>
      </c>
      <c r="T19" s="88"/>
      <c r="U19" s="102" t="s">
        <v>100</v>
      </c>
    </row>
    <row r="20" spans="1:21" hidden="1" outlineLevel="1" x14ac:dyDescent="0.2">
      <c r="A20" s="80">
        <f t="shared" si="0"/>
        <v>10</v>
      </c>
      <c r="B20" s="106" t="s">
        <v>74</v>
      </c>
      <c r="C20" s="107">
        <f>SUM(C18:C19)</f>
        <v>11713141620</v>
      </c>
      <c r="D20" s="107">
        <f>SUM(D18:D19)</f>
        <v>11278205851.395365</v>
      </c>
      <c r="E20" s="107">
        <f>SUM(E18:E19)</f>
        <v>11447649239.71397</v>
      </c>
      <c r="F20" s="104"/>
      <c r="G20" s="113"/>
      <c r="H20" s="113"/>
      <c r="I20" s="113"/>
      <c r="J20" s="87"/>
      <c r="K20" s="109">
        <f>SUM(K18:K19)</f>
        <v>1148688883.9639792</v>
      </c>
      <c r="L20" s="109">
        <f>SUM(L18:L19)</f>
        <v>1104257778.2618268</v>
      </c>
      <c r="M20" s="109">
        <f>SUM(M18:M19)</f>
        <v>1120802639.9740133</v>
      </c>
      <c r="N20" s="109"/>
      <c r="O20" s="109">
        <f>SUM(O18:O19)</f>
        <v>1409658351.1229708</v>
      </c>
      <c r="P20" s="109">
        <f>SUM(P18:P19)</f>
        <v>1535636880.0343513</v>
      </c>
      <c r="T20" s="88"/>
    </row>
    <row r="21" spans="1:21" hidden="1" outlineLevel="1" x14ac:dyDescent="0.2">
      <c r="A21" s="80">
        <f t="shared" si="0"/>
        <v>11</v>
      </c>
      <c r="B21" s="114" t="s">
        <v>101</v>
      </c>
      <c r="C21" s="104">
        <v>-508914814.87916487</v>
      </c>
      <c r="D21" s="115" t="s">
        <v>102</v>
      </c>
      <c r="E21" s="115"/>
      <c r="F21" s="104"/>
      <c r="G21" s="112">
        <f>K21/C21</f>
        <v>0.10632400043777007</v>
      </c>
      <c r="H21" s="113"/>
      <c r="I21" s="113"/>
      <c r="J21" s="87"/>
      <c r="K21" s="105">
        <v>-54109859</v>
      </c>
      <c r="L21" s="105">
        <f>G21*D21</f>
        <v>0</v>
      </c>
      <c r="M21" s="105">
        <f>G21*E21</f>
        <v>0</v>
      </c>
      <c r="N21" s="105"/>
      <c r="O21" s="105">
        <f>H21*D21</f>
        <v>0</v>
      </c>
      <c r="P21" s="105">
        <f>I21*E21</f>
        <v>0</v>
      </c>
      <c r="T21" s="88"/>
    </row>
    <row r="22" spans="1:21" hidden="1" outlineLevel="1" x14ac:dyDescent="0.2">
      <c r="A22" s="80">
        <f t="shared" si="0"/>
        <v>12</v>
      </c>
      <c r="B22" s="114" t="s">
        <v>103</v>
      </c>
      <c r="C22" s="104">
        <v>18614228</v>
      </c>
      <c r="D22" s="115" t="s">
        <v>102</v>
      </c>
      <c r="E22" s="115"/>
      <c r="F22" s="104"/>
      <c r="G22" s="112">
        <f>K22/C22</f>
        <v>0.10585622997633853</v>
      </c>
      <c r="H22" s="113"/>
      <c r="I22" s="113"/>
      <c r="J22" s="87"/>
      <c r="K22" s="116">
        <v>1970432</v>
      </c>
      <c r="L22" s="105">
        <f>G22*D22</f>
        <v>0</v>
      </c>
      <c r="M22" s="105">
        <f>G22*E22</f>
        <v>0</v>
      </c>
      <c r="N22" s="105"/>
      <c r="O22" s="105">
        <f>H22*D22</f>
        <v>0</v>
      </c>
      <c r="P22" s="105">
        <f>I22*E22</f>
        <v>0</v>
      </c>
      <c r="T22" s="88"/>
    </row>
    <row r="23" spans="1:21" ht="12" hidden="1" outlineLevel="1" thickBot="1" x14ac:dyDescent="0.25">
      <c r="A23" s="80">
        <f t="shared" si="0"/>
        <v>13</v>
      </c>
      <c r="B23" s="106" t="s">
        <v>74</v>
      </c>
      <c r="C23" s="117">
        <f>SUM(C20:C22)</f>
        <v>11222841033.120834</v>
      </c>
      <c r="D23" s="117">
        <f>SUM(D20:D22)</f>
        <v>11278205851.395365</v>
      </c>
      <c r="E23" s="117">
        <f>SUM(E20:E22)</f>
        <v>11447649239.71397</v>
      </c>
      <c r="F23" s="104"/>
      <c r="G23" s="112"/>
      <c r="H23" s="113"/>
      <c r="I23" s="113"/>
      <c r="J23" s="87"/>
      <c r="K23" s="105">
        <f>SUM(K20:K22)</f>
        <v>1096549456.9639792</v>
      </c>
      <c r="L23" s="109">
        <f>SUM(L20:L22)</f>
        <v>1104257778.2618268</v>
      </c>
      <c r="M23" s="109">
        <f>SUM(M20:M22)</f>
        <v>1120802639.9740133</v>
      </c>
      <c r="N23" s="109"/>
      <c r="O23" s="109">
        <f>SUM(O20:O22)</f>
        <v>1409658351.1229708</v>
      </c>
      <c r="P23" s="109">
        <f>SUM(P20:P22)</f>
        <v>1535636880.0343513</v>
      </c>
      <c r="T23" s="88"/>
    </row>
    <row r="24" spans="1:21" ht="12" hidden="1" outlineLevel="1" thickBot="1" x14ac:dyDescent="0.25">
      <c r="A24" s="80">
        <f t="shared" si="0"/>
        <v>14</v>
      </c>
      <c r="B24" s="79" t="s">
        <v>75</v>
      </c>
      <c r="G24" s="118">
        <f>K24/C23</f>
        <v>0.10643293112223828</v>
      </c>
      <c r="H24" s="118">
        <f>O24/D23</f>
        <v>0.13657058414015427</v>
      </c>
      <c r="I24" s="118">
        <f>P24/E23</f>
        <v>0.14913457737076929</v>
      </c>
      <c r="J24" s="87"/>
      <c r="K24" s="119">
        <f>SUM(K23,K16)</f>
        <v>1194479866.6739793</v>
      </c>
      <c r="L24" s="119">
        <f>SUM(L23,L16)</f>
        <v>1204729170.6118267</v>
      </c>
      <c r="M24" s="119">
        <f>SUM(M23,M16)</f>
        <v>1222343143.6540134</v>
      </c>
      <c r="N24" s="119"/>
      <c r="O24" s="119">
        <f>SUM(O23,O16)</f>
        <v>1540271161.1779709</v>
      </c>
      <c r="P24" s="119">
        <f>SUM(P23,P16)</f>
        <v>1707240331.2535515</v>
      </c>
      <c r="R24" s="119">
        <v>1540271161.1779709</v>
      </c>
      <c r="S24" s="119">
        <v>1707240331.2535515</v>
      </c>
      <c r="T24" s="105"/>
    </row>
    <row r="25" spans="1:21" hidden="1" outlineLevel="1" x14ac:dyDescent="0.2">
      <c r="A25" s="80">
        <f t="shared" si="0"/>
        <v>15</v>
      </c>
      <c r="B25" s="102" t="s">
        <v>111</v>
      </c>
      <c r="G25" s="112"/>
      <c r="H25" s="112"/>
      <c r="I25" s="112"/>
      <c r="J25" s="87"/>
      <c r="K25" s="105"/>
      <c r="L25" s="105"/>
      <c r="M25" s="105"/>
      <c r="N25" s="105"/>
      <c r="O25" s="105"/>
      <c r="P25" s="105"/>
      <c r="R25" s="105">
        <f>R24-L24</f>
        <v>335541990.56614423</v>
      </c>
      <c r="S25" s="105">
        <f>S24-M24-R25</f>
        <v>149355197.03339386</v>
      </c>
      <c r="T25" s="105"/>
    </row>
    <row r="26" spans="1:21" hidden="1" outlineLevel="1" x14ac:dyDescent="0.2">
      <c r="A26" s="80">
        <f t="shared" si="0"/>
        <v>16</v>
      </c>
      <c r="B26" s="102" t="s">
        <v>112</v>
      </c>
      <c r="G26" s="112"/>
      <c r="H26" s="120"/>
      <c r="I26" s="120"/>
      <c r="J26" s="87"/>
      <c r="K26" s="112"/>
      <c r="L26" s="112"/>
      <c r="M26" s="112"/>
      <c r="N26" s="121"/>
      <c r="O26" s="105"/>
      <c r="P26" s="105"/>
      <c r="R26" s="76">
        <f>R25/L24</f>
        <v>0.27852068228391769</v>
      </c>
      <c r="S26" s="76">
        <f>S25/M24</f>
        <v>0.12218761794410583</v>
      </c>
      <c r="T26" s="105"/>
    </row>
    <row r="27" spans="1:21" hidden="1" outlineLevel="1" x14ac:dyDescent="0.2">
      <c r="A27" s="80">
        <f t="shared" si="0"/>
        <v>17</v>
      </c>
      <c r="B27" s="122" t="s">
        <v>113</v>
      </c>
      <c r="C27" s="103">
        <v>0.2949981689453125</v>
      </c>
      <c r="H27" s="112"/>
      <c r="I27" s="123"/>
      <c r="J27" s="87"/>
      <c r="K27" s="103">
        <v>-1.6739792823791504</v>
      </c>
      <c r="L27" s="105">
        <v>0</v>
      </c>
      <c r="M27" s="105">
        <v>0</v>
      </c>
      <c r="N27" s="105"/>
      <c r="O27" s="105"/>
      <c r="P27" s="105"/>
      <c r="R27" s="105">
        <f>R24-O24</f>
        <v>0</v>
      </c>
      <c r="S27" s="105">
        <f>S24-P24</f>
        <v>0</v>
      </c>
      <c r="T27" s="124"/>
    </row>
    <row r="28" spans="1:21" hidden="1" outlineLevel="1" x14ac:dyDescent="0.2">
      <c r="A28" s="80">
        <f t="shared" si="0"/>
        <v>18</v>
      </c>
      <c r="B28" s="125"/>
      <c r="C28" s="126"/>
      <c r="D28" s="126"/>
      <c r="E28" s="126"/>
      <c r="F28" s="126"/>
      <c r="G28" s="127"/>
      <c r="H28" s="128"/>
      <c r="I28" s="128"/>
      <c r="J28" s="126"/>
      <c r="K28" s="126"/>
      <c r="L28" s="126"/>
      <c r="M28" s="126"/>
      <c r="N28" s="126"/>
      <c r="O28" s="126" t="s">
        <v>41</v>
      </c>
      <c r="P28" s="126"/>
      <c r="Q28" s="126"/>
      <c r="R28" s="126"/>
      <c r="S28" s="126"/>
      <c r="T28" s="126"/>
    </row>
    <row r="29" spans="1:21" hidden="1" outlineLevel="1" x14ac:dyDescent="0.2">
      <c r="A29" s="80">
        <f t="shared" si="0"/>
        <v>19</v>
      </c>
      <c r="B29" s="83"/>
      <c r="C29" s="101"/>
      <c r="D29" s="82"/>
      <c r="E29" s="82"/>
      <c r="F29" s="86"/>
      <c r="G29" s="101"/>
      <c r="H29" s="82"/>
      <c r="I29" s="82"/>
      <c r="J29" s="87"/>
      <c r="K29" s="101"/>
      <c r="L29" s="101"/>
      <c r="M29" s="101"/>
      <c r="N29" s="101"/>
      <c r="O29" s="82"/>
      <c r="P29" s="82"/>
      <c r="Q29" s="88"/>
      <c r="R29" s="82"/>
      <c r="S29" s="82"/>
      <c r="T29" s="88"/>
      <c r="U29" s="81"/>
    </row>
    <row r="30" spans="1:21" hidden="1" outlineLevel="1" x14ac:dyDescent="0.2">
      <c r="A30" s="80">
        <f t="shared" si="0"/>
        <v>20</v>
      </c>
      <c r="B30" s="100" t="s">
        <v>205</v>
      </c>
    </row>
    <row r="31" spans="1:21" hidden="1" outlineLevel="1" x14ac:dyDescent="0.2">
      <c r="A31" s="80">
        <f t="shared" si="0"/>
        <v>21</v>
      </c>
      <c r="B31" s="102" t="s">
        <v>150</v>
      </c>
    </row>
    <row r="32" spans="1:21" hidden="1" outlineLevel="1" x14ac:dyDescent="0.2">
      <c r="A32" s="80">
        <f t="shared" si="0"/>
        <v>22</v>
      </c>
      <c r="B32" s="79" t="s">
        <v>35</v>
      </c>
    </row>
    <row r="33" spans="1:21" hidden="1" outlineLevel="1" x14ac:dyDescent="0.2">
      <c r="A33" s="80">
        <f t="shared" si="0"/>
        <v>23</v>
      </c>
      <c r="B33" s="79" t="s">
        <v>145</v>
      </c>
      <c r="C33" s="103">
        <v>1134095</v>
      </c>
      <c r="D33" s="103">
        <v>1164314</v>
      </c>
      <c r="E33" s="103">
        <v>1177319</v>
      </c>
      <c r="G33" s="71">
        <v>10.210000000000001</v>
      </c>
      <c r="H33" s="71">
        <f>G33*(1+R33)</f>
        <v>13.273000000000001</v>
      </c>
      <c r="I33" s="71">
        <f>H33*(1+S33)</f>
        <v>17.254900000000003</v>
      </c>
      <c r="K33" s="105">
        <f>G33*C33</f>
        <v>11579109.950000001</v>
      </c>
      <c r="L33" s="105">
        <f>G33*D33</f>
        <v>11887645.940000001</v>
      </c>
      <c r="M33" s="105">
        <f>G33*E33</f>
        <v>12020426.99</v>
      </c>
      <c r="N33" s="105"/>
      <c r="O33" s="105">
        <f>H33*D33</f>
        <v>15453939.722000001</v>
      </c>
      <c r="P33" s="105">
        <f>I33*E33</f>
        <v>20314521.613100003</v>
      </c>
      <c r="R33" s="72">
        <v>0.3</v>
      </c>
      <c r="S33" s="72">
        <f>R33</f>
        <v>0.3</v>
      </c>
      <c r="U33" s="79" t="s">
        <v>97</v>
      </c>
    </row>
    <row r="34" spans="1:21" hidden="1" outlineLevel="1" x14ac:dyDescent="0.2">
      <c r="A34" s="80">
        <f t="shared" si="0"/>
        <v>24</v>
      </c>
      <c r="B34" s="79" t="s">
        <v>146</v>
      </c>
      <c r="C34" s="103">
        <v>482155</v>
      </c>
      <c r="D34" s="103">
        <v>495002</v>
      </c>
      <c r="E34" s="103">
        <v>500533</v>
      </c>
      <c r="G34" s="71">
        <v>25.95</v>
      </c>
      <c r="H34" s="71">
        <f>G34*(1+R34)</f>
        <v>33.734999999999999</v>
      </c>
      <c r="I34" s="71">
        <f>H34*(1+S34)</f>
        <v>43.855499999999999</v>
      </c>
      <c r="K34" s="105">
        <f>G34*C34</f>
        <v>12511922.25</v>
      </c>
      <c r="L34" s="105">
        <f>G34*D34</f>
        <v>12845301.9</v>
      </c>
      <c r="M34" s="105">
        <f>G34*E34</f>
        <v>12988831.35</v>
      </c>
      <c r="N34" s="105"/>
      <c r="O34" s="105">
        <f>H34*D34</f>
        <v>16698892.469999999</v>
      </c>
      <c r="P34" s="105">
        <f>I34*E34</f>
        <v>21951124.9815</v>
      </c>
      <c r="R34" s="74">
        <f>R33</f>
        <v>0.3</v>
      </c>
      <c r="S34" s="74">
        <f>S33</f>
        <v>0.3</v>
      </c>
      <c r="U34" s="79" t="s">
        <v>97</v>
      </c>
    </row>
    <row r="35" spans="1:21" hidden="1" outlineLevel="1" x14ac:dyDescent="0.2">
      <c r="A35" s="80">
        <f t="shared" si="0"/>
        <v>25</v>
      </c>
      <c r="B35" s="106" t="s">
        <v>74</v>
      </c>
      <c r="C35" s="129">
        <f>SUM(C33:C34)</f>
        <v>1616250</v>
      </c>
      <c r="D35" s="129">
        <f>SUM(D33:D34)</f>
        <v>1659316</v>
      </c>
      <c r="E35" s="129">
        <f>SUM(E33:E34)</f>
        <v>1677852</v>
      </c>
      <c r="H35" s="71"/>
      <c r="I35" s="71"/>
      <c r="K35" s="109">
        <f>SUM(K33:K34)</f>
        <v>24091032.200000003</v>
      </c>
      <c r="L35" s="109">
        <f>SUM(L33:L34)</f>
        <v>24732947.840000004</v>
      </c>
      <c r="M35" s="109">
        <f>SUM(M33:M34)</f>
        <v>25009258.34</v>
      </c>
      <c r="N35" s="109"/>
      <c r="O35" s="109">
        <f>SUM(O33:O34)</f>
        <v>32152832.192000002</v>
      </c>
      <c r="P35" s="109">
        <f>SUM(P33:P34)</f>
        <v>42265646.594600007</v>
      </c>
      <c r="R35" s="74"/>
      <c r="S35" s="74"/>
      <c r="T35" s="103"/>
    </row>
    <row r="36" spans="1:21" hidden="1" outlineLevel="1" x14ac:dyDescent="0.2">
      <c r="A36" s="80">
        <f t="shared" si="0"/>
        <v>26</v>
      </c>
      <c r="B36" s="79" t="s">
        <v>147</v>
      </c>
      <c r="C36" s="103"/>
      <c r="D36" s="103"/>
      <c r="E36" s="103"/>
      <c r="K36" s="105"/>
      <c r="L36" s="105"/>
      <c r="M36" s="105"/>
      <c r="N36" s="105"/>
      <c r="O36" s="105"/>
      <c r="P36" s="105"/>
      <c r="R36" s="76"/>
      <c r="S36" s="76"/>
      <c r="U36" s="110"/>
    </row>
    <row r="37" spans="1:21" ht="15.75" hidden="1" customHeight="1" outlineLevel="1" x14ac:dyDescent="0.2">
      <c r="A37" s="80">
        <f t="shared" si="0"/>
        <v>27</v>
      </c>
      <c r="B37" s="111" t="s">
        <v>151</v>
      </c>
      <c r="C37" s="103">
        <v>1297397711</v>
      </c>
      <c r="D37" s="103">
        <v>1457771579.8610439</v>
      </c>
      <c r="E37" s="103">
        <v>1466038232.8208413</v>
      </c>
      <c r="G37" s="73">
        <v>9.2536999999999994E-2</v>
      </c>
      <c r="H37" s="112">
        <f>G37+R37</f>
        <v>0.11699587891915719</v>
      </c>
      <c r="I37" s="112">
        <f>H37+S37</f>
        <v>0.12560934039909302</v>
      </c>
      <c r="K37" s="105">
        <f>G37*C37</f>
        <v>120057291.982807</v>
      </c>
      <c r="L37" s="105">
        <f>G37*D37</f>
        <v>134897808.68560141</v>
      </c>
      <c r="M37" s="105">
        <f>G37*E37</f>
        <v>135662779.95054218</v>
      </c>
      <c r="N37" s="105"/>
      <c r="O37" s="105">
        <f>H37*D37</f>
        <v>170553267.24921119</v>
      </c>
      <c r="P37" s="105">
        <f>I37*E37</f>
        <v>184148095.42447785</v>
      </c>
      <c r="R37" s="112">
        <f>(R45-(O35-L35))/D43</f>
        <v>2.4458878919157205E-2</v>
      </c>
      <c r="S37" s="112">
        <f>((S45+R45)-(P35-M35))/E43-R37</f>
        <v>8.6134614799358369E-3</v>
      </c>
      <c r="U37" s="102" t="s">
        <v>100</v>
      </c>
    </row>
    <row r="38" spans="1:21" hidden="1" outlineLevel="1" x14ac:dyDescent="0.2">
      <c r="A38" s="80">
        <f t="shared" si="0"/>
        <v>28</v>
      </c>
      <c r="B38" s="114" t="s">
        <v>152</v>
      </c>
      <c r="C38" s="103">
        <v>1482649252</v>
      </c>
      <c r="D38" s="103">
        <v>1304864386.3086548</v>
      </c>
      <c r="E38" s="103">
        <v>1308929189.4485493</v>
      </c>
      <c r="G38" s="73">
        <v>8.9337E-2</v>
      </c>
      <c r="H38" s="112">
        <f>G38+R38</f>
        <v>0.11379587891915721</v>
      </c>
      <c r="I38" s="112">
        <f>H38+S38</f>
        <v>0.12240934039909304</v>
      </c>
      <c r="K38" s="105">
        <f>G38*C38</f>
        <v>132455436.225924</v>
      </c>
      <c r="L38" s="105">
        <f>G38*D38</f>
        <v>116572669.6796563</v>
      </c>
      <c r="M38" s="105">
        <f>G38*E38</f>
        <v>116935806.99776505</v>
      </c>
      <c r="N38" s="105"/>
      <c r="O38" s="105">
        <f>H38*D38</f>
        <v>148488189.71030006</v>
      </c>
      <c r="P38" s="105">
        <f>I38*E38</f>
        <v>160225158.70951641</v>
      </c>
      <c r="R38" s="112">
        <f>R37</f>
        <v>2.4458878919157205E-2</v>
      </c>
      <c r="S38" s="112">
        <f>S37</f>
        <v>8.6134614799358369E-3</v>
      </c>
      <c r="U38" s="102" t="s">
        <v>100</v>
      </c>
    </row>
    <row r="39" spans="1:21" hidden="1" outlineLevel="1" x14ac:dyDescent="0.2">
      <c r="A39" s="80">
        <f t="shared" si="0"/>
        <v>29</v>
      </c>
      <c r="B39" s="106" t="s">
        <v>74</v>
      </c>
      <c r="C39" s="129">
        <f>SUM(C37:C38)</f>
        <v>2780046963</v>
      </c>
      <c r="D39" s="129">
        <f>SUM(D37:D38)</f>
        <v>2762635966.1696987</v>
      </c>
      <c r="E39" s="129">
        <f>SUM(E37:E38)</f>
        <v>2774967422.2693906</v>
      </c>
      <c r="F39" s="103"/>
      <c r="G39" s="103"/>
      <c r="H39" s="113"/>
      <c r="I39" s="113"/>
      <c r="J39" s="103"/>
      <c r="K39" s="109">
        <f>SUM(K37:K38)</f>
        <v>252512728.208731</v>
      </c>
      <c r="L39" s="109">
        <f>SUM(L37:L38)</f>
        <v>251470478.36525771</v>
      </c>
      <c r="M39" s="109">
        <f>SUM(M37:M38)</f>
        <v>252598586.94830722</v>
      </c>
      <c r="N39" s="109"/>
      <c r="O39" s="109">
        <f>SUM(O37:O38)</f>
        <v>319041456.95951128</v>
      </c>
      <c r="P39" s="109">
        <f>SUM(P37:P38)</f>
        <v>344373254.13399422</v>
      </c>
      <c r="Q39" s="103"/>
    </row>
    <row r="40" spans="1:21" hidden="1" outlineLevel="1" x14ac:dyDescent="0.2">
      <c r="A40" s="80">
        <f t="shared" si="0"/>
        <v>30</v>
      </c>
      <c r="B40" s="111" t="s">
        <v>153</v>
      </c>
      <c r="C40" s="103">
        <v>-26017025.539350219</v>
      </c>
      <c r="D40" s="115" t="s">
        <v>102</v>
      </c>
      <c r="E40" s="115"/>
      <c r="F40" s="103"/>
      <c r="G40" s="73">
        <f>K40/C40</f>
        <v>0.10015034178519225</v>
      </c>
      <c r="H40" s="113"/>
      <c r="I40" s="113"/>
      <c r="J40" s="103"/>
      <c r="K40" s="105">
        <v>-2605614</v>
      </c>
      <c r="L40" s="105">
        <f>G40*D40</f>
        <v>0</v>
      </c>
      <c r="M40" s="105">
        <f>G40*E40</f>
        <v>0</v>
      </c>
      <c r="N40" s="105"/>
      <c r="O40" s="105">
        <f t="shared" ref="O40:P42" si="1">H40*D40</f>
        <v>0</v>
      </c>
      <c r="P40" s="105">
        <f t="shared" si="1"/>
        <v>0</v>
      </c>
      <c r="Q40" s="103"/>
    </row>
    <row r="41" spans="1:21" hidden="1" outlineLevel="1" x14ac:dyDescent="0.2">
      <c r="A41" s="80">
        <f t="shared" si="0"/>
        <v>31</v>
      </c>
      <c r="B41" s="111" t="s">
        <v>154</v>
      </c>
      <c r="C41" s="103">
        <v>-11651897.623968661</v>
      </c>
      <c r="D41" s="115" t="s">
        <v>102</v>
      </c>
      <c r="E41" s="115"/>
      <c r="F41" s="103"/>
      <c r="G41" s="73">
        <f>K41/C41</f>
        <v>0.10015029634310652</v>
      </c>
      <c r="H41" s="113"/>
      <c r="I41" s="113"/>
      <c r="J41" s="103"/>
      <c r="K41" s="105">
        <v>-1166941</v>
      </c>
      <c r="L41" s="105">
        <f>G41*D41</f>
        <v>0</v>
      </c>
      <c r="M41" s="105">
        <f>G41*E41</f>
        <v>0</v>
      </c>
      <c r="N41" s="105"/>
      <c r="O41" s="105">
        <f t="shared" si="1"/>
        <v>0</v>
      </c>
      <c r="P41" s="105">
        <f t="shared" si="1"/>
        <v>0</v>
      </c>
      <c r="Q41" s="103"/>
    </row>
    <row r="42" spans="1:21" ht="10.5" hidden="1" customHeight="1" outlineLevel="1" x14ac:dyDescent="0.2">
      <c r="A42" s="80">
        <f t="shared" si="0"/>
        <v>32</v>
      </c>
      <c r="B42" s="114" t="s">
        <v>103</v>
      </c>
      <c r="C42" s="130">
        <v>16441044</v>
      </c>
      <c r="D42" s="115" t="s">
        <v>102</v>
      </c>
      <c r="E42" s="115"/>
      <c r="F42" s="105"/>
      <c r="G42" s="73">
        <f>K42/C42</f>
        <v>9.6465285294534825E-2</v>
      </c>
      <c r="H42" s="113"/>
      <c r="I42" s="113"/>
      <c r="J42" s="105"/>
      <c r="K42" s="105">
        <v>1585990</v>
      </c>
      <c r="L42" s="105">
        <f>G42*D42</f>
        <v>0</v>
      </c>
      <c r="M42" s="105">
        <f>G42*E42</f>
        <v>0</v>
      </c>
      <c r="N42" s="105"/>
      <c r="O42" s="105">
        <f t="shared" si="1"/>
        <v>0</v>
      </c>
      <c r="P42" s="105">
        <f t="shared" si="1"/>
        <v>0</v>
      </c>
      <c r="Q42" s="105"/>
    </row>
    <row r="43" spans="1:21" hidden="1" outlineLevel="1" x14ac:dyDescent="0.2">
      <c r="A43" s="80">
        <f t="shared" si="0"/>
        <v>33</v>
      </c>
      <c r="B43" s="106" t="s">
        <v>74</v>
      </c>
      <c r="C43" s="107">
        <f>SUM(C39:C42)</f>
        <v>2758819083.8366814</v>
      </c>
      <c r="D43" s="107">
        <f>SUM(D39:D42)</f>
        <v>2762635966.1696987</v>
      </c>
      <c r="E43" s="107">
        <f>SUM(E39:E42)</f>
        <v>2774967422.2693906</v>
      </c>
      <c r="F43" s="105"/>
      <c r="G43" s="105"/>
      <c r="H43" s="113"/>
      <c r="I43" s="113"/>
      <c r="J43" s="105"/>
      <c r="K43" s="109">
        <f>SUM(K39:K42)</f>
        <v>250326163.208731</v>
      </c>
      <c r="L43" s="109">
        <f>SUM(L39:L42)</f>
        <v>251470478.36525771</v>
      </c>
      <c r="M43" s="109">
        <f>SUM(M39:M42)</f>
        <v>252598586.94830722</v>
      </c>
      <c r="N43" s="109"/>
      <c r="O43" s="109">
        <f>SUM(O39:O42)</f>
        <v>319041456.95951128</v>
      </c>
      <c r="P43" s="109">
        <f>SUM(P39:P42)</f>
        <v>344373254.13399422</v>
      </c>
      <c r="Q43" s="105"/>
      <c r="R43" s="105"/>
      <c r="S43" s="105"/>
      <c r="T43" s="105"/>
      <c r="U43" s="105"/>
    </row>
    <row r="44" spans="1:21" ht="12" hidden="1" outlineLevel="1" thickBot="1" x14ac:dyDescent="0.25">
      <c r="A44" s="80">
        <f t="shared" si="0"/>
        <v>34</v>
      </c>
      <c r="B44" s="79" t="s">
        <v>110</v>
      </c>
      <c r="G44" s="118">
        <f>K43/C43</f>
        <v>9.0736708570466743E-2</v>
      </c>
      <c r="H44" s="118">
        <f>O43/D43</f>
        <v>0.11548443619296372</v>
      </c>
      <c r="I44" s="118">
        <f>P43/E43</f>
        <v>0.12409992685692973</v>
      </c>
      <c r="K44" s="119">
        <f>SUM(K43,K35)</f>
        <v>274417195.40873098</v>
      </c>
      <c r="L44" s="119">
        <f>SUM(L43,L35)</f>
        <v>276203426.20525771</v>
      </c>
      <c r="M44" s="119">
        <f>SUM(M43,M35)</f>
        <v>277607845.28830719</v>
      </c>
      <c r="N44" s="119"/>
      <c r="O44" s="119">
        <f>SUM(O43,O35)</f>
        <v>351194289.15151131</v>
      </c>
      <c r="P44" s="119">
        <f>SUM(P43,P35)</f>
        <v>386638900.72859424</v>
      </c>
      <c r="R44" s="119">
        <v>351194289.15151125</v>
      </c>
      <c r="S44" s="119">
        <v>386638900.72859424</v>
      </c>
      <c r="T44" s="105"/>
    </row>
    <row r="45" spans="1:21" hidden="1" outlineLevel="1" x14ac:dyDescent="0.2">
      <c r="A45" s="80">
        <f t="shared" si="0"/>
        <v>35</v>
      </c>
      <c r="B45" s="102" t="s">
        <v>111</v>
      </c>
      <c r="K45" s="105"/>
      <c r="L45" s="105"/>
      <c r="M45" s="105"/>
      <c r="N45" s="105"/>
      <c r="O45" s="105"/>
      <c r="P45" s="105"/>
      <c r="R45" s="105">
        <f>R44-L44</f>
        <v>74990862.946253538</v>
      </c>
      <c r="S45" s="105">
        <f>S44-M44-R45</f>
        <v>34040192.494033515</v>
      </c>
      <c r="T45" s="105"/>
    </row>
    <row r="46" spans="1:21" hidden="1" outlineLevel="1" x14ac:dyDescent="0.2">
      <c r="A46" s="80">
        <f t="shared" si="0"/>
        <v>36</v>
      </c>
      <c r="B46" s="102" t="s">
        <v>112</v>
      </c>
      <c r="K46" s="105"/>
      <c r="L46" s="105"/>
      <c r="M46" s="105"/>
      <c r="N46" s="105"/>
      <c r="O46" s="105"/>
      <c r="P46" s="105"/>
      <c r="R46" s="76">
        <f>R45/L44</f>
        <v>0.27150591133697544</v>
      </c>
      <c r="S46" s="76">
        <f>S45/M44</f>
        <v>0.12261970643762381</v>
      </c>
      <c r="T46" s="105"/>
    </row>
    <row r="47" spans="1:21" hidden="1" outlineLevel="1" x14ac:dyDescent="0.2">
      <c r="A47" s="80">
        <f t="shared" si="0"/>
        <v>37</v>
      </c>
      <c r="B47" s="122" t="s">
        <v>113</v>
      </c>
      <c r="C47" s="103">
        <v>-1.5469999313354492</v>
      </c>
      <c r="K47" s="103">
        <v>-0.40873098373413086</v>
      </c>
      <c r="L47" s="105">
        <v>0</v>
      </c>
      <c r="M47" s="105">
        <v>0</v>
      </c>
      <c r="N47" s="105"/>
      <c r="R47" s="105">
        <f>R44-O44</f>
        <v>0</v>
      </c>
      <c r="S47" s="105">
        <f>S44-P44</f>
        <v>0</v>
      </c>
      <c r="T47" s="124"/>
    </row>
    <row r="48" spans="1:21" hidden="1" outlineLevel="1" x14ac:dyDescent="0.2">
      <c r="A48" s="80">
        <f t="shared" si="0"/>
        <v>38</v>
      </c>
      <c r="B48" s="125"/>
      <c r="C48" s="126"/>
      <c r="D48" s="126"/>
      <c r="E48" s="126"/>
      <c r="G48" s="127"/>
      <c r="H48" s="128"/>
      <c r="I48" s="128"/>
      <c r="J48" s="126"/>
      <c r="K48" s="126"/>
      <c r="L48" s="126"/>
      <c r="M48" s="126"/>
      <c r="N48" s="126"/>
      <c r="O48" s="126"/>
      <c r="P48" s="126"/>
      <c r="Q48" s="126"/>
      <c r="R48" s="126"/>
      <c r="S48" s="126"/>
      <c r="T48" s="126"/>
    </row>
    <row r="49" spans="1:21" hidden="1" outlineLevel="1" x14ac:dyDescent="0.2">
      <c r="A49" s="80">
        <f t="shared" si="0"/>
        <v>39</v>
      </c>
    </row>
    <row r="50" spans="1:21" hidden="1" outlineLevel="1" x14ac:dyDescent="0.2">
      <c r="A50" s="80">
        <f t="shared" si="0"/>
        <v>40</v>
      </c>
      <c r="B50" s="100" t="s">
        <v>206</v>
      </c>
    </row>
    <row r="51" spans="1:21" hidden="1" outlineLevel="1" x14ac:dyDescent="0.2">
      <c r="A51" s="80">
        <f t="shared" si="0"/>
        <v>41</v>
      </c>
      <c r="B51" s="102" t="s">
        <v>155</v>
      </c>
    </row>
    <row r="52" spans="1:21" hidden="1" outlineLevel="1" x14ac:dyDescent="0.2">
      <c r="A52" s="80">
        <f t="shared" si="0"/>
        <v>42</v>
      </c>
    </row>
    <row r="53" spans="1:21" hidden="1" outlineLevel="1" x14ac:dyDescent="0.2">
      <c r="A53" s="80">
        <f t="shared" si="0"/>
        <v>43</v>
      </c>
      <c r="B53" s="79" t="s">
        <v>35</v>
      </c>
      <c r="C53" s="104">
        <v>100522</v>
      </c>
      <c r="D53" s="104">
        <v>104091.5758044844</v>
      </c>
      <c r="E53" s="104">
        <v>106231.43807201592</v>
      </c>
      <c r="F53" s="105"/>
      <c r="G53" s="88">
        <v>53.95</v>
      </c>
      <c r="H53" s="71">
        <f>G53*(1+R53)</f>
        <v>70.135000000000005</v>
      </c>
      <c r="I53" s="71">
        <f>H53*(1+S53)</f>
        <v>91.175500000000014</v>
      </c>
      <c r="J53" s="105"/>
      <c r="K53" s="105">
        <f>G53*C53</f>
        <v>5423161.9000000004</v>
      </c>
      <c r="L53" s="105">
        <f>G53*D53</f>
        <v>5615740.5146519337</v>
      </c>
      <c r="M53" s="105">
        <f>G53*E53</f>
        <v>5731186.0839852598</v>
      </c>
      <c r="N53" s="105"/>
      <c r="O53" s="105">
        <f>H53*D53</f>
        <v>7300462.669047514</v>
      </c>
      <c r="P53" s="105">
        <f>I53*E53</f>
        <v>9685704.4819350895</v>
      </c>
      <c r="Q53" s="105"/>
      <c r="R53" s="72">
        <v>0.3</v>
      </c>
      <c r="S53" s="72">
        <f>R53</f>
        <v>0.3</v>
      </c>
      <c r="U53" s="79" t="s">
        <v>97</v>
      </c>
    </row>
    <row r="54" spans="1:21" hidden="1" outlineLevel="1" x14ac:dyDescent="0.2">
      <c r="A54" s="80">
        <f t="shared" si="0"/>
        <v>44</v>
      </c>
      <c r="B54" s="79" t="s">
        <v>98</v>
      </c>
      <c r="C54" s="104"/>
      <c r="D54" s="104"/>
      <c r="E54" s="104"/>
      <c r="F54" s="105"/>
      <c r="G54" s="131"/>
      <c r="H54" s="105"/>
      <c r="I54" s="105"/>
      <c r="J54" s="105"/>
      <c r="K54" s="124"/>
      <c r="L54" s="124"/>
      <c r="M54" s="124"/>
      <c r="N54" s="124"/>
      <c r="O54" s="124"/>
      <c r="P54" s="124"/>
      <c r="Q54" s="105"/>
      <c r="R54" s="105"/>
      <c r="S54" s="105"/>
      <c r="T54" s="105"/>
    </row>
    <row r="55" spans="1:21" hidden="1" outlineLevel="1" x14ac:dyDescent="0.2">
      <c r="A55" s="80">
        <f t="shared" si="0"/>
        <v>45</v>
      </c>
      <c r="B55" s="111" t="s">
        <v>156</v>
      </c>
      <c r="C55" s="104">
        <v>782914394</v>
      </c>
      <c r="D55" s="104">
        <v>764890777.36825001</v>
      </c>
      <c r="E55" s="104">
        <v>768227524.74642587</v>
      </c>
      <c r="F55" s="105"/>
      <c r="G55" s="112">
        <v>9.0594999999999995E-2</v>
      </c>
      <c r="H55" s="112">
        <f t="shared" ref="H55:I57" si="2">G55+R55</f>
        <v>0.11068380767349564</v>
      </c>
      <c r="I55" s="112">
        <f t="shared" si="2"/>
        <v>0.11577050127427037</v>
      </c>
      <c r="J55" s="105"/>
      <c r="K55" s="105">
        <f>G55*C55</f>
        <v>70928129.524429992</v>
      </c>
      <c r="L55" s="105">
        <f>G55*D55</f>
        <v>69295279.975676611</v>
      </c>
      <c r="M55" s="105">
        <f>G55*E55</f>
        <v>69597572.604402453</v>
      </c>
      <c r="N55" s="105"/>
      <c r="O55" s="105">
        <f t="shared" ref="O55:P57" si="3">H55*D55</f>
        <v>84661023.693457961</v>
      </c>
      <c r="P55" s="105">
        <f t="shared" si="3"/>
        <v>88938085.63258566</v>
      </c>
      <c r="Q55" s="105"/>
      <c r="R55" s="112">
        <f>(R70-(O53-L53)-(O65-L65)-(O67-L67))/D61</f>
        <v>2.0088807673495641E-2</v>
      </c>
      <c r="S55" s="112">
        <f>((S70+R70)-(P53-M53)-(P65-M65)-(P67-M67))/E61-R55</f>
        <v>5.0866936007747249E-3</v>
      </c>
      <c r="U55" s="102" t="s">
        <v>100</v>
      </c>
    </row>
    <row r="56" spans="1:21" hidden="1" outlineLevel="1" x14ac:dyDescent="0.2">
      <c r="A56" s="80">
        <f t="shared" si="0"/>
        <v>46</v>
      </c>
      <c r="B56" s="111" t="s">
        <v>157</v>
      </c>
      <c r="C56" s="104">
        <v>764321170</v>
      </c>
      <c r="D56" s="104">
        <v>746887576.95007479</v>
      </c>
      <c r="E56" s="104">
        <v>747812352.02207935</v>
      </c>
      <c r="F56" s="105"/>
      <c r="G56" s="112">
        <v>8.1648999999999999E-2</v>
      </c>
      <c r="H56" s="112">
        <f t="shared" si="2"/>
        <v>0.10173780767349563</v>
      </c>
      <c r="I56" s="112">
        <f t="shared" si="2"/>
        <v>0.10682450127427036</v>
      </c>
      <c r="J56" s="105"/>
      <c r="K56" s="105">
        <f>G56*C56</f>
        <v>62406059.20933</v>
      </c>
      <c r="L56" s="105">
        <f>G56*D56</f>
        <v>60982623.770396657</v>
      </c>
      <c r="M56" s="105">
        <f>G56*E56</f>
        <v>61058130.730250753</v>
      </c>
      <c r="N56" s="105"/>
      <c r="O56" s="105">
        <f t="shared" si="3"/>
        <v>75986704.657469884</v>
      </c>
      <c r="P56" s="105">
        <f t="shared" si="3"/>
        <v>79884681.551497728</v>
      </c>
      <c r="Q56" s="105"/>
      <c r="R56" s="112">
        <f>R55</f>
        <v>2.0088807673495641E-2</v>
      </c>
      <c r="S56" s="112">
        <f>S55</f>
        <v>5.0866936007747249E-3</v>
      </c>
      <c r="T56" s="105"/>
      <c r="U56" s="102" t="s">
        <v>100</v>
      </c>
    </row>
    <row r="57" spans="1:21" hidden="1" outlineLevel="1" x14ac:dyDescent="0.2">
      <c r="A57" s="80">
        <f t="shared" si="0"/>
        <v>47</v>
      </c>
      <c r="B57" s="111" t="s">
        <v>158</v>
      </c>
      <c r="C57" s="104">
        <v>1484990644</v>
      </c>
      <c r="D57" s="104">
        <v>1448423920.4871457</v>
      </c>
      <c r="E57" s="104">
        <v>1452680297.8689337</v>
      </c>
      <c r="F57" s="105"/>
      <c r="G57" s="112">
        <v>6.4577999999999997E-2</v>
      </c>
      <c r="H57" s="112">
        <f t="shared" si="2"/>
        <v>8.4666807673495631E-2</v>
      </c>
      <c r="I57" s="112">
        <f t="shared" si="2"/>
        <v>8.9753501274270356E-2</v>
      </c>
      <c r="J57" s="105"/>
      <c r="K57" s="105">
        <f>G57*C57</f>
        <v>95897725.808231995</v>
      </c>
      <c r="L57" s="105">
        <f>G57*D57</f>
        <v>93536319.93721889</v>
      </c>
      <c r="M57" s="105">
        <f>G57*E57</f>
        <v>93811188.275779992</v>
      </c>
      <c r="N57" s="105"/>
      <c r="O57" s="105">
        <f t="shared" si="3"/>
        <v>122633429.50557569</v>
      </c>
      <c r="P57" s="105">
        <f t="shared" si="3"/>
        <v>130383142.96588677</v>
      </c>
      <c r="Q57" s="105"/>
      <c r="R57" s="112">
        <f>R56</f>
        <v>2.0088807673495641E-2</v>
      </c>
      <c r="S57" s="112">
        <f>S55</f>
        <v>5.0866936007747249E-3</v>
      </c>
      <c r="T57" s="105"/>
      <c r="U57" s="102" t="s">
        <v>100</v>
      </c>
    </row>
    <row r="58" spans="1:21" hidden="1" outlineLevel="1" x14ac:dyDescent="0.2">
      <c r="A58" s="80">
        <f t="shared" si="0"/>
        <v>48</v>
      </c>
      <c r="B58" s="106" t="s">
        <v>74</v>
      </c>
      <c r="C58" s="107">
        <f>SUM(C55:C57)</f>
        <v>3032226208</v>
      </c>
      <c r="D58" s="107">
        <f>SUM(D55:D57)</f>
        <v>2960202274.8054705</v>
      </c>
      <c r="E58" s="107">
        <f>SUM(E55:E57)</f>
        <v>2968720174.6374388</v>
      </c>
      <c r="F58" s="105"/>
      <c r="G58" s="112"/>
      <c r="H58" s="105"/>
      <c r="I58" s="105"/>
      <c r="J58" s="105"/>
      <c r="K58" s="132">
        <f>SUM(K55:K57)</f>
        <v>229231914.54199201</v>
      </c>
      <c r="L58" s="132">
        <f>SUM(L55:L57)</f>
        <v>223814223.68329215</v>
      </c>
      <c r="M58" s="132">
        <f>SUM(M55:M57)</f>
        <v>224466891.61043319</v>
      </c>
      <c r="N58" s="132"/>
      <c r="O58" s="132">
        <f>SUM(O55:O57)</f>
        <v>283281157.85650349</v>
      </c>
      <c r="P58" s="132">
        <f>SUM(P55:P57)</f>
        <v>299205910.14997017</v>
      </c>
      <c r="Q58" s="105"/>
      <c r="R58" s="105"/>
      <c r="S58" s="105"/>
      <c r="T58" s="105"/>
    </row>
    <row r="59" spans="1:21" hidden="1" outlineLevel="1" x14ac:dyDescent="0.2">
      <c r="A59" s="80">
        <f t="shared" si="0"/>
        <v>49</v>
      </c>
      <c r="B59" s="111" t="s">
        <v>101</v>
      </c>
      <c r="C59" s="104">
        <v>-32050105.587753978</v>
      </c>
      <c r="D59" s="115" t="s">
        <v>102</v>
      </c>
      <c r="E59" s="115"/>
      <c r="F59" s="105"/>
      <c r="G59" s="73">
        <f>K59/C59</f>
        <v>9.1438981128341867E-2</v>
      </c>
      <c r="H59" s="105"/>
      <c r="I59" s="105"/>
      <c r="J59" s="105"/>
      <c r="K59" s="124">
        <v>-2930629</v>
      </c>
      <c r="L59" s="105">
        <f>G59*D59</f>
        <v>0</v>
      </c>
      <c r="M59" s="105">
        <f>G59*E59</f>
        <v>0</v>
      </c>
      <c r="N59" s="105"/>
      <c r="O59" s="105">
        <f>H59*D59</f>
        <v>0</v>
      </c>
      <c r="P59" s="105">
        <f>I59*E59</f>
        <v>0</v>
      </c>
      <c r="Q59" s="105"/>
      <c r="R59" s="105"/>
      <c r="S59" s="105"/>
      <c r="T59" s="105"/>
      <c r="U59" s="102"/>
    </row>
    <row r="60" spans="1:21" ht="10.5" hidden="1" customHeight="1" outlineLevel="1" x14ac:dyDescent="0.2">
      <c r="A60" s="80">
        <f t="shared" si="0"/>
        <v>50</v>
      </c>
      <c r="B60" s="114" t="s">
        <v>103</v>
      </c>
      <c r="C60" s="104">
        <v>-5507858</v>
      </c>
      <c r="D60" s="115" t="s">
        <v>102</v>
      </c>
      <c r="E60" s="115"/>
      <c r="F60" s="105"/>
      <c r="G60" s="73">
        <f>K60/C60</f>
        <v>5.6991665362469406E-2</v>
      </c>
      <c r="H60" s="105"/>
      <c r="I60" s="105"/>
      <c r="J60" s="105"/>
      <c r="K60" s="124">
        <v>-313902</v>
      </c>
      <c r="L60" s="105">
        <f>G60*D60</f>
        <v>0</v>
      </c>
      <c r="M60" s="105">
        <f>G60*E60</f>
        <v>0</v>
      </c>
      <c r="N60" s="105"/>
      <c r="O60" s="105">
        <f>H60*D60</f>
        <v>0</v>
      </c>
      <c r="P60" s="105">
        <f>I60*E60</f>
        <v>0</v>
      </c>
      <c r="Q60" s="105"/>
      <c r="R60" s="105"/>
      <c r="S60" s="105"/>
      <c r="T60" s="105"/>
      <c r="U60" s="102"/>
    </row>
    <row r="61" spans="1:21" hidden="1" outlineLevel="1" x14ac:dyDescent="0.2">
      <c r="A61" s="80">
        <f t="shared" si="0"/>
        <v>51</v>
      </c>
      <c r="B61" s="106" t="s">
        <v>74</v>
      </c>
      <c r="C61" s="107">
        <f>SUM(C58:C60)</f>
        <v>2994668244.4122462</v>
      </c>
      <c r="D61" s="107">
        <f>SUM(D58:D60)</f>
        <v>2960202274.8054705</v>
      </c>
      <c r="E61" s="107">
        <f>SUM(E58:E60)</f>
        <v>2968720174.6374388</v>
      </c>
      <c r="F61" s="105"/>
      <c r="H61" s="105"/>
      <c r="I61" s="105"/>
      <c r="J61" s="105"/>
      <c r="K61" s="132">
        <f>SUM(K58:K60)</f>
        <v>225987383.54199201</v>
      </c>
      <c r="L61" s="132">
        <f>SUM(L58:L60)</f>
        <v>223814223.68329215</v>
      </c>
      <c r="M61" s="132">
        <f>SUM(M58:M60)</f>
        <v>224466891.61043319</v>
      </c>
      <c r="N61" s="132"/>
      <c r="O61" s="132">
        <f>SUM(O58:O60)</f>
        <v>283281157.85650349</v>
      </c>
      <c r="P61" s="132">
        <f>SUM(P58:P60)</f>
        <v>299205910.14997017</v>
      </c>
      <c r="Q61" s="105"/>
      <c r="R61" s="105"/>
      <c r="S61" s="105"/>
      <c r="T61" s="105"/>
      <c r="U61" s="74"/>
    </row>
    <row r="62" spans="1:21" hidden="1" outlineLevel="1" x14ac:dyDescent="0.2">
      <c r="A62" s="80">
        <f t="shared" si="0"/>
        <v>52</v>
      </c>
      <c r="B62" s="79" t="s">
        <v>104</v>
      </c>
      <c r="C62" s="104"/>
      <c r="D62" s="104"/>
      <c r="E62" s="104"/>
      <c r="F62" s="105"/>
      <c r="G62" s="108"/>
      <c r="H62" s="105"/>
      <c r="I62" s="105"/>
      <c r="J62" s="105"/>
      <c r="K62" s="124"/>
      <c r="L62" s="124"/>
      <c r="M62" s="124"/>
      <c r="N62" s="124"/>
      <c r="O62" s="124"/>
      <c r="P62" s="124"/>
      <c r="Q62" s="105"/>
      <c r="R62" s="105"/>
      <c r="S62" s="105"/>
      <c r="T62" s="105"/>
    </row>
    <row r="63" spans="1:21" hidden="1" outlineLevel="1" x14ac:dyDescent="0.2">
      <c r="A63" s="80">
        <f t="shared" si="0"/>
        <v>53</v>
      </c>
      <c r="B63" s="111" t="s">
        <v>159</v>
      </c>
      <c r="C63" s="104">
        <v>2378579</v>
      </c>
      <c r="D63" s="104">
        <v>2288723.4046284151</v>
      </c>
      <c r="E63" s="104">
        <v>2283097.2984594069</v>
      </c>
      <c r="F63" s="105"/>
      <c r="G63" s="88">
        <v>10.119999999999999</v>
      </c>
      <c r="H63" s="71">
        <f>G63*(1+R63)</f>
        <v>13.155999999999999</v>
      </c>
      <c r="I63" s="71">
        <f>H63*(1+S63)</f>
        <v>17.102799999999998</v>
      </c>
      <c r="J63" s="105"/>
      <c r="K63" s="105">
        <f>G63*C63</f>
        <v>24071219.479999997</v>
      </c>
      <c r="L63" s="105">
        <f>G63*D63</f>
        <v>23161880.85483956</v>
      </c>
      <c r="M63" s="105">
        <f>G63*E63</f>
        <v>23104944.660409197</v>
      </c>
      <c r="N63" s="105"/>
      <c r="O63" s="105">
        <f>H63*D63</f>
        <v>30110445.111291427</v>
      </c>
      <c r="P63" s="105">
        <f>I63*E63</f>
        <v>39047356.476091541</v>
      </c>
      <c r="Q63" s="105"/>
      <c r="R63" s="72">
        <v>0.3</v>
      </c>
      <c r="S63" s="72">
        <f>R63</f>
        <v>0.3</v>
      </c>
      <c r="T63" s="105"/>
      <c r="U63" s="102" t="s">
        <v>106</v>
      </c>
    </row>
    <row r="64" spans="1:21" hidden="1" outlineLevel="1" x14ac:dyDescent="0.2">
      <c r="A64" s="80">
        <f t="shared" si="0"/>
        <v>54</v>
      </c>
      <c r="B64" s="111" t="s">
        <v>160</v>
      </c>
      <c r="C64" s="104">
        <v>2294595</v>
      </c>
      <c r="D64" s="104">
        <v>2229163.6026629228</v>
      </c>
      <c r="E64" s="104">
        <v>2232411.6467305804</v>
      </c>
      <c r="F64" s="105"/>
      <c r="G64" s="88">
        <v>6.75</v>
      </c>
      <c r="H64" s="71">
        <f>G64*(1+R64)</f>
        <v>8.7750000000000004</v>
      </c>
      <c r="I64" s="71">
        <f>H64*(1+S64)</f>
        <v>11.407500000000001</v>
      </c>
      <c r="J64" s="105"/>
      <c r="K64" s="105">
        <f>G64*C64</f>
        <v>15488516.25</v>
      </c>
      <c r="L64" s="105">
        <f>G64*D64</f>
        <v>15046854.317974729</v>
      </c>
      <c r="M64" s="105">
        <f>G64*E64</f>
        <v>15068778.615431417</v>
      </c>
      <c r="N64" s="105"/>
      <c r="O64" s="105">
        <f>H64*D64</f>
        <v>19560910.613367148</v>
      </c>
      <c r="P64" s="105">
        <f>I64*E64</f>
        <v>25466235.860079098</v>
      </c>
      <c r="Q64" s="105"/>
      <c r="R64" s="74">
        <f>R63</f>
        <v>0.3</v>
      </c>
      <c r="S64" s="74">
        <f>S63</f>
        <v>0.3</v>
      </c>
      <c r="T64" s="105"/>
      <c r="U64" s="102" t="s">
        <v>106</v>
      </c>
    </row>
    <row r="65" spans="1:26" hidden="1" outlineLevel="1" x14ac:dyDescent="0.2">
      <c r="A65" s="80">
        <f t="shared" si="0"/>
        <v>55</v>
      </c>
      <c r="B65" s="106" t="s">
        <v>74</v>
      </c>
      <c r="C65" s="107">
        <f>SUM(C63:C64)</f>
        <v>4673174</v>
      </c>
      <c r="D65" s="107">
        <f>SUM(D63:D64)</f>
        <v>4517887.0072913375</v>
      </c>
      <c r="E65" s="107">
        <f>SUM(E63:E64)</f>
        <v>4515508.9451899873</v>
      </c>
      <c r="G65" s="108"/>
      <c r="K65" s="132">
        <f>SUM(K63:K64)</f>
        <v>39559735.729999997</v>
      </c>
      <c r="L65" s="132">
        <f>SUM(L63:L64)</f>
        <v>38208735.172814287</v>
      </c>
      <c r="M65" s="132">
        <f>SUM(M63:M64)</f>
        <v>38173723.27584061</v>
      </c>
      <c r="N65" s="132"/>
      <c r="O65" s="132">
        <f>SUM(O63:O64)</f>
        <v>49671355.724658579</v>
      </c>
      <c r="P65" s="132">
        <f>SUM(P63:P64)</f>
        <v>64513592.336170644</v>
      </c>
    </row>
    <row r="66" spans="1:26" hidden="1" outlineLevel="1" x14ac:dyDescent="0.2">
      <c r="A66" s="80">
        <f t="shared" si="0"/>
        <v>56</v>
      </c>
      <c r="C66" s="104"/>
      <c r="D66" s="104"/>
      <c r="E66" s="104"/>
      <c r="G66" s="103"/>
      <c r="K66" s="124"/>
      <c r="L66" s="124"/>
      <c r="M66" s="124"/>
      <c r="N66" s="124"/>
      <c r="O66" s="124"/>
      <c r="P66" s="124"/>
      <c r="U66" s="74"/>
    </row>
    <row r="67" spans="1:26" hidden="1" outlineLevel="1" x14ac:dyDescent="0.2">
      <c r="A67" s="80">
        <f t="shared" si="0"/>
        <v>57</v>
      </c>
      <c r="B67" s="79" t="s">
        <v>108</v>
      </c>
      <c r="C67" s="104">
        <v>583427299</v>
      </c>
      <c r="D67" s="104">
        <v>571159840.78918433</v>
      </c>
      <c r="E67" s="104">
        <v>572748098.34600949</v>
      </c>
      <c r="F67" s="105"/>
      <c r="G67" s="133">
        <v>3.1800000000000001E-3</v>
      </c>
      <c r="H67" s="75">
        <f>G67*(1+R67)</f>
        <v>4.1340000000000005E-3</v>
      </c>
      <c r="I67" s="75">
        <f>H67*(1+S67)</f>
        <v>5.3742000000000009E-3</v>
      </c>
      <c r="J67" s="105"/>
      <c r="K67" s="105">
        <f>G67*C67</f>
        <v>1855298.81082</v>
      </c>
      <c r="L67" s="105">
        <f>G67*D67</f>
        <v>1816288.2937096062</v>
      </c>
      <c r="M67" s="105">
        <f>G67*E67</f>
        <v>1821338.9527403102</v>
      </c>
      <c r="N67" s="105"/>
      <c r="O67" s="105">
        <f>H67*D67</f>
        <v>2361174.7818224882</v>
      </c>
      <c r="P67" s="105">
        <f>I67*E67</f>
        <v>3078062.8301311247</v>
      </c>
      <c r="Q67" s="105"/>
      <c r="R67" s="72">
        <v>0.3</v>
      </c>
      <c r="S67" s="72">
        <f>R67</f>
        <v>0.3</v>
      </c>
      <c r="T67" s="105"/>
      <c r="U67" s="102" t="s">
        <v>109</v>
      </c>
    </row>
    <row r="68" spans="1:26" hidden="1" outlineLevel="1" x14ac:dyDescent="0.2">
      <c r="A68" s="80">
        <f t="shared" si="0"/>
        <v>58</v>
      </c>
      <c r="C68" s="104"/>
      <c r="D68" s="104"/>
      <c r="E68" s="104"/>
      <c r="G68" s="103"/>
      <c r="K68" s="124"/>
      <c r="L68" s="124"/>
      <c r="M68" s="124"/>
      <c r="N68" s="124"/>
      <c r="O68" s="124"/>
      <c r="P68" s="124"/>
    </row>
    <row r="69" spans="1:26" ht="12" hidden="1" outlineLevel="1" thickBot="1" x14ac:dyDescent="0.25">
      <c r="A69" s="80">
        <f t="shared" si="0"/>
        <v>59</v>
      </c>
      <c r="B69" s="79" t="s">
        <v>110</v>
      </c>
      <c r="C69" s="103"/>
      <c r="D69" s="103"/>
      <c r="E69" s="103"/>
      <c r="G69" s="103"/>
      <c r="K69" s="134">
        <f>SUM(K53,K61,K65,K67)</f>
        <v>272825579.98281199</v>
      </c>
      <c r="L69" s="134">
        <f>SUM(L53,L61,L65,L67)</f>
        <v>269454987.66446799</v>
      </c>
      <c r="M69" s="134">
        <f>SUM(M53,M61,M65,M67)</f>
        <v>270193139.92299938</v>
      </c>
      <c r="N69" s="134"/>
      <c r="O69" s="134">
        <f>SUM(O53,O61,O65,O67)</f>
        <v>342614151.03203207</v>
      </c>
      <c r="P69" s="134">
        <f>SUM(P53,P61,P65,P67)</f>
        <v>376483269.79820698</v>
      </c>
      <c r="R69" s="119">
        <v>342614151.03203213</v>
      </c>
      <c r="S69" s="119">
        <v>376483269.79820704</v>
      </c>
      <c r="T69" s="105"/>
    </row>
    <row r="70" spans="1:26" hidden="1" outlineLevel="1" x14ac:dyDescent="0.2">
      <c r="A70" s="80">
        <f t="shared" si="0"/>
        <v>60</v>
      </c>
      <c r="B70" s="102" t="s">
        <v>111</v>
      </c>
      <c r="C70" s="103"/>
      <c r="D70" s="103"/>
      <c r="E70" s="103"/>
      <c r="G70" s="103"/>
      <c r="K70" s="124"/>
      <c r="L70" s="124"/>
      <c r="M70" s="124"/>
      <c r="N70" s="124"/>
      <c r="O70" s="124"/>
      <c r="P70" s="124"/>
      <c r="R70" s="105">
        <f>R69-L69</f>
        <v>73159163.367564142</v>
      </c>
      <c r="S70" s="105">
        <f>S69-M69-R70</f>
        <v>33130966.507643521</v>
      </c>
      <c r="T70" s="105"/>
    </row>
    <row r="71" spans="1:26" hidden="1" outlineLevel="1" x14ac:dyDescent="0.2">
      <c r="A71" s="80">
        <f t="shared" si="0"/>
        <v>61</v>
      </c>
      <c r="B71" s="102" t="s">
        <v>112</v>
      </c>
      <c r="C71" s="103"/>
      <c r="D71" s="103"/>
      <c r="E71" s="103"/>
      <c r="K71" s="124"/>
      <c r="L71" s="124"/>
      <c r="M71" s="124"/>
      <c r="N71" s="124"/>
      <c r="O71" s="124"/>
      <c r="P71" s="124"/>
      <c r="R71" s="76">
        <f>(R70/L69)</f>
        <v>0.27150792049417821</v>
      </c>
      <c r="S71" s="76">
        <f>(S70/M69)</f>
        <v>0.12261956953120758</v>
      </c>
      <c r="T71" s="105"/>
    </row>
    <row r="72" spans="1:26" hidden="1" outlineLevel="1" x14ac:dyDescent="0.2">
      <c r="A72" s="80">
        <f t="shared" si="0"/>
        <v>62</v>
      </c>
      <c r="B72" s="122" t="s">
        <v>113</v>
      </c>
      <c r="C72" s="103">
        <v>0.39800024032592773</v>
      </c>
      <c r="D72" s="103"/>
      <c r="E72" s="103"/>
      <c r="K72" s="103">
        <v>5.0171880125999451</v>
      </c>
      <c r="L72" s="105">
        <v>0</v>
      </c>
      <c r="M72" s="105">
        <v>0</v>
      </c>
      <c r="N72" s="105"/>
      <c r="O72" s="124"/>
      <c r="P72" s="124"/>
      <c r="R72" s="105">
        <f>R69-O69</f>
        <v>0</v>
      </c>
      <c r="S72" s="105">
        <f>S69-P69</f>
        <v>0</v>
      </c>
      <c r="T72" s="124"/>
    </row>
    <row r="73" spans="1:26" ht="12.75" hidden="1" customHeight="1" outlineLevel="1" x14ac:dyDescent="0.2">
      <c r="A73" s="80">
        <f t="shared" si="0"/>
        <v>63</v>
      </c>
      <c r="B73" s="135" t="s">
        <v>161</v>
      </c>
      <c r="C73" s="103"/>
      <c r="D73" s="103"/>
      <c r="E73" s="103"/>
      <c r="G73" s="136">
        <f>ROUND(SUM(K55:K56)/SUM(C55:C56),6)</f>
        <v>8.6176000000000003E-2</v>
      </c>
      <c r="H73" s="136">
        <f>ROUND(SUM(O55:O56)/SUM(C55:C56),6)</f>
        <v>0.103829</v>
      </c>
      <c r="I73" s="136">
        <f>ROUND(SUM(P55:P56)/SUM(C55:C56),6)</f>
        <v>0.109113</v>
      </c>
      <c r="K73" s="103"/>
      <c r="L73" s="105"/>
      <c r="M73" s="105"/>
      <c r="N73" s="105"/>
      <c r="O73" s="137"/>
      <c r="P73" s="137"/>
      <c r="Q73" s="137"/>
      <c r="R73" s="137"/>
      <c r="S73" s="137"/>
      <c r="T73" s="137"/>
    </row>
    <row r="74" spans="1:26" ht="12" hidden="1" outlineLevel="1" thickBot="1" x14ac:dyDescent="0.25">
      <c r="A74" s="80">
        <f t="shared" si="0"/>
        <v>64</v>
      </c>
      <c r="B74" s="135" t="s">
        <v>114</v>
      </c>
      <c r="G74" s="138">
        <f>ROUND(K65/C65,2)</f>
        <v>8.4700000000000006</v>
      </c>
      <c r="H74" s="138">
        <f>ROUND(O65/D65,2)</f>
        <v>10.99</v>
      </c>
      <c r="I74" s="138">
        <f>ROUND(P65/E65,2)</f>
        <v>14.29</v>
      </c>
      <c r="R74" s="137"/>
      <c r="S74" s="137"/>
    </row>
    <row r="75" spans="1:26" hidden="1" outlineLevel="1" x14ac:dyDescent="0.2">
      <c r="A75" s="80">
        <f t="shared" si="0"/>
        <v>65</v>
      </c>
      <c r="B75" s="125"/>
      <c r="C75" s="126"/>
      <c r="D75" s="126"/>
      <c r="E75" s="126"/>
      <c r="F75" s="126"/>
      <c r="G75" s="127"/>
      <c r="H75" s="127"/>
      <c r="I75" s="127"/>
      <c r="J75" s="126"/>
      <c r="K75" s="126"/>
      <c r="L75" s="126"/>
      <c r="M75" s="126"/>
      <c r="N75" s="126"/>
      <c r="O75" s="126"/>
      <c r="P75" s="126"/>
      <c r="Q75" s="126"/>
      <c r="R75" s="139"/>
      <c r="S75" s="139"/>
      <c r="T75" s="126"/>
      <c r="U75" s="126"/>
    </row>
    <row r="76" spans="1:26" collapsed="1" x14ac:dyDescent="0.2">
      <c r="A76" s="80">
        <f t="shared" ref="A76:A139" si="4">A75+1</f>
        <v>66</v>
      </c>
    </row>
    <row r="77" spans="1:26" x14ac:dyDescent="0.2">
      <c r="A77" s="80">
        <f t="shared" si="4"/>
        <v>67</v>
      </c>
      <c r="B77" s="100" t="s">
        <v>95</v>
      </c>
    </row>
    <row r="78" spans="1:26" x14ac:dyDescent="0.2">
      <c r="A78" s="80">
        <f t="shared" si="4"/>
        <v>68</v>
      </c>
      <c r="B78" s="102" t="s">
        <v>96</v>
      </c>
    </row>
    <row r="79" spans="1:26" x14ac:dyDescent="0.2">
      <c r="A79" s="80">
        <f t="shared" si="4"/>
        <v>69</v>
      </c>
      <c r="W79" s="80" t="s">
        <v>236</v>
      </c>
      <c r="X79" s="80" t="s">
        <v>237</v>
      </c>
      <c r="Y79" s="80" t="s">
        <v>236</v>
      </c>
      <c r="Z79" s="80" t="s">
        <v>237</v>
      </c>
    </row>
    <row r="80" spans="1:26" x14ac:dyDescent="0.2">
      <c r="A80" s="80">
        <f t="shared" si="4"/>
        <v>70</v>
      </c>
      <c r="B80" s="79" t="s">
        <v>35</v>
      </c>
      <c r="C80" s="103">
        <v>10443</v>
      </c>
      <c r="D80" s="103">
        <v>12832.950278385571</v>
      </c>
      <c r="E80" s="103">
        <v>14912.048410558225</v>
      </c>
      <c r="F80" s="105"/>
      <c r="G80" s="88">
        <v>109.08</v>
      </c>
      <c r="H80" s="71">
        <f>G80*(1+R80)</f>
        <v>218.16</v>
      </c>
      <c r="I80" s="71">
        <f>H80*(1+S80)</f>
        <v>436.32</v>
      </c>
      <c r="J80" s="105"/>
      <c r="K80" s="105">
        <f>G80*C80</f>
        <v>1139122.44</v>
      </c>
      <c r="L80" s="105">
        <f>G80*D80</f>
        <v>1399818.216366298</v>
      </c>
      <c r="M80" s="105">
        <f>G80*E80</f>
        <v>1626606.2406236911</v>
      </c>
      <c r="N80" s="105"/>
      <c r="O80" s="105">
        <f>H80*D80</f>
        <v>2799636.4327325961</v>
      </c>
      <c r="P80" s="105">
        <f>I80*E80</f>
        <v>6506424.9624947645</v>
      </c>
      <c r="Q80" s="105"/>
      <c r="R80" s="204">
        <v>1</v>
      </c>
      <c r="S80" s="72">
        <f>R80</f>
        <v>1</v>
      </c>
      <c r="U80" s="79" t="s">
        <v>97</v>
      </c>
      <c r="V80" s="79" t="s">
        <v>73</v>
      </c>
      <c r="W80" s="189">
        <f>O80+O129</f>
        <v>2819924.1448163642</v>
      </c>
      <c r="X80" s="267">
        <f>W80/W$83</f>
        <v>1.3339684821166391E-2</v>
      </c>
      <c r="Y80" s="189">
        <f>P80+P129</f>
        <v>6553574.1118594538</v>
      </c>
      <c r="Z80" s="267">
        <f>Y80/Y$83</f>
        <v>2.7795100341372662E-2</v>
      </c>
    </row>
    <row r="81" spans="1:26" x14ac:dyDescent="0.2">
      <c r="A81" s="80">
        <f t="shared" si="4"/>
        <v>71</v>
      </c>
      <c r="B81" s="79" t="s">
        <v>98</v>
      </c>
      <c r="C81" s="103"/>
      <c r="D81" s="103"/>
      <c r="E81" s="103"/>
      <c r="F81" s="105"/>
      <c r="G81" s="131"/>
      <c r="H81" s="105"/>
      <c r="I81" s="105"/>
      <c r="J81" s="105"/>
      <c r="K81" s="124"/>
      <c r="L81" s="124"/>
      <c r="M81" s="124"/>
      <c r="N81" s="124"/>
      <c r="O81" s="124"/>
      <c r="P81" s="124"/>
      <c r="Q81" s="105"/>
      <c r="R81" s="105"/>
      <c r="S81" s="105"/>
      <c r="T81" s="105"/>
      <c r="U81" s="105"/>
      <c r="V81" s="79" t="s">
        <v>72</v>
      </c>
      <c r="W81" s="189">
        <f>O86+O135</f>
        <v>143198744.19096741</v>
      </c>
      <c r="X81" s="267">
        <f t="shared" ref="X81:Z82" si="5">W81/W$83</f>
        <v>0.67740336838696502</v>
      </c>
      <c r="Y81" s="189">
        <f>P86+P135</f>
        <v>140776162.33999538</v>
      </c>
      <c r="Z81" s="267">
        <f t="shared" si="5"/>
        <v>0.59706161723764051</v>
      </c>
    </row>
    <row r="82" spans="1:26" x14ac:dyDescent="0.2">
      <c r="A82" s="80">
        <f t="shared" si="4"/>
        <v>72</v>
      </c>
      <c r="B82" s="111" t="s">
        <v>99</v>
      </c>
      <c r="C82" s="103">
        <v>1799236030</v>
      </c>
      <c r="D82" s="103">
        <v>2001418768.871773</v>
      </c>
      <c r="E82" s="103">
        <v>2044052902.8306885</v>
      </c>
      <c r="F82" s="105"/>
      <c r="G82" s="112">
        <v>5.7457000000000001E-2</v>
      </c>
      <c r="H82" s="112">
        <f>G82+R82</f>
        <v>7.1114166215229507E-2</v>
      </c>
      <c r="I82" s="112">
        <f>H82+S82</f>
        <v>6.8453228055838283E-2</v>
      </c>
      <c r="J82" s="105"/>
      <c r="K82" s="105">
        <f>G82*C82</f>
        <v>103378704.57571</v>
      </c>
      <c r="L82" s="105">
        <f>G82*D82</f>
        <v>114995518.20306547</v>
      </c>
      <c r="M82" s="105">
        <f>G82*E82</f>
        <v>117445147.63794287</v>
      </c>
      <c r="N82" s="105"/>
      <c r="O82" s="105">
        <f>H82*D82</f>
        <v>142329226.99582729</v>
      </c>
      <c r="P82" s="105">
        <f>I82*E82</f>
        <v>139922019.51566738</v>
      </c>
      <c r="Q82" s="105"/>
      <c r="R82" s="112">
        <f>(R95-(O80-L80)-(O90-L90)-(O92-L92)-(O114-L114)-(O129-L129)-(O139-L139)-(O143-L143))/(D86+D135)</f>
        <v>1.3657166215229508E-2</v>
      </c>
      <c r="S82" s="112">
        <f>((S95+R95)-(P80-M80)-(P90-M90)-(P92-M92)-(P114-M114)-(P129-M129)-(P139-M139)-(P143-M143))/(E86+E135)-R82</f>
        <v>-2.6609381593912188E-3</v>
      </c>
      <c r="U82" s="102" t="s">
        <v>100</v>
      </c>
      <c r="V82" s="79" t="s">
        <v>71</v>
      </c>
      <c r="W82" s="189">
        <f>O90+O92+O114+O139+O143</f>
        <v>65374942.729293585</v>
      </c>
      <c r="X82" s="267">
        <f t="shared" si="5"/>
        <v>0.30925694679186855</v>
      </c>
      <c r="Y82" s="189">
        <f>P90+P92+P114+P139+P143</f>
        <v>88451895.25193648</v>
      </c>
      <c r="Z82" s="267">
        <f t="shared" si="5"/>
        <v>0.37514328242098677</v>
      </c>
    </row>
    <row r="83" spans="1:26" x14ac:dyDescent="0.2">
      <c r="A83" s="80">
        <f t="shared" si="4"/>
        <v>73</v>
      </c>
      <c r="B83" s="106" t="s">
        <v>74</v>
      </c>
      <c r="C83" s="129">
        <f>SUM(C82:C82)</f>
        <v>1799236030</v>
      </c>
      <c r="D83" s="129">
        <f>SUM(D82:D82)</f>
        <v>2001418768.871773</v>
      </c>
      <c r="E83" s="129">
        <f>SUM(E82:E82)</f>
        <v>2044052902.8306885</v>
      </c>
      <c r="F83" s="105"/>
      <c r="G83" s="140"/>
      <c r="H83" s="105"/>
      <c r="I83" s="105"/>
      <c r="J83" s="105"/>
      <c r="K83" s="132">
        <f>SUM(K82:K82)</f>
        <v>103378704.57571</v>
      </c>
      <c r="L83" s="132">
        <f>SUM(L82:L82)</f>
        <v>114995518.20306547</v>
      </c>
      <c r="M83" s="132">
        <f>SUM(M82:M82)</f>
        <v>117445147.63794287</v>
      </c>
      <c r="N83" s="132"/>
      <c r="O83" s="132">
        <f>SUM(O82:O82)</f>
        <v>142329226.99582729</v>
      </c>
      <c r="P83" s="132">
        <f>SUM(P82:P82)</f>
        <v>139922019.51566738</v>
      </c>
      <c r="Q83" s="105"/>
      <c r="R83" s="105"/>
      <c r="S83" s="105"/>
      <c r="T83" s="105"/>
      <c r="U83" s="105"/>
      <c r="W83" s="189">
        <f>SUM(W80:W82)</f>
        <v>211393611.06507736</v>
      </c>
      <c r="Y83" s="189">
        <f>SUM(Y80:Y82)</f>
        <v>235781631.70379132</v>
      </c>
    </row>
    <row r="84" spans="1:26" x14ac:dyDescent="0.2">
      <c r="A84" s="80">
        <f t="shared" si="4"/>
        <v>74</v>
      </c>
      <c r="B84" s="111" t="s">
        <v>101</v>
      </c>
      <c r="C84" s="103">
        <v>-11237911.493177326</v>
      </c>
      <c r="D84" s="115" t="s">
        <v>102</v>
      </c>
      <c r="E84" s="115"/>
      <c r="F84" s="105"/>
      <c r="G84" s="73">
        <f>K84/C84</f>
        <v>8.4230686509203997E-2</v>
      </c>
      <c r="H84" s="105"/>
      <c r="I84" s="105"/>
      <c r="J84" s="105"/>
      <c r="K84" s="124">
        <v>-946577</v>
      </c>
      <c r="L84" s="105">
        <f>G84*D84</f>
        <v>0</v>
      </c>
      <c r="M84" s="105">
        <f>G84*E84</f>
        <v>0</v>
      </c>
      <c r="N84" s="105"/>
      <c r="O84" s="105">
        <f>H84*D84</f>
        <v>0</v>
      </c>
      <c r="P84" s="105">
        <f>I84*E84</f>
        <v>0</v>
      </c>
      <c r="Q84" s="105"/>
      <c r="R84" s="105"/>
      <c r="S84" s="105"/>
      <c r="T84" s="105"/>
      <c r="U84" s="105"/>
    </row>
    <row r="85" spans="1:26" ht="11.25" customHeight="1" x14ac:dyDescent="0.2">
      <c r="A85" s="80">
        <f t="shared" si="4"/>
        <v>75</v>
      </c>
      <c r="B85" s="114" t="s">
        <v>103</v>
      </c>
      <c r="C85" s="103">
        <v>13270755</v>
      </c>
      <c r="D85" s="115" t="s">
        <v>102</v>
      </c>
      <c r="E85" s="115"/>
      <c r="F85" s="105"/>
      <c r="G85" s="73">
        <f>K85/C85</f>
        <v>8.2366376291326301E-2</v>
      </c>
      <c r="H85" s="105"/>
      <c r="I85" s="105"/>
      <c r="J85" s="105"/>
      <c r="K85" s="124">
        <v>1093064</v>
      </c>
      <c r="L85" s="105">
        <f>G85*D85</f>
        <v>0</v>
      </c>
      <c r="M85" s="105">
        <f>G85*E85</f>
        <v>0</v>
      </c>
      <c r="N85" s="105"/>
      <c r="O85" s="105">
        <f>H85*D85</f>
        <v>0</v>
      </c>
      <c r="P85" s="105">
        <f>I85*E85</f>
        <v>0</v>
      </c>
      <c r="Q85" s="105"/>
      <c r="R85" s="105"/>
      <c r="S85" s="105"/>
      <c r="T85" s="105"/>
      <c r="U85" s="105"/>
    </row>
    <row r="86" spans="1:26" x14ac:dyDescent="0.2">
      <c r="A86" s="80">
        <f t="shared" si="4"/>
        <v>76</v>
      </c>
      <c r="B86" s="106" t="s">
        <v>74</v>
      </c>
      <c r="C86" s="129">
        <f>SUM(C83:C85)</f>
        <v>1801268873.5068226</v>
      </c>
      <c r="D86" s="129">
        <f>SUM(D83:D85)</f>
        <v>2001418768.871773</v>
      </c>
      <c r="E86" s="129">
        <f>SUM(E83:E85)</f>
        <v>2044052902.8306885</v>
      </c>
      <c r="F86" s="105"/>
      <c r="H86" s="105"/>
      <c r="I86" s="105"/>
      <c r="J86" s="105"/>
      <c r="K86" s="132">
        <f>SUM(K83:K85)</f>
        <v>103525191.57571</v>
      </c>
      <c r="L86" s="132">
        <f>SUM(L83:L85)</f>
        <v>114995518.20306547</v>
      </c>
      <c r="M86" s="132">
        <f>SUM(M83:M85)</f>
        <v>117445147.63794287</v>
      </c>
      <c r="N86" s="132"/>
      <c r="O86" s="132">
        <f>SUM(O83:O85)</f>
        <v>142329226.99582729</v>
      </c>
      <c r="P86" s="132">
        <f>SUM(P83:P85)</f>
        <v>139922019.51566738</v>
      </c>
      <c r="Q86" s="105"/>
      <c r="R86" s="105"/>
      <c r="S86" s="105"/>
      <c r="T86" s="105"/>
      <c r="U86" s="105"/>
    </row>
    <row r="87" spans="1:26" x14ac:dyDescent="0.2">
      <c r="A87" s="80">
        <f t="shared" si="4"/>
        <v>77</v>
      </c>
      <c r="B87" s="79" t="s">
        <v>104</v>
      </c>
      <c r="C87" s="103"/>
      <c r="D87" s="103"/>
      <c r="E87" s="103"/>
      <c r="F87" s="105"/>
      <c r="G87" s="108"/>
      <c r="H87" s="105"/>
      <c r="I87" s="105"/>
      <c r="J87" s="105"/>
      <c r="K87" s="124"/>
      <c r="L87" s="124"/>
      <c r="M87" s="124"/>
      <c r="N87" s="124"/>
      <c r="O87" s="124"/>
      <c r="P87" s="124"/>
      <c r="Q87" s="105"/>
      <c r="R87" s="105"/>
      <c r="S87" s="105"/>
      <c r="T87" s="105"/>
      <c r="U87" s="105"/>
    </row>
    <row r="88" spans="1:26" x14ac:dyDescent="0.2">
      <c r="A88" s="80">
        <f t="shared" si="4"/>
        <v>78</v>
      </c>
      <c r="B88" s="111" t="s">
        <v>105</v>
      </c>
      <c r="C88" s="103">
        <v>2145569</v>
      </c>
      <c r="D88" s="103">
        <v>2204133.5296230405</v>
      </c>
      <c r="E88" s="103">
        <v>2242797.6603778745</v>
      </c>
      <c r="F88" s="105"/>
      <c r="G88" s="88">
        <v>12.23</v>
      </c>
      <c r="H88" s="71">
        <f>G88*(1+R88)</f>
        <v>16.265900000000002</v>
      </c>
      <c r="I88" s="71">
        <f>H88*(1+S88)</f>
        <v>21.633647000000003</v>
      </c>
      <c r="J88" s="105"/>
      <c r="K88" s="105">
        <f>G88*C88</f>
        <v>26240308.870000001</v>
      </c>
      <c r="L88" s="105">
        <f>G88*D88</f>
        <v>26956553.067289785</v>
      </c>
      <c r="M88" s="105">
        <f>G88*E88</f>
        <v>27429415.386421405</v>
      </c>
      <c r="N88" s="105"/>
      <c r="O88" s="105">
        <f>H88*D88</f>
        <v>35852215.579495415</v>
      </c>
      <c r="P88" s="105">
        <f>I88*E88</f>
        <v>48519892.877040833</v>
      </c>
      <c r="Q88" s="105"/>
      <c r="R88" s="204">
        <v>0.33</v>
      </c>
      <c r="S88" s="72">
        <f>R88</f>
        <v>0.33</v>
      </c>
      <c r="T88" s="105"/>
      <c r="U88" s="102" t="s">
        <v>106</v>
      </c>
    </row>
    <row r="89" spans="1:26" x14ac:dyDescent="0.2">
      <c r="A89" s="80">
        <f t="shared" si="4"/>
        <v>79</v>
      </c>
      <c r="B89" s="111" t="s">
        <v>107</v>
      </c>
      <c r="C89" s="103">
        <v>2227459</v>
      </c>
      <c r="D89" s="103">
        <v>2310653.8082797262</v>
      </c>
      <c r="E89" s="103">
        <v>2352216.0436157929</v>
      </c>
      <c r="F89" s="105"/>
      <c r="G89" s="88">
        <v>8.15</v>
      </c>
      <c r="H89" s="71">
        <f>G89*(1+R89)</f>
        <v>10.839500000000001</v>
      </c>
      <c r="I89" s="71">
        <f>H89*(1+S89)</f>
        <v>14.416535000000001</v>
      </c>
      <c r="J89" s="105"/>
      <c r="K89" s="105">
        <f>G89*C89</f>
        <v>18153790.850000001</v>
      </c>
      <c r="L89" s="105">
        <f>G89*D89</f>
        <v>18831828.537479769</v>
      </c>
      <c r="M89" s="105">
        <f>G89*E89</f>
        <v>19170560.755468711</v>
      </c>
      <c r="N89" s="105"/>
      <c r="O89" s="105">
        <f>H89*D89</f>
        <v>25046331.954848096</v>
      </c>
      <c r="P89" s="105">
        <f>I89*E89</f>
        <v>33910804.920348607</v>
      </c>
      <c r="Q89" s="105"/>
      <c r="R89" s="74">
        <f>R88</f>
        <v>0.33</v>
      </c>
      <c r="S89" s="74">
        <f>S88</f>
        <v>0.33</v>
      </c>
      <c r="T89" s="105"/>
      <c r="U89" s="102" t="s">
        <v>106</v>
      </c>
    </row>
    <row r="90" spans="1:26" x14ac:dyDescent="0.2">
      <c r="A90" s="80">
        <f t="shared" si="4"/>
        <v>80</v>
      </c>
      <c r="B90" s="106" t="s">
        <v>74</v>
      </c>
      <c r="C90" s="129">
        <f>SUM(C88:C89)</f>
        <v>4373028</v>
      </c>
      <c r="D90" s="129">
        <f>SUM(D88:D89)</f>
        <v>4514787.3379027667</v>
      </c>
      <c r="E90" s="129">
        <f>SUM(E88:E89)</f>
        <v>4595013.7039936669</v>
      </c>
      <c r="F90" s="105"/>
      <c r="G90" s="108"/>
      <c r="K90" s="132">
        <f>SUM(K88:K89)</f>
        <v>44394099.719999999</v>
      </c>
      <c r="L90" s="132">
        <f>SUM(L88:L89)</f>
        <v>45788381.604769558</v>
      </c>
      <c r="M90" s="132">
        <f>SUM(M88:M89)</f>
        <v>46599976.141890116</v>
      </c>
      <c r="N90" s="132"/>
      <c r="O90" s="132">
        <f>SUM(O88:O89)</f>
        <v>60898547.534343511</v>
      </c>
      <c r="P90" s="132">
        <f>SUM(P88:P89)</f>
        <v>82430697.797389448</v>
      </c>
    </row>
    <row r="91" spans="1:26" x14ac:dyDescent="0.2">
      <c r="A91" s="80">
        <f t="shared" si="4"/>
        <v>81</v>
      </c>
      <c r="C91" s="103"/>
      <c r="D91" s="103"/>
      <c r="E91" s="103"/>
      <c r="F91" s="105"/>
      <c r="G91" s="103"/>
      <c r="K91" s="124"/>
      <c r="L91" s="124"/>
      <c r="M91" s="124"/>
      <c r="N91" s="124"/>
      <c r="O91" s="124"/>
      <c r="P91" s="124"/>
      <c r="U91" s="74"/>
    </row>
    <row r="92" spans="1:26" x14ac:dyDescent="0.2">
      <c r="A92" s="80">
        <f t="shared" si="4"/>
        <v>82</v>
      </c>
      <c r="B92" s="79" t="s">
        <v>108</v>
      </c>
      <c r="C92" s="103">
        <v>716546266</v>
      </c>
      <c r="D92" s="103">
        <v>798755476.69555104</v>
      </c>
      <c r="E92" s="103">
        <v>814488448.04873681</v>
      </c>
      <c r="F92" s="105"/>
      <c r="G92" s="133">
        <v>1.2999999999999999E-3</v>
      </c>
      <c r="H92" s="75">
        <f>G92*(1+R92)</f>
        <v>1.6899999999999999E-3</v>
      </c>
      <c r="I92" s="75">
        <f>H92*(1+S92)</f>
        <v>2.1969999999999997E-3</v>
      </c>
      <c r="J92" s="105"/>
      <c r="K92" s="105">
        <f>G92*C92</f>
        <v>931510.14579999994</v>
      </c>
      <c r="L92" s="105">
        <f>G92*D92</f>
        <v>1038382.1197042163</v>
      </c>
      <c r="M92" s="105">
        <f>G92*E92</f>
        <v>1058834.9824633577</v>
      </c>
      <c r="N92" s="105"/>
      <c r="O92" s="105">
        <f>H92*D92</f>
        <v>1349896.7556154812</v>
      </c>
      <c r="P92" s="105">
        <f>I92*E92</f>
        <v>1789431.1203630746</v>
      </c>
      <c r="Q92" s="105"/>
      <c r="R92" s="72">
        <v>0.3</v>
      </c>
      <c r="S92" s="72">
        <f>R92</f>
        <v>0.3</v>
      </c>
      <c r="T92" s="105"/>
      <c r="U92" s="102" t="s">
        <v>109</v>
      </c>
    </row>
    <row r="93" spans="1:26" x14ac:dyDescent="0.2">
      <c r="A93" s="80">
        <f t="shared" si="4"/>
        <v>83</v>
      </c>
      <c r="C93" s="103"/>
      <c r="D93" s="103"/>
      <c r="E93" s="103"/>
      <c r="G93" s="103"/>
      <c r="K93" s="124"/>
      <c r="L93" s="124"/>
      <c r="M93" s="124"/>
      <c r="N93" s="124"/>
      <c r="O93" s="124"/>
      <c r="P93" s="124"/>
    </row>
    <row r="94" spans="1:26" ht="12" thickBot="1" x14ac:dyDescent="0.25">
      <c r="A94" s="80">
        <f t="shared" si="4"/>
        <v>84</v>
      </c>
      <c r="B94" s="79" t="s">
        <v>110</v>
      </c>
      <c r="C94" s="103"/>
      <c r="D94" s="103"/>
      <c r="E94" s="103"/>
      <c r="G94" s="103"/>
      <c r="K94" s="134">
        <f>SUM(K80,K86,K90,K92)</f>
        <v>149989923.88150999</v>
      </c>
      <c r="L94" s="134">
        <f>SUM(L80,L86,L90,L92)</f>
        <v>163222100.14390555</v>
      </c>
      <c r="M94" s="134">
        <f>SUM(M80,M86,M90,M92)</f>
        <v>166730565.00292003</v>
      </c>
      <c r="N94" s="134"/>
      <c r="O94" s="134">
        <f>SUM(O80,O86,O90,O92)</f>
        <v>207377307.71851885</v>
      </c>
      <c r="P94" s="134">
        <f>SUM(P80,P86,P90,P92)</f>
        <v>230648573.39591467</v>
      </c>
      <c r="R94" s="119">
        <v>211393611.06507736</v>
      </c>
      <c r="S94" s="119">
        <v>235781631.70379132</v>
      </c>
    </row>
    <row r="95" spans="1:26" ht="12" thickTop="1" x14ac:dyDescent="0.2">
      <c r="A95" s="80">
        <f t="shared" si="4"/>
        <v>85</v>
      </c>
      <c r="B95" s="102" t="s">
        <v>111</v>
      </c>
      <c r="C95" s="103"/>
      <c r="D95" s="103"/>
      <c r="E95" s="103"/>
      <c r="G95" s="103"/>
      <c r="K95" s="124"/>
      <c r="L95" s="124"/>
      <c r="M95" s="124"/>
      <c r="N95" s="124"/>
      <c r="O95" s="124"/>
      <c r="P95" s="124"/>
      <c r="R95" s="105">
        <f>R94-L94-L114-L145</f>
        <v>45146023.669125237</v>
      </c>
      <c r="S95" s="105">
        <f>S94-M94-M114-M145-R95</f>
        <v>20821961.690108314</v>
      </c>
      <c r="T95" s="105"/>
    </row>
    <row r="96" spans="1:26" x14ac:dyDescent="0.2">
      <c r="A96" s="80">
        <f t="shared" si="4"/>
        <v>86</v>
      </c>
      <c r="B96" s="102" t="s">
        <v>112</v>
      </c>
      <c r="C96" s="103"/>
      <c r="D96" s="103"/>
      <c r="E96" s="103"/>
      <c r="K96" s="124"/>
      <c r="L96" s="124"/>
      <c r="M96" s="124"/>
      <c r="N96" s="124"/>
      <c r="O96" s="124"/>
      <c r="P96" s="124"/>
      <c r="R96" s="76">
        <f>R95/L94</f>
        <v>0.27659259150153093</v>
      </c>
      <c r="S96" s="76">
        <f>S95/M94</f>
        <v>0.12488389090352839</v>
      </c>
      <c r="T96" s="105"/>
    </row>
    <row r="97" spans="1:21" x14ac:dyDescent="0.2">
      <c r="A97" s="80">
        <f t="shared" si="4"/>
        <v>87</v>
      </c>
      <c r="B97" s="122" t="s">
        <v>113</v>
      </c>
      <c r="C97" s="103">
        <v>-0.59200000762939453</v>
      </c>
      <c r="D97" s="103"/>
      <c r="E97" s="103"/>
      <c r="K97" s="103">
        <v>1.1184900235384703</v>
      </c>
      <c r="L97" s="105">
        <v>-1.5366822481155396E-8</v>
      </c>
      <c r="M97" s="105">
        <v>-1.1641532182693481E-8</v>
      </c>
      <c r="N97" s="124"/>
      <c r="O97" s="124"/>
      <c r="P97" s="124"/>
      <c r="R97" s="105">
        <f>R94-O94-O114-O145</f>
        <v>2.3981556296348572E-8</v>
      </c>
      <c r="S97" s="105">
        <f>S94-P94-P114-P145</f>
        <v>-1.0710209608078003E-8</v>
      </c>
      <c r="T97" s="124"/>
    </row>
    <row r="98" spans="1:21" ht="12" thickBot="1" x14ac:dyDescent="0.25">
      <c r="A98" s="80">
        <f t="shared" si="4"/>
        <v>88</v>
      </c>
      <c r="B98" s="135" t="s">
        <v>114</v>
      </c>
      <c r="D98" s="103"/>
      <c r="E98" s="103"/>
      <c r="G98" s="138">
        <f>ROUND(SUM(K90)/SUM(C90),2)</f>
        <v>10.15</v>
      </c>
      <c r="H98" s="138">
        <f>ROUND(SUM(O90)/SUM(C90),2)</f>
        <v>13.93</v>
      </c>
      <c r="I98" s="138">
        <f>ROUND(SUM(P90)/SUM(C90),2)</f>
        <v>18.850000000000001</v>
      </c>
      <c r="N98" s="124"/>
    </row>
    <row r="99" spans="1:21" ht="12" thickTop="1" x14ac:dyDescent="0.2">
      <c r="A99" s="80">
        <f t="shared" si="4"/>
        <v>89</v>
      </c>
      <c r="B99" s="125"/>
      <c r="C99" s="126"/>
      <c r="D99" s="126"/>
      <c r="E99" s="126"/>
      <c r="F99" s="126"/>
      <c r="G99" s="127"/>
      <c r="H99" s="127"/>
      <c r="I99" s="127"/>
      <c r="J99" s="126"/>
      <c r="K99" s="126"/>
      <c r="L99" s="126"/>
      <c r="M99" s="126"/>
      <c r="N99" s="124"/>
      <c r="O99" s="126"/>
      <c r="P99" s="126"/>
      <c r="Q99" s="126"/>
      <c r="R99" s="126"/>
      <c r="S99" s="126"/>
      <c r="T99" s="126"/>
      <c r="U99" s="126"/>
    </row>
    <row r="100" spans="1:21" x14ac:dyDescent="0.2">
      <c r="A100" s="80">
        <f t="shared" si="4"/>
        <v>90</v>
      </c>
      <c r="B100" s="102"/>
    </row>
    <row r="101" spans="1:21" x14ac:dyDescent="0.2">
      <c r="A101" s="80">
        <f t="shared" si="4"/>
        <v>91</v>
      </c>
      <c r="B101" s="100" t="s">
        <v>115</v>
      </c>
    </row>
    <row r="102" spans="1:21" x14ac:dyDescent="0.2">
      <c r="A102" s="80">
        <f t="shared" si="4"/>
        <v>92</v>
      </c>
      <c r="B102" s="102" t="s">
        <v>96</v>
      </c>
    </row>
    <row r="103" spans="1:21" x14ac:dyDescent="0.2">
      <c r="A103" s="80">
        <f t="shared" si="4"/>
        <v>93</v>
      </c>
    </row>
    <row r="104" spans="1:21" x14ac:dyDescent="0.2">
      <c r="A104" s="80">
        <f t="shared" si="4"/>
        <v>94</v>
      </c>
      <c r="B104" s="79" t="s">
        <v>116</v>
      </c>
      <c r="C104" s="103"/>
      <c r="F104" s="105"/>
      <c r="G104" s="108"/>
      <c r="H104" s="105"/>
      <c r="I104" s="105"/>
      <c r="J104" s="105"/>
      <c r="K104" s="124"/>
      <c r="L104" s="124"/>
      <c r="M104" s="124"/>
      <c r="N104" s="124"/>
      <c r="O104" s="124"/>
      <c r="P104" s="124"/>
      <c r="Q104" s="105"/>
      <c r="R104" s="105"/>
      <c r="S104" s="105"/>
      <c r="T104" s="105"/>
      <c r="U104" s="105"/>
    </row>
    <row r="105" spans="1:21" x14ac:dyDescent="0.2">
      <c r="A105" s="80">
        <f t="shared" si="4"/>
        <v>95</v>
      </c>
      <c r="B105" s="111" t="s">
        <v>105</v>
      </c>
      <c r="C105" s="103">
        <v>97882</v>
      </c>
      <c r="D105" s="103">
        <v>110140.17513922267</v>
      </c>
      <c r="E105" s="103">
        <v>112072.21513394637</v>
      </c>
      <c r="F105" s="105"/>
      <c r="G105" s="88">
        <v>5.79</v>
      </c>
      <c r="H105" s="71">
        <f>H88-H110</f>
        <v>8.9462450000000011</v>
      </c>
      <c r="I105" s="71">
        <f>I88-I110</f>
        <v>11.898505850000001</v>
      </c>
      <c r="J105" s="105"/>
      <c r="K105" s="105">
        <f>G105*C105</f>
        <v>566736.78</v>
      </c>
      <c r="L105" s="105">
        <f>G105*D105</f>
        <v>637711.61405609932</v>
      </c>
      <c r="M105" s="105">
        <f>G105*E105</f>
        <v>648898.12562554947</v>
      </c>
      <c r="N105" s="105"/>
      <c r="O105" s="105">
        <f>H105*D105</f>
        <v>985340.99113839527</v>
      </c>
      <c r="P105" s="105">
        <f>I105*E105</f>
        <v>1333491.9073937195</v>
      </c>
      <c r="Q105" s="105"/>
      <c r="R105" s="72"/>
      <c r="S105" s="72"/>
      <c r="T105" s="105"/>
      <c r="U105" s="105"/>
    </row>
    <row r="106" spans="1:21" x14ac:dyDescent="0.2">
      <c r="A106" s="80">
        <f t="shared" si="4"/>
        <v>96</v>
      </c>
      <c r="B106" s="111" t="s">
        <v>107</v>
      </c>
      <c r="C106" s="103">
        <v>97918</v>
      </c>
      <c r="D106" s="103">
        <v>111217.80136788196</v>
      </c>
      <c r="E106" s="103">
        <v>113218.30028184659</v>
      </c>
      <c r="F106" s="105"/>
      <c r="G106" s="88">
        <v>3.86</v>
      </c>
      <c r="H106" s="71">
        <f>H89-H111</f>
        <v>5.9617250000000004</v>
      </c>
      <c r="I106" s="71">
        <f>I89-I111</f>
        <v>7.9290942500000003</v>
      </c>
      <c r="J106" s="105"/>
      <c r="K106" s="105">
        <f>G106*C106</f>
        <v>377963.48</v>
      </c>
      <c r="L106" s="105">
        <f>G106*D106</f>
        <v>429300.71328002436</v>
      </c>
      <c r="M106" s="105">
        <f>G106*E106</f>
        <v>437022.63908792782</v>
      </c>
      <c r="N106" s="105"/>
      <c r="O106" s="105">
        <f>H106*D106</f>
        <v>663049.94685993611</v>
      </c>
      <c r="P106" s="105">
        <f>I106*E106</f>
        <v>897718.57375956327</v>
      </c>
      <c r="Q106" s="105"/>
      <c r="R106" s="72"/>
      <c r="S106" s="72"/>
      <c r="T106" s="105"/>
      <c r="U106" s="105"/>
    </row>
    <row r="107" spans="1:21" x14ac:dyDescent="0.2">
      <c r="A107" s="80">
        <f t="shared" si="4"/>
        <v>97</v>
      </c>
      <c r="B107" s="106" t="s">
        <v>74</v>
      </c>
      <c r="C107" s="129">
        <f>SUM(C105:C106)</f>
        <v>195800</v>
      </c>
      <c r="D107" s="129">
        <f>SUM(D105:D106)</f>
        <v>221357.97650710464</v>
      </c>
      <c r="E107" s="129">
        <f>SUM(E105:E106)</f>
        <v>225290.51541579296</v>
      </c>
      <c r="F107" s="105"/>
      <c r="G107" s="108"/>
      <c r="H107" s="105"/>
      <c r="I107" s="105"/>
      <c r="J107" s="105"/>
      <c r="K107" s="132">
        <f>SUM(K105:K106)</f>
        <v>944700.26</v>
      </c>
      <c r="L107" s="132">
        <f>SUM(L105:L106)</f>
        <v>1067012.3273361237</v>
      </c>
      <c r="M107" s="132">
        <f>SUM(M105:M106)</f>
        <v>1085920.7647134773</v>
      </c>
      <c r="N107" s="132"/>
      <c r="O107" s="132">
        <f>SUM(O105:O106)</f>
        <v>1648390.9379983314</v>
      </c>
      <c r="P107" s="132">
        <f>SUM(P105:P106)</f>
        <v>2231210.4811532828</v>
      </c>
      <c r="Q107" s="105"/>
      <c r="R107" s="72"/>
      <c r="S107" s="72"/>
      <c r="T107" s="105"/>
      <c r="U107" s="105"/>
    </row>
    <row r="108" spans="1:21" x14ac:dyDescent="0.2">
      <c r="A108" s="80">
        <f t="shared" si="4"/>
        <v>98</v>
      </c>
      <c r="B108" s="106"/>
      <c r="C108" s="103"/>
      <c r="D108" s="103"/>
      <c r="E108" s="103"/>
      <c r="F108" s="105"/>
      <c r="G108" s="108"/>
      <c r="H108" s="105"/>
      <c r="I108" s="105"/>
      <c r="J108" s="105"/>
      <c r="K108" s="124"/>
      <c r="L108" s="124"/>
      <c r="M108" s="124"/>
      <c r="N108" s="124"/>
      <c r="O108" s="124"/>
      <c r="P108" s="124"/>
      <c r="Q108" s="105"/>
      <c r="R108" s="72"/>
      <c r="S108" s="72"/>
      <c r="T108" s="105"/>
      <c r="U108" s="105"/>
    </row>
    <row r="109" spans="1:21" x14ac:dyDescent="0.2">
      <c r="A109" s="80">
        <f t="shared" si="4"/>
        <v>99</v>
      </c>
      <c r="B109" s="79" t="s">
        <v>117</v>
      </c>
      <c r="C109" s="103"/>
      <c r="D109" s="103"/>
      <c r="E109" s="103"/>
      <c r="F109" s="105"/>
      <c r="G109" s="108"/>
      <c r="H109" s="105"/>
      <c r="I109" s="105"/>
      <c r="J109" s="105"/>
      <c r="K109" s="124"/>
      <c r="L109" s="124"/>
      <c r="M109" s="124"/>
      <c r="N109" s="124"/>
      <c r="O109" s="124"/>
      <c r="P109" s="124"/>
      <c r="Q109" s="105"/>
      <c r="R109" s="72"/>
      <c r="S109" s="72"/>
      <c r="T109" s="105"/>
      <c r="U109" s="105"/>
    </row>
    <row r="110" spans="1:21" x14ac:dyDescent="0.2">
      <c r="A110" s="80">
        <f t="shared" si="4"/>
        <v>100</v>
      </c>
      <c r="B110" s="111" t="s">
        <v>105</v>
      </c>
      <c r="C110" s="103">
        <v>73992</v>
      </c>
      <c r="D110" s="103">
        <v>83258.329814484416</v>
      </c>
      <c r="E110" s="103">
        <v>84718.817986871538</v>
      </c>
      <c r="F110" s="105"/>
      <c r="G110" s="88">
        <v>6.44</v>
      </c>
      <c r="H110" s="71">
        <f>IF(SUM(L118:L119)&gt;45%,$H$88*R110,$H$88*SUM(L118:L119))</f>
        <v>7.3196550000000009</v>
      </c>
      <c r="I110" s="71">
        <f>IF(SUM(M118:M119)&gt;45%,$I$88*S110,$I$88*SUM(M118:M119))</f>
        <v>9.7351411500000022</v>
      </c>
      <c r="J110" s="105"/>
      <c r="K110" s="105">
        <f>G110*C110</f>
        <v>476508.48000000004</v>
      </c>
      <c r="L110" s="105">
        <f>G110*D110</f>
        <v>536183.64400527964</v>
      </c>
      <c r="M110" s="105">
        <f>G110*E110</f>
        <v>545589.18783545273</v>
      </c>
      <c r="N110" s="105"/>
      <c r="O110" s="105">
        <f>H110*D110</f>
        <v>609422.25011824002</v>
      </c>
      <c r="P110" s="105">
        <f>I110*E110</f>
        <v>824749.65116335347</v>
      </c>
      <c r="Q110" s="105"/>
      <c r="R110" s="76">
        <v>0.45</v>
      </c>
      <c r="S110" s="76">
        <f>R110</f>
        <v>0.45</v>
      </c>
      <c r="T110" s="105"/>
      <c r="U110" s="79" t="s">
        <v>118</v>
      </c>
    </row>
    <row r="111" spans="1:21" x14ac:dyDescent="0.2">
      <c r="A111" s="80">
        <f t="shared" si="4"/>
        <v>101</v>
      </c>
      <c r="B111" s="111" t="s">
        <v>107</v>
      </c>
      <c r="C111" s="103">
        <v>84471</v>
      </c>
      <c r="D111" s="103">
        <v>95944.350368127998</v>
      </c>
      <c r="E111" s="103">
        <v>97670.122379009597</v>
      </c>
      <c r="F111" s="105"/>
      <c r="G111" s="88">
        <v>4.29</v>
      </c>
      <c r="H111" s="71">
        <f>IF(SUM(L118:L119)&gt;45%,$H$89*R111,$H$89*SUM(L118:L119))</f>
        <v>4.8777750000000006</v>
      </c>
      <c r="I111" s="71">
        <f>IF(SUM(M118:M119)&gt;45%,$I$89*S111,$I$89*SUM(M118:M119))</f>
        <v>6.4874407500000011</v>
      </c>
      <c r="J111" s="105"/>
      <c r="K111" s="105">
        <f>G111*C111</f>
        <v>362380.59</v>
      </c>
      <c r="L111" s="105">
        <f>G111*D111</f>
        <v>411601.26307926909</v>
      </c>
      <c r="M111" s="105">
        <f>G111*E111</f>
        <v>419004.82500595116</v>
      </c>
      <c r="N111" s="105"/>
      <c r="O111" s="105">
        <f>H111*D111</f>
        <v>467994.9536168956</v>
      </c>
      <c r="P111" s="105">
        <f>I111*E111</f>
        <v>633629.13197907386</v>
      </c>
      <c r="Q111" s="105"/>
      <c r="R111" s="76">
        <f>R110</f>
        <v>0.45</v>
      </c>
      <c r="S111" s="76">
        <f>S110</f>
        <v>0.45</v>
      </c>
      <c r="T111" s="105"/>
      <c r="U111" s="79" t="s">
        <v>118</v>
      </c>
    </row>
    <row r="112" spans="1:21" x14ac:dyDescent="0.2">
      <c r="A112" s="80">
        <f t="shared" si="4"/>
        <v>102</v>
      </c>
      <c r="B112" s="106" t="s">
        <v>74</v>
      </c>
      <c r="C112" s="129">
        <f>SUM(C110:C111)</f>
        <v>158463</v>
      </c>
      <c r="D112" s="129">
        <f>SUM(D110:D111)</f>
        <v>179202.68018261241</v>
      </c>
      <c r="E112" s="129">
        <f>SUM(E110:E111)</f>
        <v>182388.94036588114</v>
      </c>
      <c r="F112" s="105"/>
      <c r="G112" s="108"/>
      <c r="H112" s="105"/>
      <c r="I112" s="105"/>
      <c r="J112" s="105"/>
      <c r="K112" s="132">
        <f>SUM(K110:K111)</f>
        <v>838889.07000000007</v>
      </c>
      <c r="L112" s="132">
        <f>SUM(L110:L111)</f>
        <v>947784.90708454873</v>
      </c>
      <c r="M112" s="132">
        <f>SUM(M110:M111)</f>
        <v>964594.01284140395</v>
      </c>
      <c r="N112" s="132"/>
      <c r="O112" s="132">
        <f>SUM(O110:O111)</f>
        <v>1077417.2037351355</v>
      </c>
      <c r="P112" s="132">
        <f>SUM(P110:P111)</f>
        <v>1458378.7831424274</v>
      </c>
    </row>
    <row r="113" spans="1:21" x14ac:dyDescent="0.2">
      <c r="A113" s="80">
        <f t="shared" si="4"/>
        <v>103</v>
      </c>
      <c r="B113" s="106"/>
      <c r="C113" s="103"/>
      <c r="D113" s="103"/>
      <c r="E113" s="103"/>
      <c r="F113" s="105"/>
      <c r="G113" s="108"/>
      <c r="H113" s="105"/>
      <c r="I113" s="105"/>
      <c r="J113" s="105"/>
      <c r="K113" s="124"/>
      <c r="L113" s="124"/>
      <c r="M113" s="124"/>
      <c r="N113" s="124"/>
      <c r="O113" s="124"/>
      <c r="P113" s="124"/>
    </row>
    <row r="114" spans="1:21" ht="12" thickBot="1" x14ac:dyDescent="0.25">
      <c r="A114" s="80">
        <f t="shared" si="4"/>
        <v>104</v>
      </c>
      <c r="B114" s="79" t="s">
        <v>110</v>
      </c>
      <c r="C114" s="103"/>
      <c r="D114" s="103"/>
      <c r="E114" s="103"/>
      <c r="G114" s="103"/>
      <c r="K114" s="134">
        <f>SUM(K107,K112)</f>
        <v>1783589.33</v>
      </c>
      <c r="L114" s="134">
        <f>SUM(L107,L112)</f>
        <v>2014797.2344206725</v>
      </c>
      <c r="M114" s="134">
        <f>SUM(M107,M112)</f>
        <v>2050514.7775548813</v>
      </c>
      <c r="N114" s="134"/>
      <c r="O114" s="134">
        <f>SUM(O107,O112)</f>
        <v>2725808.1417334666</v>
      </c>
      <c r="P114" s="134">
        <f>SUM(P107,P112)</f>
        <v>3689589.2642957103</v>
      </c>
    </row>
    <row r="115" spans="1:21" ht="12.75" thickTop="1" thickBot="1" x14ac:dyDescent="0.25">
      <c r="A115" s="80">
        <f t="shared" si="4"/>
        <v>105</v>
      </c>
      <c r="B115" s="122" t="s">
        <v>113</v>
      </c>
      <c r="C115" s="103"/>
      <c r="D115" s="103"/>
      <c r="E115" s="103"/>
      <c r="G115" s="141">
        <f t="shared" ref="G115:I116" si="6">G88-SUM(G105,G110)</f>
        <v>0</v>
      </c>
      <c r="H115" s="141">
        <f t="shared" si="6"/>
        <v>0</v>
      </c>
      <c r="I115" s="141">
        <f t="shared" si="6"/>
        <v>0</v>
      </c>
      <c r="K115" s="124"/>
      <c r="L115" s="124"/>
      <c r="M115" s="124"/>
      <c r="N115" s="124"/>
      <c r="O115" s="124"/>
      <c r="P115" s="124"/>
    </row>
    <row r="116" spans="1:21" ht="12" thickBot="1" x14ac:dyDescent="0.25">
      <c r="A116" s="80">
        <f t="shared" si="4"/>
        <v>106</v>
      </c>
      <c r="B116" s="106"/>
      <c r="C116" s="103"/>
      <c r="D116" s="103"/>
      <c r="E116" s="103"/>
      <c r="F116" s="105"/>
      <c r="G116" s="141">
        <f t="shared" si="6"/>
        <v>0</v>
      </c>
      <c r="H116" s="141">
        <f t="shared" si="6"/>
        <v>0</v>
      </c>
      <c r="I116" s="141">
        <f t="shared" si="6"/>
        <v>0</v>
      </c>
      <c r="J116" s="105"/>
      <c r="K116" s="124"/>
      <c r="L116" s="124"/>
      <c r="M116" s="124"/>
      <c r="N116" s="124"/>
      <c r="O116" s="142" t="s">
        <v>5</v>
      </c>
      <c r="P116" s="142" t="s">
        <v>6</v>
      </c>
    </row>
    <row r="117" spans="1:21" x14ac:dyDescent="0.2">
      <c r="A117" s="80">
        <f t="shared" si="4"/>
        <v>107</v>
      </c>
      <c r="B117" s="106"/>
      <c r="C117" s="143"/>
      <c r="D117" s="143"/>
      <c r="E117" s="143"/>
      <c r="F117" s="144"/>
      <c r="G117" s="145"/>
      <c r="H117" s="144"/>
      <c r="I117" s="144"/>
      <c r="J117" s="144"/>
      <c r="K117" s="146"/>
      <c r="L117" s="146"/>
      <c r="M117" s="146"/>
      <c r="N117" s="146"/>
      <c r="O117" s="147"/>
      <c r="P117" s="147"/>
    </row>
    <row r="118" spans="1:21" x14ac:dyDescent="0.2">
      <c r="A118" s="80">
        <f t="shared" si="4"/>
        <v>108</v>
      </c>
      <c r="B118" s="114" t="s">
        <v>119</v>
      </c>
      <c r="C118" s="103"/>
      <c r="D118" s="103"/>
      <c r="E118" s="103"/>
      <c r="F118" s="105"/>
      <c r="G118" s="108"/>
      <c r="H118" s="71"/>
      <c r="I118" s="105"/>
      <c r="J118" s="105"/>
      <c r="K118" s="124"/>
      <c r="L118" s="77">
        <f>O118/O121</f>
        <v>0.35325383733556631</v>
      </c>
      <c r="M118" s="77">
        <f>P118/P121</f>
        <v>0.35325383733556631</v>
      </c>
      <c r="N118" s="77"/>
      <c r="O118" s="148">
        <v>27379202.857083168</v>
      </c>
      <c r="P118" s="148">
        <f>O118</f>
        <v>27379202.857083168</v>
      </c>
    </row>
    <row r="119" spans="1:21" x14ac:dyDescent="0.2">
      <c r="A119" s="80">
        <f t="shared" si="4"/>
        <v>109</v>
      </c>
      <c r="B119" s="106" t="s">
        <v>120</v>
      </c>
      <c r="C119" s="103"/>
      <c r="D119" s="103"/>
      <c r="E119" s="103"/>
      <c r="F119" s="105"/>
      <c r="G119" s="108"/>
      <c r="H119" s="71"/>
      <c r="I119" s="78"/>
      <c r="J119" s="105"/>
      <c r="K119" s="124"/>
      <c r="L119" s="77">
        <f>O119/O121</f>
        <v>0.17641672137128397</v>
      </c>
      <c r="M119" s="77">
        <f>P119/P121</f>
        <v>0.17641672137128397</v>
      </c>
      <c r="N119" s="77"/>
      <c r="O119" s="148">
        <v>13673309.92987233</v>
      </c>
      <c r="P119" s="148">
        <f>O119</f>
        <v>13673309.92987233</v>
      </c>
    </row>
    <row r="120" spans="1:21" x14ac:dyDescent="0.2">
      <c r="A120" s="80">
        <f t="shared" si="4"/>
        <v>110</v>
      </c>
      <c r="B120" s="106" t="s">
        <v>121</v>
      </c>
      <c r="C120" s="103"/>
      <c r="D120" s="103"/>
      <c r="E120" s="103"/>
      <c r="F120" s="105"/>
      <c r="G120" s="108"/>
      <c r="H120" s="78"/>
      <c r="I120" s="78"/>
      <c r="J120" s="105"/>
      <c r="K120" s="124"/>
      <c r="L120" s="77">
        <f>O120/O121</f>
        <v>0.47032944129314963</v>
      </c>
      <c r="M120" s="77">
        <f>P120/P121</f>
        <v>0.47032944129314963</v>
      </c>
      <c r="N120" s="77"/>
      <c r="O120" s="148">
        <v>36453235.101282865</v>
      </c>
      <c r="P120" s="148">
        <f>O120</f>
        <v>36453235.101282865</v>
      </c>
    </row>
    <row r="121" spans="1:21" ht="12" thickBot="1" x14ac:dyDescent="0.25">
      <c r="A121" s="80">
        <f t="shared" si="4"/>
        <v>111</v>
      </c>
      <c r="B121" s="106" t="s">
        <v>122</v>
      </c>
      <c r="C121" s="103"/>
      <c r="D121" s="103"/>
      <c r="E121" s="103"/>
      <c r="F121" s="105"/>
      <c r="G121" s="108"/>
      <c r="H121" s="105"/>
      <c r="I121" s="105"/>
      <c r="J121" s="105"/>
      <c r="K121" s="124"/>
      <c r="L121" s="149">
        <f>SUM(L118:L120)</f>
        <v>1</v>
      </c>
      <c r="M121" s="149">
        <f>SUM(M118:M120)</f>
        <v>1</v>
      </c>
      <c r="N121" s="150"/>
      <c r="O121" s="151">
        <f>SUM(O118:O120)</f>
        <v>77505747.88823837</v>
      </c>
      <c r="P121" s="151">
        <f>SUM(P118:P120)</f>
        <v>77505747.88823837</v>
      </c>
      <c r="R121" s="152"/>
      <c r="S121" s="152"/>
    </row>
    <row r="122" spans="1:21" ht="12.75" thickTop="1" thickBot="1" x14ac:dyDescent="0.25">
      <c r="A122" s="80">
        <f t="shared" si="4"/>
        <v>112</v>
      </c>
      <c r="B122" s="153" t="s">
        <v>123</v>
      </c>
      <c r="C122" s="154"/>
      <c r="D122" s="154"/>
      <c r="E122" s="154"/>
      <c r="F122" s="155"/>
      <c r="G122" s="156"/>
      <c r="H122" s="155"/>
      <c r="I122" s="155"/>
      <c r="J122" s="155"/>
      <c r="K122" s="157"/>
      <c r="L122" s="157"/>
      <c r="M122" s="157"/>
      <c r="N122" s="157"/>
      <c r="O122" s="158"/>
      <c r="P122" s="158"/>
      <c r="R122" s="152"/>
      <c r="S122" s="152"/>
    </row>
    <row r="123" spans="1:21" x14ac:dyDescent="0.2">
      <c r="A123" s="80">
        <f t="shared" si="4"/>
        <v>113</v>
      </c>
      <c r="B123" s="125"/>
      <c r="C123" s="126"/>
      <c r="D123" s="126"/>
      <c r="E123" s="126"/>
      <c r="F123" s="126"/>
      <c r="G123" s="127"/>
      <c r="H123" s="127"/>
      <c r="I123" s="127"/>
      <c r="J123" s="126"/>
      <c r="K123" s="126"/>
      <c r="L123" s="126"/>
      <c r="M123" s="126"/>
      <c r="N123" s="126"/>
      <c r="O123" s="126"/>
      <c r="P123" s="126"/>
      <c r="Q123" s="126"/>
      <c r="R123" s="159"/>
      <c r="S123" s="159"/>
      <c r="T123" s="126"/>
      <c r="U123" s="126"/>
    </row>
    <row r="124" spans="1:21" x14ac:dyDescent="0.2">
      <c r="A124" s="80">
        <f t="shared" si="4"/>
        <v>114</v>
      </c>
      <c r="B124" s="106"/>
      <c r="C124" s="103"/>
      <c r="D124" s="103"/>
      <c r="E124" s="103"/>
      <c r="F124" s="105"/>
      <c r="G124" s="108"/>
      <c r="H124" s="105"/>
      <c r="I124" s="105"/>
      <c r="J124" s="105"/>
      <c r="K124" s="124"/>
      <c r="L124" s="124"/>
      <c r="M124" s="124"/>
      <c r="N124" s="124"/>
      <c r="O124" s="124"/>
      <c r="P124" s="124"/>
    </row>
    <row r="125" spans="1:21" x14ac:dyDescent="0.2">
      <c r="A125" s="80">
        <f t="shared" si="4"/>
        <v>115</v>
      </c>
      <c r="B125" s="100" t="s">
        <v>124</v>
      </c>
    </row>
    <row r="126" spans="1:21" x14ac:dyDescent="0.2">
      <c r="A126" s="80">
        <f t="shared" si="4"/>
        <v>116</v>
      </c>
      <c r="B126" s="102" t="s">
        <v>96</v>
      </c>
    </row>
    <row r="127" spans="1:21" x14ac:dyDescent="0.2">
      <c r="A127" s="80">
        <f t="shared" si="4"/>
        <v>117</v>
      </c>
      <c r="B127" s="79" t="s">
        <v>35</v>
      </c>
      <c r="C127" s="103">
        <v>23</v>
      </c>
      <c r="D127" s="103">
        <v>28.326089865918249</v>
      </c>
      <c r="E127" s="103">
        <v>32.915270004111242</v>
      </c>
      <c r="G127" s="88">
        <v>109.08</v>
      </c>
      <c r="H127" s="71">
        <f>G127*(1+R127)</f>
        <v>218.16</v>
      </c>
      <c r="I127" s="71">
        <f>H127*(1+S127)</f>
        <v>436.32</v>
      </c>
      <c r="K127" s="105">
        <f>G127*C127</f>
        <v>2508.84</v>
      </c>
      <c r="L127" s="105">
        <f>G127*D127</f>
        <v>3089.8098825743627</v>
      </c>
      <c r="M127" s="105">
        <f>G127*E127</f>
        <v>3590.3976520484543</v>
      </c>
      <c r="N127" s="105"/>
      <c r="O127" s="105">
        <f>H127*D127</f>
        <v>6179.6197651487255</v>
      </c>
      <c r="P127" s="105">
        <f>I127*E127</f>
        <v>14361.590608193817</v>
      </c>
      <c r="R127" s="72">
        <f>R80</f>
        <v>1</v>
      </c>
      <c r="S127" s="72">
        <f>S80</f>
        <v>1</v>
      </c>
      <c r="U127" s="79" t="s">
        <v>97</v>
      </c>
    </row>
    <row r="128" spans="1:21" x14ac:dyDescent="0.2">
      <c r="A128" s="80">
        <f t="shared" si="4"/>
        <v>118</v>
      </c>
      <c r="B128" s="114" t="s">
        <v>125</v>
      </c>
      <c r="C128" s="160">
        <f>C127</f>
        <v>23</v>
      </c>
      <c r="D128" s="160">
        <f>D127</f>
        <v>28.326089865918249</v>
      </c>
      <c r="E128" s="160">
        <f>E127</f>
        <v>32.915270004111242</v>
      </c>
      <c r="G128" s="88">
        <v>249.03000000000003</v>
      </c>
      <c r="H128" s="71">
        <f>G128*(1+R128)</f>
        <v>498.06000000000006</v>
      </c>
      <c r="I128" s="71">
        <f>H128*(1+S128)</f>
        <v>996.12000000000012</v>
      </c>
      <c r="K128" s="105">
        <f>G128*C128</f>
        <v>5727.6900000000005</v>
      </c>
      <c r="L128" s="105">
        <f>G128*D128</f>
        <v>7054.0461593096225</v>
      </c>
      <c r="M128" s="105">
        <f>G128*E128</f>
        <v>8196.8896891238237</v>
      </c>
      <c r="N128" s="105"/>
      <c r="O128" s="105">
        <f>H128*D128</f>
        <v>14108.092318619245</v>
      </c>
      <c r="P128" s="105">
        <f>I128*E128</f>
        <v>32787.558756495295</v>
      </c>
      <c r="R128" s="72">
        <f>R127</f>
        <v>1</v>
      </c>
      <c r="S128" s="72">
        <f>S127</f>
        <v>1</v>
      </c>
      <c r="U128" s="79" t="s">
        <v>97</v>
      </c>
    </row>
    <row r="129" spans="1:21" x14ac:dyDescent="0.2">
      <c r="A129" s="80">
        <f t="shared" si="4"/>
        <v>119</v>
      </c>
      <c r="B129" s="106" t="s">
        <v>74</v>
      </c>
      <c r="C129" s="103"/>
      <c r="D129" s="103"/>
      <c r="E129" s="103"/>
      <c r="G129" s="161">
        <f>SUM(G127:G128)</f>
        <v>358.11</v>
      </c>
      <c r="H129" s="161">
        <f>SUM(H127:H128)</f>
        <v>716.22</v>
      </c>
      <c r="I129" s="161">
        <f>SUM(I127:I128)</f>
        <v>1432.44</v>
      </c>
      <c r="K129" s="132">
        <f>SUM(K127:K128)</f>
        <v>8236.5300000000007</v>
      </c>
      <c r="L129" s="132">
        <f>SUM(L127:L128)</f>
        <v>10143.856041883984</v>
      </c>
      <c r="M129" s="132">
        <f>SUM(M127:M128)</f>
        <v>11787.287341172278</v>
      </c>
      <c r="N129" s="132"/>
      <c r="O129" s="132">
        <f>SUM(O127:O128)</f>
        <v>20287.712083767969</v>
      </c>
      <c r="P129" s="132">
        <f>SUM(P127:P128)</f>
        <v>47149.14936468911</v>
      </c>
      <c r="R129" s="88"/>
      <c r="S129" s="88"/>
      <c r="U129" s="105"/>
    </row>
    <row r="130" spans="1:21" x14ac:dyDescent="0.2">
      <c r="A130" s="80">
        <f t="shared" si="4"/>
        <v>120</v>
      </c>
      <c r="B130" s="79" t="s">
        <v>98</v>
      </c>
      <c r="C130" s="103"/>
      <c r="D130" s="103"/>
      <c r="E130" s="103"/>
      <c r="G130" s="131"/>
      <c r="K130" s="124"/>
      <c r="L130" s="124"/>
      <c r="M130" s="124"/>
      <c r="N130" s="124"/>
      <c r="O130" s="124"/>
      <c r="P130" s="124"/>
      <c r="R130" s="131"/>
      <c r="S130" s="131"/>
      <c r="U130" s="105"/>
    </row>
    <row r="131" spans="1:21" x14ac:dyDescent="0.2">
      <c r="A131" s="80">
        <f t="shared" si="4"/>
        <v>121</v>
      </c>
      <c r="B131" s="111" t="s">
        <v>99</v>
      </c>
      <c r="C131" s="103">
        <v>11143500</v>
      </c>
      <c r="D131" s="103">
        <v>12472961.92827482</v>
      </c>
      <c r="E131" s="103">
        <v>12738660.410763964</v>
      </c>
      <c r="G131" s="112">
        <v>5.6055000000000001E-2</v>
      </c>
      <c r="H131" s="112">
        <f>G131+R131</f>
        <v>6.9712166215229507E-2</v>
      </c>
      <c r="I131" s="112">
        <f>H131+S131</f>
        <v>6.7051228055838283E-2</v>
      </c>
      <c r="J131" s="105"/>
      <c r="K131" s="105">
        <f>G131*C131</f>
        <v>624648.89249999996</v>
      </c>
      <c r="L131" s="105">
        <f>G131*D131</f>
        <v>699171.88088944508</v>
      </c>
      <c r="M131" s="105">
        <f>G131*E131</f>
        <v>714065.60932537401</v>
      </c>
      <c r="N131" s="105"/>
      <c r="O131" s="105">
        <f>H131*D131</f>
        <v>869517.19514012372</v>
      </c>
      <c r="P131" s="105">
        <f>I131*E131</f>
        <v>854142.82432801311</v>
      </c>
      <c r="Q131" s="105"/>
      <c r="R131" s="112">
        <f>R82</f>
        <v>1.3657166215229508E-2</v>
      </c>
      <c r="S131" s="112">
        <f>S82</f>
        <v>-2.6609381593912188E-3</v>
      </c>
      <c r="U131" s="102" t="s">
        <v>100</v>
      </c>
    </row>
    <row r="132" spans="1:21" x14ac:dyDescent="0.2">
      <c r="A132" s="80">
        <f t="shared" si="4"/>
        <v>122</v>
      </c>
      <c r="B132" s="106" t="s">
        <v>74</v>
      </c>
      <c r="C132" s="129">
        <f>SUM(C131)</f>
        <v>11143500</v>
      </c>
      <c r="D132" s="129">
        <f>SUM(D131)</f>
        <v>12472961.92827482</v>
      </c>
      <c r="E132" s="129">
        <f>SUM(E131)</f>
        <v>12738660.410763964</v>
      </c>
      <c r="G132" s="136">
        <f>SUM(G131:G131)</f>
        <v>5.6055000000000001E-2</v>
      </c>
      <c r="H132" s="136">
        <f>SUM(H131:H131)</f>
        <v>6.9712166215229507E-2</v>
      </c>
      <c r="I132" s="136">
        <f>SUM(I131:I131)</f>
        <v>6.7051228055838283E-2</v>
      </c>
      <c r="K132" s="132">
        <f>SUM(K131:K131)</f>
        <v>624648.89249999996</v>
      </c>
      <c r="L132" s="132">
        <f>SUM(L131:L131)</f>
        <v>699171.88088944508</v>
      </c>
      <c r="M132" s="132">
        <f>SUM(M131:M131)</f>
        <v>714065.60932537401</v>
      </c>
      <c r="N132" s="132"/>
      <c r="O132" s="132">
        <f>SUM(O131:O131)</f>
        <v>869517.19514012372</v>
      </c>
      <c r="P132" s="132">
        <f>SUM(P131:P131)</f>
        <v>854142.82432801311</v>
      </c>
      <c r="R132" s="162"/>
      <c r="S132" s="140"/>
      <c r="U132" s="105"/>
    </row>
    <row r="133" spans="1:21" x14ac:dyDescent="0.2">
      <c r="A133" s="80">
        <f t="shared" si="4"/>
        <v>123</v>
      </c>
      <c r="B133" s="111" t="s">
        <v>101</v>
      </c>
      <c r="C133" s="103">
        <v>0</v>
      </c>
      <c r="D133" s="103">
        <v>0</v>
      </c>
      <c r="E133" s="103">
        <v>0</v>
      </c>
      <c r="G133" s="73"/>
      <c r="K133" s="105">
        <f>G133*C133</f>
        <v>0</v>
      </c>
      <c r="L133" s="105">
        <f>G133*D133</f>
        <v>0</v>
      </c>
      <c r="M133" s="105">
        <f>G133*E133</f>
        <v>0</v>
      </c>
      <c r="N133" s="105"/>
      <c r="O133" s="105">
        <f>H133*D133</f>
        <v>0</v>
      </c>
      <c r="P133" s="105">
        <f>I133*E133</f>
        <v>0</v>
      </c>
      <c r="R133" s="112"/>
      <c r="S133" s="112"/>
      <c r="U133" s="105"/>
    </row>
    <row r="134" spans="1:21" x14ac:dyDescent="0.2">
      <c r="A134" s="80">
        <f t="shared" si="4"/>
        <v>124</v>
      </c>
      <c r="B134" s="114" t="s">
        <v>103</v>
      </c>
      <c r="C134" s="103">
        <v>0</v>
      </c>
      <c r="D134" s="103">
        <v>0</v>
      </c>
      <c r="E134" s="103">
        <v>0</v>
      </c>
      <c r="G134" s="73"/>
      <c r="K134" s="105">
        <f>G134*C134</f>
        <v>0</v>
      </c>
      <c r="L134" s="105">
        <f>G134*D134</f>
        <v>0</v>
      </c>
      <c r="M134" s="105">
        <f>G134*E134</f>
        <v>0</v>
      </c>
      <c r="N134" s="105"/>
      <c r="O134" s="105">
        <f>H134*D134</f>
        <v>0</v>
      </c>
      <c r="P134" s="105">
        <f>I134*E134</f>
        <v>0</v>
      </c>
      <c r="R134" s="112"/>
      <c r="S134" s="112"/>
      <c r="U134" s="105"/>
    </row>
    <row r="135" spans="1:21" x14ac:dyDescent="0.2">
      <c r="A135" s="80">
        <f t="shared" si="4"/>
        <v>125</v>
      </c>
      <c r="B135" s="106" t="s">
        <v>74</v>
      </c>
      <c r="C135" s="129">
        <f>SUM(C132:C134)</f>
        <v>11143500</v>
      </c>
      <c r="D135" s="129">
        <f>SUM(D132:D134)</f>
        <v>12472961.92827482</v>
      </c>
      <c r="E135" s="129">
        <f>SUM(E132:E134)</f>
        <v>12738660.410763964</v>
      </c>
      <c r="K135" s="132">
        <f>SUM(K132:K134)</f>
        <v>624648.89249999996</v>
      </c>
      <c r="L135" s="132">
        <f>SUM(L132:L134)</f>
        <v>699171.88088944508</v>
      </c>
      <c r="M135" s="132">
        <f>SUM(M132:M134)</f>
        <v>714065.60932537401</v>
      </c>
      <c r="N135" s="132"/>
      <c r="O135" s="132">
        <f>SUM(O132:O134)</f>
        <v>869517.19514012372</v>
      </c>
      <c r="P135" s="132">
        <f>SUM(P132:P134)</f>
        <v>854142.82432801311</v>
      </c>
      <c r="U135" s="105"/>
    </row>
    <row r="136" spans="1:21" x14ac:dyDescent="0.2">
      <c r="A136" s="80">
        <f t="shared" si="4"/>
        <v>126</v>
      </c>
      <c r="B136" s="79" t="s">
        <v>104</v>
      </c>
      <c r="C136" s="103"/>
      <c r="D136" s="103"/>
      <c r="E136" s="103"/>
      <c r="G136" s="108"/>
      <c r="K136" s="124"/>
      <c r="L136" s="124"/>
      <c r="M136" s="124"/>
      <c r="N136" s="124"/>
      <c r="O136" s="124"/>
      <c r="P136" s="124"/>
      <c r="R136" s="108"/>
      <c r="S136" s="108"/>
      <c r="U136" s="105"/>
    </row>
    <row r="137" spans="1:21" x14ac:dyDescent="0.2">
      <c r="A137" s="80">
        <f t="shared" si="4"/>
        <v>127</v>
      </c>
      <c r="B137" s="111" t="s">
        <v>105</v>
      </c>
      <c r="C137" s="103">
        <v>14873</v>
      </c>
      <c r="D137" s="103">
        <v>16735.608435112266</v>
      </c>
      <c r="E137" s="103">
        <v>17029.178558746087</v>
      </c>
      <c r="G137" s="88">
        <v>11.98</v>
      </c>
      <c r="H137" s="71">
        <f>G137*(1+R137)</f>
        <v>15.933400000000001</v>
      </c>
      <c r="I137" s="71">
        <f>H137*(1+S137)</f>
        <v>21.191422000000003</v>
      </c>
      <c r="K137" s="105">
        <f>G137*C137</f>
        <v>178178.54</v>
      </c>
      <c r="L137" s="105">
        <f>G137*D137</f>
        <v>200492.58905264497</v>
      </c>
      <c r="M137" s="105">
        <f>G137*E137</f>
        <v>204009.55913377812</v>
      </c>
      <c r="N137" s="105"/>
      <c r="O137" s="105">
        <f>H137*D137</f>
        <v>266655.14344001777</v>
      </c>
      <c r="P137" s="105">
        <f>I137*E137</f>
        <v>360872.50915174017</v>
      </c>
      <c r="R137" s="72">
        <f>R88</f>
        <v>0.33</v>
      </c>
      <c r="S137" s="72">
        <f>S88</f>
        <v>0.33</v>
      </c>
      <c r="U137" s="102" t="s">
        <v>126</v>
      </c>
    </row>
    <row r="138" spans="1:21" x14ac:dyDescent="0.2">
      <c r="A138" s="80">
        <f t="shared" si="4"/>
        <v>128</v>
      </c>
      <c r="B138" s="111" t="s">
        <v>107</v>
      </c>
      <c r="C138" s="103">
        <v>10732</v>
      </c>
      <c r="D138" s="103">
        <v>12189.683656530047</v>
      </c>
      <c r="E138" s="103">
        <v>12408.942162061903</v>
      </c>
      <c r="G138" s="88">
        <v>7.9</v>
      </c>
      <c r="H138" s="71">
        <f>G138*(1+R138)</f>
        <v>10.507000000000001</v>
      </c>
      <c r="I138" s="71">
        <f>H138*(1+S138)</f>
        <v>13.974310000000003</v>
      </c>
      <c r="K138" s="105">
        <f>G138*C138</f>
        <v>84782.8</v>
      </c>
      <c r="L138" s="105">
        <f>G138*D138</f>
        <v>96298.500886587382</v>
      </c>
      <c r="M138" s="105">
        <f>G138*E138</f>
        <v>98030.643080289039</v>
      </c>
      <c r="N138" s="105"/>
      <c r="O138" s="105">
        <f>H138*D138</f>
        <v>128077.00617916122</v>
      </c>
      <c r="P138" s="105">
        <f>I138*E138</f>
        <v>173406.40454472331</v>
      </c>
      <c r="R138" s="72">
        <f>R137</f>
        <v>0.33</v>
      </c>
      <c r="S138" s="72">
        <f>S137</f>
        <v>0.33</v>
      </c>
      <c r="U138" s="102" t="s">
        <v>126</v>
      </c>
    </row>
    <row r="139" spans="1:21" x14ac:dyDescent="0.2">
      <c r="A139" s="80">
        <f t="shared" si="4"/>
        <v>129</v>
      </c>
      <c r="B139" s="106" t="s">
        <v>74</v>
      </c>
      <c r="C139" s="129">
        <f>SUM(C137:C138)</f>
        <v>25605</v>
      </c>
      <c r="D139" s="129">
        <f>SUM(D137:D138)</f>
        <v>28925.292091642314</v>
      </c>
      <c r="E139" s="129">
        <f>SUM(E137:E138)</f>
        <v>29438.12072080799</v>
      </c>
      <c r="G139" s="71"/>
      <c r="H139" s="71"/>
      <c r="I139" s="71"/>
      <c r="K139" s="132">
        <f>SUM(K137:K138)</f>
        <v>262961.34000000003</v>
      </c>
      <c r="L139" s="132">
        <f>SUM(L137:L138)</f>
        <v>296791.08993923233</v>
      </c>
      <c r="M139" s="132">
        <f>SUM(M137:M138)</f>
        <v>302040.20221406716</v>
      </c>
      <c r="N139" s="132"/>
      <c r="O139" s="132">
        <f>SUM(O137:O138)</f>
        <v>394732.14961917896</v>
      </c>
      <c r="P139" s="132">
        <f>SUM(P137:P138)</f>
        <v>534278.91369646345</v>
      </c>
      <c r="R139" s="108"/>
      <c r="S139" s="108"/>
      <c r="U139" s="74"/>
    </row>
    <row r="140" spans="1:21" x14ac:dyDescent="0.2">
      <c r="A140" s="80">
        <f t="shared" ref="A140:A203" si="7">A139+1</f>
        <v>130</v>
      </c>
      <c r="B140" s="106"/>
      <c r="C140" s="103"/>
      <c r="D140" s="103"/>
      <c r="E140" s="103"/>
      <c r="G140" s="71"/>
      <c r="H140" s="71"/>
      <c r="I140" s="71"/>
      <c r="K140" s="124"/>
      <c r="L140" s="124"/>
      <c r="M140" s="124"/>
      <c r="N140" s="124"/>
      <c r="O140" s="124"/>
      <c r="P140" s="124"/>
      <c r="R140" s="103"/>
      <c r="S140" s="103"/>
      <c r="U140" s="74"/>
    </row>
    <row r="141" spans="1:21" x14ac:dyDescent="0.2">
      <c r="A141" s="80">
        <f t="shared" si="7"/>
        <v>131</v>
      </c>
      <c r="C141" s="103"/>
      <c r="D141" s="103"/>
      <c r="E141" s="103"/>
      <c r="G141" s="71"/>
      <c r="H141" s="71"/>
      <c r="I141" s="71"/>
      <c r="K141" s="124"/>
      <c r="L141" s="124"/>
      <c r="M141" s="124"/>
      <c r="N141" s="124"/>
      <c r="O141" s="124"/>
      <c r="P141" s="124"/>
      <c r="R141" s="103"/>
      <c r="S141" s="103"/>
      <c r="U141" s="74"/>
    </row>
    <row r="142" spans="1:21" x14ac:dyDescent="0.2">
      <c r="A142" s="80">
        <f t="shared" si="7"/>
        <v>132</v>
      </c>
      <c r="B142" s="79" t="s">
        <v>108</v>
      </c>
      <c r="C142" s="130">
        <v>3222826</v>
      </c>
      <c r="D142" s="130">
        <v>3608811.6183828413</v>
      </c>
      <c r="E142" s="130">
        <v>3679893.8600294953</v>
      </c>
      <c r="G142" s="133">
        <v>1.2699999999999999E-3</v>
      </c>
      <c r="H142" s="75">
        <f>G142*(1+R142)</f>
        <v>1.6509999999999999E-3</v>
      </c>
      <c r="I142" s="75">
        <f>H142*(1+S142)</f>
        <v>2.1462999999999999E-3</v>
      </c>
      <c r="K142" s="105">
        <f>G142*C142</f>
        <v>4092.9890199999995</v>
      </c>
      <c r="L142" s="105">
        <f>G142*D142</f>
        <v>4583.1907553462079</v>
      </c>
      <c r="M142" s="105">
        <f>G142*E142</f>
        <v>4673.4652022374585</v>
      </c>
      <c r="N142" s="105"/>
      <c r="O142" s="105">
        <f>H142*D142</f>
        <v>5958.147981950071</v>
      </c>
      <c r="P142" s="105">
        <f>I142*E142</f>
        <v>7898.1561917813051</v>
      </c>
      <c r="R142" s="72">
        <f>R92</f>
        <v>0.3</v>
      </c>
      <c r="S142" s="72">
        <f>S92</f>
        <v>0.3</v>
      </c>
      <c r="U142" s="102" t="s">
        <v>109</v>
      </c>
    </row>
    <row r="143" spans="1:21" x14ac:dyDescent="0.2">
      <c r="A143" s="80">
        <f t="shared" si="7"/>
        <v>133</v>
      </c>
      <c r="B143" s="106" t="s">
        <v>74</v>
      </c>
      <c r="G143" s="163">
        <f>SUM(G142:G142)</f>
        <v>1.2699999999999999E-3</v>
      </c>
      <c r="H143" s="163">
        <f>SUM(H142:H142)</f>
        <v>1.6509999999999999E-3</v>
      </c>
      <c r="I143" s="163">
        <f>SUM(I142:I142)</f>
        <v>2.1462999999999999E-3</v>
      </c>
      <c r="K143" s="132">
        <f>SUM(K140:K142)</f>
        <v>4092.9890199999995</v>
      </c>
      <c r="L143" s="132">
        <f>SUM(L140:L142)</f>
        <v>4583.1907553462079</v>
      </c>
      <c r="M143" s="132">
        <f>SUM(M140:M142)</f>
        <v>4673.4652022374585</v>
      </c>
      <c r="N143" s="132"/>
      <c r="O143" s="132">
        <f>SUM(O140:O142)</f>
        <v>5958.147981950071</v>
      </c>
      <c r="P143" s="132">
        <f>SUM(P140:P142)</f>
        <v>7898.1561917813051</v>
      </c>
    </row>
    <row r="144" spans="1:21" x14ac:dyDescent="0.2">
      <c r="A144" s="80">
        <f t="shared" si="7"/>
        <v>134</v>
      </c>
      <c r="K144" s="124"/>
      <c r="L144" s="124"/>
      <c r="M144" s="124"/>
      <c r="N144" s="124"/>
      <c r="O144" s="124"/>
      <c r="P144" s="124"/>
    </row>
    <row r="145" spans="1:21" ht="12" thickBot="1" x14ac:dyDescent="0.25">
      <c r="A145" s="80">
        <f t="shared" si="7"/>
        <v>135</v>
      </c>
      <c r="B145" s="79" t="s">
        <v>110</v>
      </c>
      <c r="K145" s="164">
        <f>SUM(K143,K139,K135,K129)</f>
        <v>899939.75151999993</v>
      </c>
      <c r="L145" s="164">
        <f>SUM(L143,L139,L135,L129)</f>
        <v>1010690.0176259076</v>
      </c>
      <c r="M145" s="164">
        <f>SUM(M143,M139,M135,M129)</f>
        <v>1032566.5640828508</v>
      </c>
      <c r="N145" s="164"/>
      <c r="O145" s="164">
        <f>SUM(O143,O139,O135,O129)</f>
        <v>1290495.2048250206</v>
      </c>
      <c r="P145" s="164">
        <f>SUM(P143,P139,P135,P129)</f>
        <v>1443469.043580947</v>
      </c>
    </row>
    <row r="146" spans="1:21" ht="12" thickTop="1" x14ac:dyDescent="0.2">
      <c r="A146" s="80">
        <f t="shared" si="7"/>
        <v>136</v>
      </c>
      <c r="B146" s="122" t="s">
        <v>113</v>
      </c>
      <c r="C146" s="103">
        <v>0</v>
      </c>
      <c r="K146" s="103">
        <v>1.2484800000675023</v>
      </c>
      <c r="L146" s="103">
        <v>0</v>
      </c>
      <c r="M146" s="103">
        <v>0</v>
      </c>
      <c r="N146" s="80"/>
      <c r="O146" s="124"/>
      <c r="P146" s="124"/>
    </row>
    <row r="147" spans="1:21" ht="12" thickBot="1" x14ac:dyDescent="0.25">
      <c r="A147" s="80">
        <f t="shared" si="7"/>
        <v>137</v>
      </c>
      <c r="K147" s="124"/>
      <c r="L147" s="124"/>
      <c r="M147" s="198" t="s">
        <v>216</v>
      </c>
      <c r="N147" s="199"/>
      <c r="O147" s="200">
        <f>'Rate Design (PSE)'!O94+'Rate Design (PSE)'!O114+'Rate Design (PSE)'!O145</f>
        <v>211393611.06507739</v>
      </c>
      <c r="P147" s="200">
        <f>'Rate Design (PSE)'!P94+'Rate Design (PSE)'!P114+'Rate Design (PSE)'!P145</f>
        <v>235781631.70379135</v>
      </c>
    </row>
    <row r="148" spans="1:21" ht="15.75" x14ac:dyDescent="0.25">
      <c r="A148" s="80">
        <f t="shared" si="7"/>
        <v>138</v>
      </c>
      <c r="B148" s="165" t="s">
        <v>162</v>
      </c>
      <c r="C148" s="166"/>
      <c r="D148" s="166"/>
      <c r="E148" s="166"/>
      <c r="F148" s="166"/>
      <c r="G148" s="167" t="s">
        <v>163</v>
      </c>
      <c r="H148" s="168" t="s">
        <v>5</v>
      </c>
      <c r="I148" s="169" t="s">
        <v>6</v>
      </c>
      <c r="K148" s="196"/>
      <c r="L148" s="197"/>
      <c r="M148" s="198" t="s">
        <v>217</v>
      </c>
      <c r="N148" s="201"/>
      <c r="O148" s="200">
        <f>O94+O114+O145</f>
        <v>211393611.06507733</v>
      </c>
      <c r="P148" s="200">
        <f>P94+P114+P145</f>
        <v>235781631.70379132</v>
      </c>
    </row>
    <row r="149" spans="1:21" ht="12" thickBot="1" x14ac:dyDescent="0.25">
      <c r="A149" s="80">
        <f t="shared" si="7"/>
        <v>139</v>
      </c>
      <c r="B149" s="170"/>
      <c r="G149" s="171"/>
      <c r="H149" s="172"/>
      <c r="I149" s="173"/>
      <c r="K149" s="101"/>
      <c r="L149" s="101"/>
      <c r="M149" s="202" t="s">
        <v>218</v>
      </c>
      <c r="N149" s="203"/>
      <c r="O149" s="200">
        <f>O148-O147</f>
        <v>0</v>
      </c>
      <c r="P149" s="200">
        <f>P148-P147</f>
        <v>0</v>
      </c>
    </row>
    <row r="150" spans="1:21" x14ac:dyDescent="0.2">
      <c r="A150" s="80">
        <f t="shared" si="7"/>
        <v>140</v>
      </c>
      <c r="B150" s="170" t="s">
        <v>164</v>
      </c>
      <c r="G150" s="174">
        <v>2.4400000000000002E-2</v>
      </c>
      <c r="H150" s="74">
        <f>G150</f>
        <v>2.4400000000000002E-2</v>
      </c>
      <c r="I150" s="175">
        <f>G150</f>
        <v>2.4400000000000002E-2</v>
      </c>
      <c r="K150" s="124"/>
      <c r="L150" s="124"/>
      <c r="M150" s="124"/>
      <c r="O150" s="124"/>
      <c r="P150" s="124"/>
    </row>
    <row r="151" spans="1:21" x14ac:dyDescent="0.2">
      <c r="A151" s="80">
        <f t="shared" si="7"/>
        <v>141</v>
      </c>
      <c r="B151" s="170" t="s">
        <v>165</v>
      </c>
      <c r="G151" s="174">
        <f t="shared" ref="G151:I152" si="8">+G150</f>
        <v>2.4400000000000002E-2</v>
      </c>
      <c r="H151" s="74">
        <f t="shared" si="8"/>
        <v>2.4400000000000002E-2</v>
      </c>
      <c r="I151" s="175">
        <f t="shared" si="8"/>
        <v>2.4400000000000002E-2</v>
      </c>
      <c r="K151" s="124"/>
      <c r="L151" s="124"/>
      <c r="M151" s="124"/>
      <c r="O151" s="124"/>
      <c r="P151" s="124"/>
    </row>
    <row r="152" spans="1:21" x14ac:dyDescent="0.2">
      <c r="A152" s="80">
        <f t="shared" si="7"/>
        <v>142</v>
      </c>
      <c r="B152" s="170" t="s">
        <v>166</v>
      </c>
      <c r="G152" s="174">
        <f t="shared" si="8"/>
        <v>2.4400000000000002E-2</v>
      </c>
      <c r="H152" s="74">
        <f t="shared" si="8"/>
        <v>2.4400000000000002E-2</v>
      </c>
      <c r="I152" s="175">
        <f t="shared" si="8"/>
        <v>2.4400000000000002E-2</v>
      </c>
      <c r="K152" s="124"/>
      <c r="L152" s="124"/>
      <c r="M152" s="124"/>
      <c r="O152" s="124"/>
      <c r="P152" s="124"/>
      <c r="R152" s="80"/>
      <c r="S152" s="80"/>
      <c r="T152" s="80"/>
      <c r="U152" s="80"/>
    </row>
    <row r="153" spans="1:21" ht="12" thickBot="1" x14ac:dyDescent="0.25">
      <c r="A153" s="80">
        <f t="shared" si="7"/>
        <v>143</v>
      </c>
      <c r="B153" s="176"/>
      <c r="C153" s="177"/>
      <c r="D153" s="177"/>
      <c r="E153" s="177"/>
      <c r="F153" s="177"/>
      <c r="G153" s="171"/>
      <c r="H153" s="172"/>
      <c r="I153" s="173"/>
      <c r="J153" s="126"/>
      <c r="K153" s="126"/>
      <c r="L153" s="126"/>
      <c r="M153" s="126"/>
      <c r="N153" s="126"/>
      <c r="O153" s="126"/>
      <c r="P153" s="126"/>
      <c r="Q153" s="126"/>
      <c r="R153" s="126"/>
      <c r="S153" s="126"/>
      <c r="T153" s="126"/>
      <c r="U153" s="126"/>
    </row>
    <row r="154" spans="1:21" x14ac:dyDescent="0.2">
      <c r="A154" s="80">
        <f t="shared" si="7"/>
        <v>144</v>
      </c>
      <c r="L154" s="124"/>
      <c r="M154" s="124"/>
    </row>
    <row r="155" spans="1:21" hidden="1" outlineLevel="1" x14ac:dyDescent="0.2">
      <c r="A155" s="80">
        <f t="shared" si="7"/>
        <v>145</v>
      </c>
      <c r="B155" s="100" t="s">
        <v>207</v>
      </c>
    </row>
    <row r="156" spans="1:21" hidden="1" outlineLevel="1" x14ac:dyDescent="0.2">
      <c r="A156" s="80">
        <f t="shared" si="7"/>
        <v>146</v>
      </c>
      <c r="B156" s="102" t="s">
        <v>167</v>
      </c>
    </row>
    <row r="157" spans="1:21" hidden="1" outlineLevel="1" x14ac:dyDescent="0.2">
      <c r="A157" s="80">
        <f t="shared" si="7"/>
        <v>147</v>
      </c>
    </row>
    <row r="158" spans="1:21" hidden="1" outlineLevel="1" x14ac:dyDescent="0.2">
      <c r="A158" s="80">
        <f t="shared" si="7"/>
        <v>148</v>
      </c>
      <c r="B158" s="79" t="s">
        <v>35</v>
      </c>
    </row>
    <row r="159" spans="1:21" hidden="1" outlineLevel="1" x14ac:dyDescent="0.2">
      <c r="A159" s="80">
        <f t="shared" si="7"/>
        <v>149</v>
      </c>
      <c r="B159" s="79" t="s">
        <v>145</v>
      </c>
      <c r="C159" s="103">
        <v>2408</v>
      </c>
      <c r="D159" s="103">
        <v>2371</v>
      </c>
      <c r="E159" s="103">
        <v>2374</v>
      </c>
      <c r="G159" s="71">
        <v>9.99</v>
      </c>
      <c r="H159" s="71">
        <f>G159*(1+R159)</f>
        <v>12.987</v>
      </c>
      <c r="I159" s="71">
        <f>H159*(1+S159)</f>
        <v>16.883100000000002</v>
      </c>
      <c r="K159" s="105">
        <f>G159*C159</f>
        <v>24055.920000000002</v>
      </c>
      <c r="L159" s="105">
        <f>G159*D159</f>
        <v>23686.29</v>
      </c>
      <c r="M159" s="105">
        <f>G159*E159</f>
        <v>23716.260000000002</v>
      </c>
      <c r="N159" s="105"/>
      <c r="O159" s="105">
        <f>H159*D159</f>
        <v>30792.177</v>
      </c>
      <c r="P159" s="105">
        <f>I159*E159</f>
        <v>40080.479400000004</v>
      </c>
      <c r="R159" s="72">
        <v>0.3</v>
      </c>
      <c r="S159" s="72">
        <f>R159</f>
        <v>0.3</v>
      </c>
      <c r="U159" s="79" t="s">
        <v>97</v>
      </c>
    </row>
    <row r="160" spans="1:21" hidden="1" outlineLevel="1" x14ac:dyDescent="0.2">
      <c r="A160" s="80">
        <f t="shared" si="7"/>
        <v>150</v>
      </c>
      <c r="B160" s="79" t="s">
        <v>146</v>
      </c>
      <c r="C160" s="103">
        <v>5641</v>
      </c>
      <c r="D160" s="103">
        <v>5554</v>
      </c>
      <c r="E160" s="103">
        <v>5560</v>
      </c>
      <c r="G160" s="71">
        <v>25.36</v>
      </c>
      <c r="H160" s="71">
        <f>G160*(1+R160)</f>
        <v>32.968000000000004</v>
      </c>
      <c r="I160" s="71">
        <f>H160*(1+S160)</f>
        <v>42.858400000000003</v>
      </c>
      <c r="K160" s="105">
        <f>G160*C160</f>
        <v>143055.76</v>
      </c>
      <c r="L160" s="105">
        <f>G160*D160</f>
        <v>140849.44</v>
      </c>
      <c r="M160" s="105">
        <f>G160*E160</f>
        <v>141001.60000000001</v>
      </c>
      <c r="N160" s="105"/>
      <c r="O160" s="105">
        <f>H160*D160</f>
        <v>183104.27200000003</v>
      </c>
      <c r="P160" s="105">
        <f>I160*E160</f>
        <v>238292.70400000003</v>
      </c>
      <c r="R160" s="74">
        <f>R159</f>
        <v>0.3</v>
      </c>
      <c r="S160" s="74">
        <f>S159</f>
        <v>0.3</v>
      </c>
      <c r="U160" s="79" t="s">
        <v>97</v>
      </c>
    </row>
    <row r="161" spans="1:21" hidden="1" outlineLevel="1" x14ac:dyDescent="0.2">
      <c r="A161" s="80">
        <f t="shared" si="7"/>
        <v>151</v>
      </c>
      <c r="B161" s="106" t="s">
        <v>74</v>
      </c>
      <c r="C161" s="129">
        <f>SUM(C159:C160)</f>
        <v>8049</v>
      </c>
      <c r="D161" s="129">
        <f>SUM(D159:D160)</f>
        <v>7925</v>
      </c>
      <c r="E161" s="129">
        <f>SUM(E159:E160)</f>
        <v>7934</v>
      </c>
      <c r="H161" s="71"/>
      <c r="I161" s="71"/>
      <c r="K161" s="109">
        <f>SUM(K159:K160)</f>
        <v>167111.68000000002</v>
      </c>
      <c r="L161" s="109">
        <f>SUM(L159:L160)</f>
        <v>164535.73000000001</v>
      </c>
      <c r="M161" s="109">
        <f>SUM(M159:M160)</f>
        <v>164717.86000000002</v>
      </c>
      <c r="N161" s="109"/>
      <c r="O161" s="109">
        <f>SUM(O159:O160)</f>
        <v>213896.44900000002</v>
      </c>
      <c r="P161" s="109">
        <f>SUM(P159:P160)</f>
        <v>278373.18340000004</v>
      </c>
      <c r="R161" s="74"/>
      <c r="S161" s="74"/>
      <c r="T161" s="103"/>
    </row>
    <row r="162" spans="1:21" hidden="1" outlineLevel="1" x14ac:dyDescent="0.2">
      <c r="A162" s="80">
        <f t="shared" si="7"/>
        <v>152</v>
      </c>
      <c r="B162" s="79" t="s">
        <v>98</v>
      </c>
      <c r="C162" s="103"/>
      <c r="D162" s="103"/>
      <c r="E162" s="103"/>
    </row>
    <row r="163" spans="1:21" hidden="1" outlineLevel="1" x14ac:dyDescent="0.2">
      <c r="A163" s="80">
        <f t="shared" si="7"/>
        <v>153</v>
      </c>
      <c r="B163" s="111" t="s">
        <v>156</v>
      </c>
      <c r="C163" s="103">
        <v>2226431</v>
      </c>
      <c r="D163" s="103">
        <v>2661144.0277310261</v>
      </c>
      <c r="E163" s="103">
        <v>2648258.454874211</v>
      </c>
      <c r="G163" s="112">
        <v>9.1401999999999997E-2</v>
      </c>
      <c r="H163" s="112">
        <f t="shared" ref="H163:I166" si="9">G163+R163</f>
        <v>0.11094529924015289</v>
      </c>
      <c r="I163" s="112">
        <f t="shared" si="9"/>
        <v>0.11564261362040162</v>
      </c>
      <c r="J163" s="105"/>
      <c r="K163" s="105">
        <f>G163*C163</f>
        <v>203500.246262</v>
      </c>
      <c r="L163" s="105">
        <f>G163*D163</f>
        <v>243233.88642267123</v>
      </c>
      <c r="M163" s="105">
        <f>G163*E163</f>
        <v>242056.11929241262</v>
      </c>
      <c r="N163" s="105"/>
      <c r="O163" s="105">
        <f t="shared" ref="O163:P166" si="10">H163*D163</f>
        <v>295241.42047776445</v>
      </c>
      <c r="P163" s="105">
        <f t="shared" si="10"/>
        <v>306251.52926398022</v>
      </c>
      <c r="Q163" s="105"/>
      <c r="R163" s="112">
        <f>(R180-(O161-L161)-(O175-L175)-(O177-L177))/D171</f>
        <v>1.9543299240152898E-2</v>
      </c>
      <c r="S163" s="112">
        <f>((S180+R180)-(P161-M161)-(P175-M175)-(P177-M177))/E171-R163</f>
        <v>4.6973143802487363E-3</v>
      </c>
      <c r="U163" s="102" t="s">
        <v>100</v>
      </c>
    </row>
    <row r="164" spans="1:21" hidden="1" outlineLevel="1" x14ac:dyDescent="0.2">
      <c r="A164" s="80">
        <f t="shared" si="7"/>
        <v>154</v>
      </c>
      <c r="B164" s="111" t="s">
        <v>168</v>
      </c>
      <c r="C164" s="103">
        <v>138829</v>
      </c>
      <c r="D164" s="103">
        <v>116141.4176140801</v>
      </c>
      <c r="E164" s="103">
        <v>115560.92791562511</v>
      </c>
      <c r="G164" s="112">
        <v>6.9417000000000006E-2</v>
      </c>
      <c r="H164" s="112">
        <f t="shared" si="9"/>
        <v>8.8960299240152904E-2</v>
      </c>
      <c r="I164" s="112">
        <f t="shared" si="9"/>
        <v>9.3657613620401647E-2</v>
      </c>
      <c r="J164" s="105"/>
      <c r="K164" s="105">
        <f>G164*C164</f>
        <v>9637.0926930000005</v>
      </c>
      <c r="L164" s="105">
        <f>G164*D164</f>
        <v>8062.1887865165991</v>
      </c>
      <c r="M164" s="105">
        <f>G164*E164</f>
        <v>8021.8929331189493</v>
      </c>
      <c r="N164" s="105"/>
      <c r="O164" s="105">
        <f t="shared" si="10"/>
        <v>10331.975265124131</v>
      </c>
      <c r="P164" s="105">
        <f t="shared" si="10"/>
        <v>10823.160736336704</v>
      </c>
      <c r="Q164" s="105"/>
      <c r="R164" s="112">
        <f>R163</f>
        <v>1.9543299240152898E-2</v>
      </c>
      <c r="S164" s="112">
        <f>S163</f>
        <v>4.6973143802487363E-3</v>
      </c>
      <c r="T164" s="105"/>
      <c r="U164" s="102" t="s">
        <v>100</v>
      </c>
    </row>
    <row r="165" spans="1:21" hidden="1" outlineLevel="1" x14ac:dyDescent="0.2">
      <c r="A165" s="80">
        <f t="shared" si="7"/>
        <v>155</v>
      </c>
      <c r="B165" s="111" t="s">
        <v>157</v>
      </c>
      <c r="C165" s="103">
        <v>11632056</v>
      </c>
      <c r="D165" s="103">
        <v>11466316.070467897</v>
      </c>
      <c r="E165" s="103">
        <v>11396563.38221856</v>
      </c>
      <c r="G165" s="112">
        <v>6.3336000000000003E-2</v>
      </c>
      <c r="H165" s="112">
        <f t="shared" si="9"/>
        <v>8.2879299240152901E-2</v>
      </c>
      <c r="I165" s="112">
        <f t="shared" si="9"/>
        <v>8.7576613620401644E-2</v>
      </c>
      <c r="J165" s="105"/>
      <c r="K165" s="105">
        <f>G165*C165</f>
        <v>736727.89881600009</v>
      </c>
      <c r="L165" s="105">
        <f>G165*D165</f>
        <v>726230.59463915473</v>
      </c>
      <c r="M165" s="105">
        <f>G165*E165</f>
        <v>721812.73837619473</v>
      </c>
      <c r="N165" s="105"/>
      <c r="O165" s="105">
        <f t="shared" si="10"/>
        <v>950320.24078648293</v>
      </c>
      <c r="P165" s="105">
        <f t="shared" si="10"/>
        <v>998072.42792497261</v>
      </c>
      <c r="Q165" s="105"/>
      <c r="R165" s="112">
        <f>R164</f>
        <v>1.9543299240152898E-2</v>
      </c>
      <c r="S165" s="112">
        <f>S163</f>
        <v>4.6973143802487363E-3</v>
      </c>
      <c r="T165" s="105"/>
      <c r="U165" s="102" t="s">
        <v>100</v>
      </c>
    </row>
    <row r="166" spans="1:21" hidden="1" outlineLevel="1" x14ac:dyDescent="0.2">
      <c r="A166" s="80">
        <f t="shared" si="7"/>
        <v>156</v>
      </c>
      <c r="B166" s="111" t="s">
        <v>169</v>
      </c>
      <c r="C166" s="103">
        <v>813796</v>
      </c>
      <c r="D166" s="103">
        <v>686458.11507446249</v>
      </c>
      <c r="E166" s="103">
        <v>682643.59650109964</v>
      </c>
      <c r="G166" s="112">
        <v>5.4267999999999997E-2</v>
      </c>
      <c r="H166" s="112">
        <f t="shared" si="9"/>
        <v>7.3811299240152894E-2</v>
      </c>
      <c r="I166" s="112">
        <f t="shared" si="9"/>
        <v>7.8508613620401624E-2</v>
      </c>
      <c r="J166" s="105"/>
      <c r="K166" s="105">
        <f>G166*C166</f>
        <v>44163.081328</v>
      </c>
      <c r="L166" s="105">
        <f>G166*D166</f>
        <v>37252.708988860926</v>
      </c>
      <c r="M166" s="105">
        <f>G166*E166</f>
        <v>37045.702694921674</v>
      </c>
      <c r="N166" s="105"/>
      <c r="O166" s="105">
        <f t="shared" si="10"/>
        <v>50668.365347592458</v>
      </c>
      <c r="P166" s="105">
        <f t="shared" si="10"/>
        <v>53593.402358146181</v>
      </c>
      <c r="Q166" s="105"/>
      <c r="R166" s="178">
        <f>R165</f>
        <v>1.9543299240152898E-2</v>
      </c>
      <c r="S166" s="178">
        <f>S165</f>
        <v>4.6973143802487363E-3</v>
      </c>
      <c r="T166" s="105"/>
      <c r="U166" s="102" t="s">
        <v>100</v>
      </c>
    </row>
    <row r="167" spans="1:21" hidden="1" outlineLevel="1" x14ac:dyDescent="0.2">
      <c r="A167" s="80">
        <f t="shared" si="7"/>
        <v>157</v>
      </c>
      <c r="B167" s="106" t="s">
        <v>74</v>
      </c>
      <c r="C167" s="129">
        <f>SUM(C163:C166)</f>
        <v>14811112</v>
      </c>
      <c r="D167" s="129">
        <f>SUM(D163:D166)</f>
        <v>14930059.630887466</v>
      </c>
      <c r="E167" s="129">
        <f>SUM(E163:E166)</f>
        <v>14843026.361509496</v>
      </c>
      <c r="G167" s="112"/>
      <c r="H167" s="105"/>
      <c r="I167" s="105"/>
      <c r="J167" s="105"/>
      <c r="K167" s="132">
        <f>SUM(K163:K166)</f>
        <v>994028.31909900019</v>
      </c>
      <c r="L167" s="132">
        <f>SUM(L163:L166)</f>
        <v>1014779.3788372035</v>
      </c>
      <c r="M167" s="132">
        <f>SUM(M163:M166)</f>
        <v>1008936.453296648</v>
      </c>
      <c r="N167" s="132"/>
      <c r="O167" s="132">
        <f>SUM(O163:O166)</f>
        <v>1306562.001876964</v>
      </c>
      <c r="P167" s="132">
        <f>SUM(P163:P166)</f>
        <v>1368740.5202834357</v>
      </c>
      <c r="Q167" s="105"/>
      <c r="R167" s="105"/>
      <c r="S167" s="105"/>
      <c r="T167" s="105"/>
    </row>
    <row r="168" spans="1:21" hidden="1" outlineLevel="1" x14ac:dyDescent="0.2">
      <c r="A168" s="80">
        <f t="shared" si="7"/>
        <v>158</v>
      </c>
      <c r="B168" s="111" t="s">
        <v>153</v>
      </c>
      <c r="C168" s="103">
        <v>0</v>
      </c>
      <c r="D168" s="103">
        <v>0</v>
      </c>
      <c r="E168" s="103">
        <v>0</v>
      </c>
      <c r="K168" s="105">
        <f>G168*C168</f>
        <v>0</v>
      </c>
      <c r="L168" s="105">
        <f>G168*D168</f>
        <v>0</v>
      </c>
      <c r="M168" s="105">
        <f>G168*E168</f>
        <v>0</v>
      </c>
      <c r="N168" s="105"/>
      <c r="O168" s="105">
        <f t="shared" ref="O168:P170" si="11">H168*D168</f>
        <v>0</v>
      </c>
      <c r="P168" s="105">
        <f t="shared" si="11"/>
        <v>0</v>
      </c>
    </row>
    <row r="169" spans="1:21" hidden="1" outlineLevel="1" x14ac:dyDescent="0.2">
      <c r="A169" s="80">
        <f t="shared" si="7"/>
        <v>159</v>
      </c>
      <c r="B169" s="111" t="s">
        <v>154</v>
      </c>
      <c r="C169" s="103">
        <v>0</v>
      </c>
      <c r="D169" s="103">
        <v>0</v>
      </c>
      <c r="E169" s="103">
        <v>0</v>
      </c>
      <c r="K169" s="105">
        <f>G169*C169</f>
        <v>0</v>
      </c>
      <c r="L169" s="105">
        <f>G169*D169</f>
        <v>0</v>
      </c>
      <c r="M169" s="105">
        <f>G169*E169</f>
        <v>0</v>
      </c>
      <c r="N169" s="105"/>
      <c r="O169" s="105">
        <f t="shared" si="11"/>
        <v>0</v>
      </c>
      <c r="P169" s="105">
        <f t="shared" si="11"/>
        <v>0</v>
      </c>
    </row>
    <row r="170" spans="1:21" ht="12" hidden="1" customHeight="1" outlineLevel="1" x14ac:dyDescent="0.2">
      <c r="A170" s="80">
        <f t="shared" si="7"/>
        <v>160</v>
      </c>
      <c r="B170" s="114" t="s">
        <v>103</v>
      </c>
      <c r="C170" s="103">
        <v>-1239256</v>
      </c>
      <c r="D170" s="103">
        <v>0</v>
      </c>
      <c r="E170" s="103">
        <v>0</v>
      </c>
      <c r="K170" s="103">
        <v>-85854</v>
      </c>
      <c r="L170" s="105">
        <f>G170*D170</f>
        <v>0</v>
      </c>
      <c r="M170" s="105">
        <f>G170*E170</f>
        <v>0</v>
      </c>
      <c r="N170" s="105"/>
      <c r="O170" s="105">
        <f t="shared" si="11"/>
        <v>0</v>
      </c>
      <c r="P170" s="105">
        <f t="shared" si="11"/>
        <v>0</v>
      </c>
    </row>
    <row r="171" spans="1:21" hidden="1" outlineLevel="1" x14ac:dyDescent="0.2">
      <c r="A171" s="80">
        <f t="shared" si="7"/>
        <v>161</v>
      </c>
      <c r="B171" s="106" t="s">
        <v>74</v>
      </c>
      <c r="C171" s="129">
        <f>SUM(C167:C170)</f>
        <v>13571856</v>
      </c>
      <c r="D171" s="129">
        <f>SUM(D167:D170)</f>
        <v>14930059.630887466</v>
      </c>
      <c r="E171" s="129">
        <f>SUM(E167:E170)</f>
        <v>14843026.361509496</v>
      </c>
      <c r="K171" s="132">
        <f>SUM(K167:K170)</f>
        <v>908174.31909900019</v>
      </c>
      <c r="L171" s="132">
        <f>SUM(L167:L170)</f>
        <v>1014779.3788372035</v>
      </c>
      <c r="M171" s="132">
        <f>SUM(M167:M170)</f>
        <v>1008936.453296648</v>
      </c>
      <c r="N171" s="132"/>
      <c r="O171" s="132">
        <f>SUM(O167:O170)</f>
        <v>1306562.001876964</v>
      </c>
      <c r="P171" s="132">
        <f>SUM(P167:P170)</f>
        <v>1368740.5202834357</v>
      </c>
    </row>
    <row r="172" spans="1:21" hidden="1" outlineLevel="1" x14ac:dyDescent="0.2">
      <c r="A172" s="80">
        <f t="shared" si="7"/>
        <v>162</v>
      </c>
      <c r="B172" s="79" t="s">
        <v>104</v>
      </c>
      <c r="C172" s="103"/>
      <c r="D172" s="103"/>
      <c r="E172" s="103"/>
    </row>
    <row r="173" spans="1:21" hidden="1" outlineLevel="1" x14ac:dyDescent="0.2">
      <c r="A173" s="80">
        <f t="shared" si="7"/>
        <v>163</v>
      </c>
      <c r="B173" s="111" t="s">
        <v>159</v>
      </c>
      <c r="C173" s="103">
        <v>7084</v>
      </c>
      <c r="D173" s="103">
        <v>1907.5395419748068</v>
      </c>
      <c r="E173" s="103">
        <v>1887.5913638261097</v>
      </c>
      <c r="G173" s="88">
        <v>9.2200000000000006</v>
      </c>
      <c r="H173" s="71">
        <f>G173*(1+R173)</f>
        <v>11.986000000000001</v>
      </c>
      <c r="I173" s="71">
        <f>H173*(1+S173)</f>
        <v>15.581800000000001</v>
      </c>
      <c r="J173" s="105"/>
      <c r="K173" s="105">
        <f>G173*C173</f>
        <v>65314.48</v>
      </c>
      <c r="L173" s="105">
        <f>G173*D173</f>
        <v>17587.514577007718</v>
      </c>
      <c r="M173" s="105">
        <f>G173*E173</f>
        <v>17403.592374476731</v>
      </c>
      <c r="N173" s="105"/>
      <c r="O173" s="105">
        <f>H173*D173</f>
        <v>22863.768950110036</v>
      </c>
      <c r="P173" s="105">
        <f>I173*E173</f>
        <v>29412.07111286568</v>
      </c>
      <c r="Q173" s="105"/>
      <c r="R173" s="72">
        <v>0.3</v>
      </c>
      <c r="S173" s="72">
        <f>R173</f>
        <v>0.3</v>
      </c>
      <c r="T173" s="105"/>
      <c r="U173" s="102" t="s">
        <v>106</v>
      </c>
    </row>
    <row r="174" spans="1:21" hidden="1" outlineLevel="1" x14ac:dyDescent="0.2">
      <c r="A174" s="80">
        <f t="shared" si="7"/>
        <v>164</v>
      </c>
      <c r="B174" s="111" t="s">
        <v>160</v>
      </c>
      <c r="C174" s="103">
        <v>954</v>
      </c>
      <c r="D174" s="103">
        <v>4451.6088366532149</v>
      </c>
      <c r="E174" s="103">
        <v>4425.0311555397293</v>
      </c>
      <c r="G174" s="88">
        <v>4.54</v>
      </c>
      <c r="H174" s="71">
        <f>G174*(1+R174)</f>
        <v>5.9020000000000001</v>
      </c>
      <c r="I174" s="71">
        <f>H174*(1+S174)</f>
        <v>7.6726000000000001</v>
      </c>
      <c r="J174" s="105"/>
      <c r="K174" s="105">
        <f>G174*C174</f>
        <v>4331.16</v>
      </c>
      <c r="L174" s="105">
        <f>G174*D174</f>
        <v>20210.304118405595</v>
      </c>
      <c r="M174" s="105">
        <f>G174*E174</f>
        <v>20089.64144615037</v>
      </c>
      <c r="N174" s="105"/>
      <c r="O174" s="105">
        <f>H174*D174</f>
        <v>26273.395353927273</v>
      </c>
      <c r="P174" s="105">
        <f>I174*E174</f>
        <v>33951.494043994127</v>
      </c>
      <c r="Q174" s="105"/>
      <c r="R174" s="74">
        <f>R173</f>
        <v>0.3</v>
      </c>
      <c r="S174" s="74">
        <f>S173</f>
        <v>0.3</v>
      </c>
      <c r="T174" s="105"/>
      <c r="U174" s="102" t="s">
        <v>106</v>
      </c>
    </row>
    <row r="175" spans="1:21" hidden="1" outlineLevel="1" x14ac:dyDescent="0.2">
      <c r="A175" s="80">
        <f t="shared" si="7"/>
        <v>165</v>
      </c>
      <c r="B175" s="106" t="s">
        <v>74</v>
      </c>
      <c r="C175" s="129">
        <f>SUM(C173:C174)</f>
        <v>8038</v>
      </c>
      <c r="D175" s="129">
        <f>SUM(D173:D174)</f>
        <v>6359.1483786280214</v>
      </c>
      <c r="E175" s="129">
        <f>SUM(E173:E174)</f>
        <v>6312.6225193658393</v>
      </c>
      <c r="G175" s="108"/>
      <c r="K175" s="132">
        <f>SUM(K173:K174)</f>
        <v>69645.64</v>
      </c>
      <c r="L175" s="132">
        <f>SUM(L173:L174)</f>
        <v>37797.818695413313</v>
      </c>
      <c r="M175" s="132">
        <f>SUM(M173:M174)</f>
        <v>37493.233820627102</v>
      </c>
      <c r="N175" s="132"/>
      <c r="O175" s="132">
        <f>SUM(O173:O174)</f>
        <v>49137.164304037309</v>
      </c>
      <c r="P175" s="132">
        <f>SUM(P173:P174)</f>
        <v>63363.565156859811</v>
      </c>
    </row>
    <row r="176" spans="1:21" hidden="1" outlineLevel="1" x14ac:dyDescent="0.2">
      <c r="A176" s="80">
        <f t="shared" si="7"/>
        <v>166</v>
      </c>
      <c r="C176" s="103"/>
      <c r="D176" s="103"/>
      <c r="E176" s="103"/>
    </row>
    <row r="177" spans="1:21" hidden="1" outlineLevel="1" x14ac:dyDescent="0.2">
      <c r="A177" s="80">
        <f t="shared" si="7"/>
        <v>167</v>
      </c>
      <c r="B177" s="79" t="s">
        <v>108</v>
      </c>
      <c r="C177" s="103">
        <v>402195</v>
      </c>
      <c r="D177" s="103">
        <v>367759.22697090555</v>
      </c>
      <c r="E177" s="103">
        <v>365655.5514869201</v>
      </c>
      <c r="G177" s="133">
        <v>2.9299999999999999E-3</v>
      </c>
      <c r="H177" s="75">
        <f>G177*(1+R177)</f>
        <v>3.8089999999999999E-3</v>
      </c>
      <c r="I177" s="75">
        <f>H177*(1+S177)</f>
        <v>4.9516999999999999E-3</v>
      </c>
      <c r="J177" s="105"/>
      <c r="K177" s="105">
        <f>G177*C177</f>
        <v>1178.4313499999998</v>
      </c>
      <c r="L177" s="105">
        <f>G177*D177</f>
        <v>1077.5345350247533</v>
      </c>
      <c r="M177" s="105">
        <f>G177*E177</f>
        <v>1071.3707658566759</v>
      </c>
      <c r="N177" s="105"/>
      <c r="O177" s="105">
        <f>H177*D177</f>
        <v>1400.7948955321792</v>
      </c>
      <c r="P177" s="105">
        <f>I177*E177</f>
        <v>1810.6165942977823</v>
      </c>
      <c r="Q177" s="105"/>
      <c r="R177" s="72">
        <v>0.3</v>
      </c>
      <c r="S177" s="72">
        <f>R177</f>
        <v>0.3</v>
      </c>
      <c r="T177" s="105"/>
      <c r="U177" s="102" t="s">
        <v>109</v>
      </c>
    </row>
    <row r="178" spans="1:21" hidden="1" outlineLevel="1" x14ac:dyDescent="0.2">
      <c r="A178" s="80">
        <f t="shared" si="7"/>
        <v>168</v>
      </c>
      <c r="C178" s="103"/>
      <c r="D178" s="103"/>
      <c r="E178" s="103"/>
      <c r="G178" s="103"/>
    </row>
    <row r="179" spans="1:21" ht="12" hidden="1" outlineLevel="1" thickBot="1" x14ac:dyDescent="0.25">
      <c r="A179" s="80">
        <f t="shared" si="7"/>
        <v>169</v>
      </c>
      <c r="B179" s="79" t="s">
        <v>110</v>
      </c>
      <c r="C179" s="103"/>
      <c r="D179" s="103"/>
      <c r="E179" s="179" t="s">
        <v>161</v>
      </c>
      <c r="G179" s="136">
        <f>ROUND(SUM(K163,K165)/SUM($C$163,$C$165),6)</f>
        <v>6.7845000000000003E-2</v>
      </c>
      <c r="H179" s="136">
        <f>ROUND(SUM(O163,O165)/SUM($D$163,$D$165),6)</f>
        <v>8.8165999999999994E-2</v>
      </c>
      <c r="I179" s="136">
        <f>ROUND(SUM(P163,P165)/SUM($E$163,$E$165),6)</f>
        <v>9.2868999999999993E-2</v>
      </c>
      <c r="K179" s="119">
        <f>SUM(K161,K171,K175,K177)</f>
        <v>1146110.070449</v>
      </c>
      <c r="L179" s="119">
        <f>SUM(L161,L171,L175,L177)</f>
        <v>1218190.4620676418</v>
      </c>
      <c r="M179" s="119">
        <f>SUM(M161,M171,M175,M177)</f>
        <v>1212218.9178831319</v>
      </c>
      <c r="N179" s="119"/>
      <c r="O179" s="119">
        <f>SUM(O161,O171,O175,O177)</f>
        <v>1570996.4100765334</v>
      </c>
      <c r="P179" s="119">
        <f>SUM(P161,P171,P175,P177)</f>
        <v>1712287.8854345933</v>
      </c>
      <c r="R179" s="119">
        <v>1570996.4100765337</v>
      </c>
      <c r="S179" s="119">
        <v>1712287.8854345933</v>
      </c>
    </row>
    <row r="180" spans="1:21" hidden="1" outlineLevel="1" x14ac:dyDescent="0.2">
      <c r="A180" s="80">
        <f t="shared" si="7"/>
        <v>170</v>
      </c>
      <c r="B180" s="102" t="s">
        <v>111</v>
      </c>
      <c r="C180" s="103"/>
      <c r="D180" s="103"/>
      <c r="E180" s="179" t="s">
        <v>170</v>
      </c>
      <c r="G180" s="136">
        <f>ROUND(SUM(K164,K166)/SUM($C$164,$C$166),6)</f>
        <v>5.6475999999999998E-2</v>
      </c>
      <c r="H180" s="136">
        <f>ROUND(SUM(O164,O166)/SUM($D$164,$D$166),6)</f>
        <v>7.6003000000000001E-2</v>
      </c>
      <c r="I180" s="136">
        <f>ROUND(SUM(P164,P166)/SUM($E$164,$E$166),6)</f>
        <v>8.0701999999999996E-2</v>
      </c>
      <c r="K180" s="180">
        <f>K179/(K179+K69)</f>
        <v>4.1833156930418339E-3</v>
      </c>
      <c r="L180" s="180"/>
      <c r="M180" s="180"/>
      <c r="N180" s="105"/>
      <c r="O180" s="105"/>
      <c r="P180" s="105"/>
      <c r="R180" s="105">
        <f>R179-L179</f>
        <v>352805.94800889189</v>
      </c>
      <c r="S180" s="105">
        <f>S179-M179-R180</f>
        <v>147263.01954256953</v>
      </c>
    </row>
    <row r="181" spans="1:21" ht="12" hidden="1" outlineLevel="1" thickBot="1" x14ac:dyDescent="0.25">
      <c r="A181" s="80">
        <f t="shared" si="7"/>
        <v>171</v>
      </c>
      <c r="B181" s="102" t="s">
        <v>112</v>
      </c>
      <c r="C181" s="103"/>
      <c r="D181" s="103"/>
      <c r="E181" s="179" t="s">
        <v>114</v>
      </c>
      <c r="G181" s="138">
        <f>ROUND(SUM(K175)/SUM($C$175),2)</f>
        <v>8.66</v>
      </c>
      <c r="H181" s="138">
        <f>ROUND(SUM(O175)/SUM($D$175),2)</f>
        <v>7.73</v>
      </c>
      <c r="I181" s="138">
        <f>ROUND(SUM(P175)/SUM($E$175),2)</f>
        <v>10.039999999999999</v>
      </c>
      <c r="K181" s="105"/>
      <c r="L181" s="105"/>
      <c r="M181" s="105"/>
      <c r="N181" s="105"/>
      <c r="O181" s="105"/>
      <c r="P181" s="105"/>
      <c r="R181" s="76">
        <f>R180/L179</f>
        <v>0.28961476796499647</v>
      </c>
      <c r="S181" s="76">
        <f>S180/M179</f>
        <v>0.12148219877621719</v>
      </c>
    </row>
    <row r="182" spans="1:21" hidden="1" outlineLevel="1" x14ac:dyDescent="0.2">
      <c r="A182" s="80">
        <f t="shared" si="7"/>
        <v>172</v>
      </c>
      <c r="B182" s="122" t="s">
        <v>113</v>
      </c>
      <c r="C182" s="103">
        <v>0.67600000090897083</v>
      </c>
      <c r="D182" s="103"/>
      <c r="E182" s="103"/>
      <c r="K182" s="103">
        <v>3.9295510000083596</v>
      </c>
      <c r="L182" s="105">
        <v>0</v>
      </c>
      <c r="M182" s="105">
        <v>0</v>
      </c>
      <c r="N182" s="105"/>
      <c r="O182" s="124"/>
      <c r="P182" s="124"/>
      <c r="R182" s="105">
        <f>R179-O179</f>
        <v>0</v>
      </c>
      <c r="S182" s="105">
        <f>S179-P179</f>
        <v>0</v>
      </c>
    </row>
    <row r="183" spans="1:21" hidden="1" outlineLevel="1" x14ac:dyDescent="0.2">
      <c r="A183" s="80">
        <f t="shared" si="7"/>
        <v>173</v>
      </c>
      <c r="B183" s="125"/>
      <c r="C183" s="126"/>
      <c r="D183" s="126"/>
      <c r="E183" s="126"/>
      <c r="F183" s="126"/>
      <c r="G183" s="127"/>
      <c r="H183" s="127"/>
      <c r="I183" s="127"/>
      <c r="J183" s="126"/>
      <c r="K183" s="126"/>
      <c r="L183" s="126"/>
      <c r="M183" s="126"/>
      <c r="N183" s="126"/>
      <c r="O183" s="126"/>
      <c r="P183" s="126"/>
      <c r="Q183" s="126"/>
      <c r="R183" s="126"/>
      <c r="S183" s="126"/>
      <c r="T183" s="126"/>
      <c r="U183" s="126"/>
    </row>
    <row r="184" spans="1:21" hidden="1" outlineLevel="1" x14ac:dyDescent="0.2">
      <c r="A184" s="80">
        <f t="shared" si="7"/>
        <v>174</v>
      </c>
    </row>
    <row r="185" spans="1:21" hidden="1" outlineLevel="1" x14ac:dyDescent="0.2">
      <c r="A185" s="80">
        <f t="shared" si="7"/>
        <v>175</v>
      </c>
      <c r="B185" s="100" t="s">
        <v>208</v>
      </c>
    </row>
    <row r="186" spans="1:21" hidden="1" outlineLevel="1" x14ac:dyDescent="0.2">
      <c r="A186" s="80">
        <f t="shared" si="7"/>
        <v>176</v>
      </c>
      <c r="B186" s="102" t="s">
        <v>171</v>
      </c>
    </row>
    <row r="187" spans="1:21" hidden="1" outlineLevel="1" x14ac:dyDescent="0.2">
      <c r="A187" s="80">
        <f t="shared" si="7"/>
        <v>177</v>
      </c>
    </row>
    <row r="188" spans="1:21" hidden="1" outlineLevel="1" x14ac:dyDescent="0.2">
      <c r="A188" s="80">
        <f t="shared" si="7"/>
        <v>178</v>
      </c>
      <c r="B188" s="79" t="s">
        <v>35</v>
      </c>
      <c r="C188" s="103">
        <v>6078</v>
      </c>
      <c r="D188" s="103">
        <v>6204.1686709805881</v>
      </c>
      <c r="E188" s="103">
        <v>6205.388909905425</v>
      </c>
      <c r="F188" s="105"/>
      <c r="G188" s="88">
        <v>358.11</v>
      </c>
      <c r="H188" s="71">
        <f>G188*(1+R188)</f>
        <v>465.54300000000001</v>
      </c>
      <c r="I188" s="71">
        <f>H188*(1+S188)</f>
        <v>605.20590000000004</v>
      </c>
      <c r="J188" s="105"/>
      <c r="K188" s="105">
        <f>G188*C188</f>
        <v>2176592.58</v>
      </c>
      <c r="L188" s="105">
        <f>G188*D188</f>
        <v>2221774.8427648586</v>
      </c>
      <c r="M188" s="105">
        <f>G188*E188</f>
        <v>2222211.8225262319</v>
      </c>
      <c r="N188" s="105"/>
      <c r="O188" s="105">
        <f>H188*D188</f>
        <v>2888307.295594316</v>
      </c>
      <c r="P188" s="105">
        <f>I188*E188</f>
        <v>3755537.9800693318</v>
      </c>
      <c r="Q188" s="105"/>
      <c r="R188" s="72">
        <v>0.3</v>
      </c>
      <c r="S188" s="72">
        <f>R188</f>
        <v>0.3</v>
      </c>
      <c r="U188" s="79" t="s">
        <v>97</v>
      </c>
    </row>
    <row r="189" spans="1:21" hidden="1" outlineLevel="1" x14ac:dyDescent="0.2">
      <c r="A189" s="80">
        <f t="shared" si="7"/>
        <v>179</v>
      </c>
      <c r="B189" s="79" t="s">
        <v>98</v>
      </c>
      <c r="C189" s="103"/>
      <c r="D189" s="103"/>
      <c r="E189" s="103"/>
      <c r="F189" s="105"/>
      <c r="G189" s="131"/>
      <c r="H189" s="105"/>
      <c r="I189" s="105"/>
      <c r="J189" s="105"/>
      <c r="K189" s="124"/>
      <c r="L189" s="124"/>
      <c r="M189" s="124"/>
      <c r="N189" s="124"/>
      <c r="O189" s="124"/>
      <c r="P189" s="124"/>
      <c r="Q189" s="105"/>
      <c r="R189" s="105"/>
      <c r="S189" s="105"/>
      <c r="T189" s="105"/>
      <c r="U189" s="105"/>
    </row>
    <row r="190" spans="1:21" hidden="1" outlineLevel="1" x14ac:dyDescent="0.2">
      <c r="A190" s="80">
        <f t="shared" si="7"/>
        <v>180</v>
      </c>
      <c r="B190" s="111" t="s">
        <v>99</v>
      </c>
      <c r="C190" s="103">
        <v>1375421569</v>
      </c>
      <c r="D190" s="103">
        <v>1423586019.4788036</v>
      </c>
      <c r="E190" s="103">
        <v>1411297972.0883911</v>
      </c>
      <c r="F190" s="105"/>
      <c r="G190" s="112">
        <v>5.5718999999999998E-2</v>
      </c>
      <c r="H190" s="112">
        <f>G190+R190</f>
        <v>7.0126392896561127E-2</v>
      </c>
      <c r="I190" s="112">
        <f>H190+S190</f>
        <v>7.0437006057910284E-2</v>
      </c>
      <c r="J190" s="105"/>
      <c r="K190" s="105">
        <f>G190*C190</f>
        <v>76637114.403110996</v>
      </c>
      <c r="L190" s="105">
        <f>G190*D190</f>
        <v>79320789.419339463</v>
      </c>
      <c r="M190" s="105">
        <f>G190*E190</f>
        <v>78636111.706793055</v>
      </c>
      <c r="N190" s="105"/>
      <c r="O190" s="105">
        <f>H190*D190</f>
        <v>99830952.524022102</v>
      </c>
      <c r="P190" s="105">
        <f>I190*E190</f>
        <v>99407603.809506506</v>
      </c>
      <c r="Q190" s="105"/>
      <c r="R190" s="112">
        <f>(R204-(O188-L188)-(O199-L199)-(O201-L201)-(O223-L223))/D195</f>
        <v>1.4407392896561125E-2</v>
      </c>
      <c r="S190" s="112">
        <f>((S204+R204)-(P188-M188)-(P199-M199)-(P201-M201)-(P223-M223))/E195-R190</f>
        <v>3.1061316134915924E-4</v>
      </c>
      <c r="U190" s="102" t="s">
        <v>100</v>
      </c>
    </row>
    <row r="191" spans="1:21" hidden="1" outlineLevel="1" x14ac:dyDescent="0.2">
      <c r="A191" s="80">
        <f t="shared" si="7"/>
        <v>181</v>
      </c>
      <c r="B191" s="106" t="s">
        <v>74</v>
      </c>
      <c r="C191" s="129">
        <f>SUM(C190:C190)</f>
        <v>1375421569</v>
      </c>
      <c r="D191" s="129">
        <f>SUM(D190:D190)</f>
        <v>1423586019.4788036</v>
      </c>
      <c r="E191" s="129">
        <f>SUM(E190:E190)</f>
        <v>1411297972.0883911</v>
      </c>
      <c r="F191" s="105"/>
      <c r="G191" s="140"/>
      <c r="H191" s="105"/>
      <c r="I191" s="105"/>
      <c r="J191" s="105"/>
      <c r="K191" s="132">
        <f>SUM(K190:K190)</f>
        <v>76637114.403110996</v>
      </c>
      <c r="L191" s="132">
        <f>SUM(L190:L190)</f>
        <v>79320789.419339463</v>
      </c>
      <c r="M191" s="132">
        <f>SUM(M190:M190)</f>
        <v>78636111.706793055</v>
      </c>
      <c r="N191" s="132"/>
      <c r="O191" s="132">
        <f>SUM(O190:O190)</f>
        <v>99830952.524022102</v>
      </c>
      <c r="P191" s="132">
        <f>SUM(P190:P190)</f>
        <v>99407603.809506506</v>
      </c>
      <c r="Q191" s="105"/>
      <c r="R191" s="105"/>
      <c r="S191" s="105"/>
      <c r="T191" s="105"/>
      <c r="U191" s="105"/>
    </row>
    <row r="192" spans="1:21" hidden="1" outlineLevel="1" x14ac:dyDescent="0.2">
      <c r="A192" s="80">
        <f t="shared" si="7"/>
        <v>182</v>
      </c>
      <c r="B192" s="111" t="s">
        <v>101</v>
      </c>
      <c r="C192" s="103">
        <v>-9027450.7772835791</v>
      </c>
      <c r="D192" s="115" t="s">
        <v>102</v>
      </c>
      <c r="E192" s="115"/>
      <c r="F192" s="105"/>
      <c r="G192" s="73">
        <f>K192/C192</f>
        <v>8.3088683450645615E-2</v>
      </c>
      <c r="H192" s="105"/>
      <c r="I192" s="105"/>
      <c r="J192" s="105"/>
      <c r="K192" s="124">
        <v>-750079</v>
      </c>
      <c r="L192" s="105">
        <f>G192*D192</f>
        <v>0</v>
      </c>
      <c r="M192" s="105">
        <f>G192*E192</f>
        <v>0</v>
      </c>
      <c r="N192" s="105"/>
      <c r="O192" s="105">
        <f t="shared" ref="O192:P194" si="12">H192*D192</f>
        <v>0</v>
      </c>
      <c r="P192" s="105">
        <f t="shared" si="12"/>
        <v>0</v>
      </c>
      <c r="Q192" s="105"/>
      <c r="R192" s="105"/>
      <c r="S192" s="105"/>
      <c r="T192" s="105"/>
      <c r="U192" s="105"/>
    </row>
    <row r="193" spans="1:21" hidden="1" outlineLevel="1" x14ac:dyDescent="0.2">
      <c r="A193" s="80">
        <f t="shared" si="7"/>
        <v>183</v>
      </c>
      <c r="B193" s="111" t="s">
        <v>172</v>
      </c>
      <c r="C193" s="103">
        <v>4078452.1120000002</v>
      </c>
      <c r="D193" s="115" t="s">
        <v>102</v>
      </c>
      <c r="E193" s="115"/>
      <c r="F193" s="105"/>
      <c r="G193" s="73">
        <f>K193/C193</f>
        <v>8.3088554625965358E-2</v>
      </c>
      <c r="H193" s="105"/>
      <c r="I193" s="105"/>
      <c r="J193" s="105"/>
      <c r="K193" s="124">
        <v>338872.69109729578</v>
      </c>
      <c r="L193" s="105">
        <f>G193*D193</f>
        <v>0</v>
      </c>
      <c r="M193" s="105">
        <f>G193*E193</f>
        <v>0</v>
      </c>
      <c r="N193" s="105"/>
      <c r="O193" s="105">
        <f t="shared" si="12"/>
        <v>0</v>
      </c>
      <c r="P193" s="105">
        <f t="shared" si="12"/>
        <v>0</v>
      </c>
      <c r="Q193" s="105"/>
      <c r="R193" s="105"/>
      <c r="S193" s="105"/>
      <c r="T193" s="105"/>
      <c r="U193" s="105"/>
    </row>
    <row r="194" spans="1:21" hidden="1" outlineLevel="1" x14ac:dyDescent="0.2">
      <c r="A194" s="80">
        <f t="shared" si="7"/>
        <v>184</v>
      </c>
      <c r="B194" s="114" t="s">
        <v>103</v>
      </c>
      <c r="C194" s="103">
        <v>13971021</v>
      </c>
      <c r="D194" s="115" t="s">
        <v>102</v>
      </c>
      <c r="E194" s="115"/>
      <c r="F194" s="105"/>
      <c r="G194" s="73">
        <f>K194/C194</f>
        <v>8.0966165608082619E-2</v>
      </c>
      <c r="H194" s="105"/>
      <c r="I194" s="105"/>
      <c r="J194" s="105"/>
      <c r="K194" s="124">
        <v>1131180</v>
      </c>
      <c r="L194" s="105">
        <f>G194*D194</f>
        <v>0</v>
      </c>
      <c r="M194" s="105">
        <f>G194*E194</f>
        <v>0</v>
      </c>
      <c r="N194" s="105"/>
      <c r="O194" s="105">
        <f t="shared" si="12"/>
        <v>0</v>
      </c>
      <c r="P194" s="105">
        <f t="shared" si="12"/>
        <v>0</v>
      </c>
      <c r="Q194" s="105"/>
      <c r="R194" s="105"/>
      <c r="S194" s="105"/>
      <c r="T194" s="105"/>
      <c r="U194" s="105"/>
    </row>
    <row r="195" spans="1:21" hidden="1" outlineLevel="1" x14ac:dyDescent="0.2">
      <c r="A195" s="80">
        <f t="shared" si="7"/>
        <v>185</v>
      </c>
      <c r="B195" s="106" t="s">
        <v>74</v>
      </c>
      <c r="C195" s="129">
        <f>SUM(C191:C194)</f>
        <v>1384443591.3347163</v>
      </c>
      <c r="D195" s="129">
        <f>SUM(D191:D194)</f>
        <v>1423586019.4788036</v>
      </c>
      <c r="E195" s="129">
        <f>SUM(E191:E194)</f>
        <v>1411297972.0883911</v>
      </c>
      <c r="F195" s="105"/>
      <c r="G195" s="73"/>
      <c r="H195" s="105"/>
      <c r="I195" s="105"/>
      <c r="J195" s="105"/>
      <c r="K195" s="132">
        <f>SUM(K191:K194)</f>
        <v>77357088.094208285</v>
      </c>
      <c r="L195" s="132">
        <f>SUM(L191:L194)</f>
        <v>79320789.419339463</v>
      </c>
      <c r="M195" s="132">
        <f>SUM(M191:M194)</f>
        <v>78636111.706793055</v>
      </c>
      <c r="N195" s="132"/>
      <c r="O195" s="132">
        <f>SUM(O191:O194)</f>
        <v>99830952.524022102</v>
      </c>
      <c r="P195" s="132">
        <f>SUM(P191:P194)</f>
        <v>99407603.809506506</v>
      </c>
      <c r="Q195" s="105"/>
      <c r="R195" s="105"/>
      <c r="S195" s="105"/>
      <c r="T195" s="105"/>
      <c r="U195" s="105"/>
    </row>
    <row r="196" spans="1:21" hidden="1" outlineLevel="1" x14ac:dyDescent="0.2">
      <c r="A196" s="80">
        <f t="shared" si="7"/>
        <v>186</v>
      </c>
      <c r="B196" s="79" t="s">
        <v>104</v>
      </c>
      <c r="C196" s="103"/>
      <c r="D196" s="103"/>
      <c r="E196" s="103"/>
      <c r="F196" s="105"/>
      <c r="G196" s="108"/>
      <c r="H196" s="105"/>
      <c r="I196" s="105"/>
      <c r="J196" s="105"/>
      <c r="K196" s="124"/>
      <c r="L196" s="124"/>
      <c r="M196" s="124"/>
      <c r="N196" s="124"/>
      <c r="O196" s="124"/>
      <c r="P196" s="124"/>
      <c r="Q196" s="105"/>
      <c r="R196" s="105"/>
      <c r="S196" s="105"/>
      <c r="T196" s="105"/>
      <c r="U196" s="105"/>
    </row>
    <row r="197" spans="1:21" hidden="1" outlineLevel="1" x14ac:dyDescent="0.2">
      <c r="A197" s="80">
        <f t="shared" si="7"/>
        <v>187</v>
      </c>
      <c r="B197" s="111" t="s">
        <v>105</v>
      </c>
      <c r="C197" s="103">
        <v>1663661</v>
      </c>
      <c r="D197" s="103">
        <v>1599001.2982320762</v>
      </c>
      <c r="E197" s="103">
        <v>1576780.1645697793</v>
      </c>
      <c r="F197" s="105"/>
      <c r="G197" s="88">
        <v>11.94</v>
      </c>
      <c r="H197" s="71">
        <f>G197*(1+R197)</f>
        <v>15.522</v>
      </c>
      <c r="I197" s="71">
        <f>H197*(1+S197)</f>
        <v>20.178599999999999</v>
      </c>
      <c r="J197" s="105"/>
      <c r="K197" s="105">
        <f>G197*C197</f>
        <v>19864112.34</v>
      </c>
      <c r="L197" s="105">
        <f>G197*D197</f>
        <v>19092075.500890989</v>
      </c>
      <c r="M197" s="105">
        <f>G197*E197</f>
        <v>18826755.164963163</v>
      </c>
      <c r="N197" s="105"/>
      <c r="O197" s="105">
        <f>H197*D197</f>
        <v>24819698.151158288</v>
      </c>
      <c r="P197" s="105">
        <f>I197*E197</f>
        <v>31817216.228787746</v>
      </c>
      <c r="Q197" s="105"/>
      <c r="R197" s="72">
        <v>0.3</v>
      </c>
      <c r="S197" s="72">
        <f>R197</f>
        <v>0.3</v>
      </c>
      <c r="T197" s="105"/>
      <c r="U197" s="102" t="s">
        <v>106</v>
      </c>
    </row>
    <row r="198" spans="1:21" hidden="1" outlineLevel="1" x14ac:dyDescent="0.2">
      <c r="A198" s="80">
        <f t="shared" si="7"/>
        <v>188</v>
      </c>
      <c r="B198" s="111" t="s">
        <v>107</v>
      </c>
      <c r="C198" s="103">
        <v>1689213</v>
      </c>
      <c r="D198" s="103">
        <v>1669750.9286160013</v>
      </c>
      <c r="E198" s="103">
        <v>1654054.4578699945</v>
      </c>
      <c r="F198" s="105"/>
      <c r="G198" s="88">
        <v>7.96</v>
      </c>
      <c r="H198" s="71">
        <f>G198*(1+R198)</f>
        <v>10.348000000000001</v>
      </c>
      <c r="I198" s="71">
        <f>H198*(1+S198)</f>
        <v>13.452400000000001</v>
      </c>
      <c r="J198" s="105"/>
      <c r="K198" s="105">
        <f>G198*C198</f>
        <v>13446135.48</v>
      </c>
      <c r="L198" s="105">
        <f>G198*D198</f>
        <v>13291217.39178337</v>
      </c>
      <c r="M198" s="105">
        <f>G198*E198</f>
        <v>13166273.484645156</v>
      </c>
      <c r="N198" s="105"/>
      <c r="O198" s="105">
        <f>H198*D198</f>
        <v>17278582.609318383</v>
      </c>
      <c r="P198" s="105">
        <f>I198*E198</f>
        <v>22251002.189050313</v>
      </c>
      <c r="Q198" s="105"/>
      <c r="R198" s="74">
        <f>R197</f>
        <v>0.3</v>
      </c>
      <c r="S198" s="74">
        <f>S197</f>
        <v>0.3</v>
      </c>
      <c r="T198" s="105"/>
      <c r="U198" s="102" t="s">
        <v>106</v>
      </c>
    </row>
    <row r="199" spans="1:21" hidden="1" outlineLevel="1" x14ac:dyDescent="0.2">
      <c r="A199" s="80">
        <f t="shared" si="7"/>
        <v>189</v>
      </c>
      <c r="B199" s="106" t="s">
        <v>74</v>
      </c>
      <c r="C199" s="129">
        <f>SUM(C197:C198)</f>
        <v>3352874</v>
      </c>
      <c r="D199" s="129">
        <f>SUM(D197:D198)</f>
        <v>3268752.2268480775</v>
      </c>
      <c r="E199" s="129">
        <f>SUM(E197:E198)</f>
        <v>3230834.6224397738</v>
      </c>
      <c r="F199" s="105"/>
      <c r="G199" s="108"/>
      <c r="K199" s="132">
        <f>SUM(K197:K198)</f>
        <v>33310247.82</v>
      </c>
      <c r="L199" s="132">
        <f>SUM(L197:L198)</f>
        <v>32383292.892674357</v>
      </c>
      <c r="M199" s="132">
        <f>SUM(M197:M198)</f>
        <v>31993028.649608321</v>
      </c>
      <c r="N199" s="132"/>
      <c r="O199" s="132">
        <f>SUM(O197:O198)</f>
        <v>42098280.760476671</v>
      </c>
      <c r="P199" s="132">
        <f>SUM(P197:P198)</f>
        <v>54068218.417838059</v>
      </c>
    </row>
    <row r="200" spans="1:21" hidden="1" outlineLevel="1" x14ac:dyDescent="0.2">
      <c r="A200" s="80">
        <f t="shared" si="7"/>
        <v>190</v>
      </c>
      <c r="C200" s="103"/>
      <c r="D200" s="103"/>
      <c r="E200" s="103"/>
      <c r="F200" s="105"/>
      <c r="G200" s="103"/>
      <c r="K200" s="124"/>
      <c r="L200" s="124"/>
      <c r="M200" s="124"/>
      <c r="N200" s="124"/>
      <c r="O200" s="124"/>
      <c r="P200" s="124"/>
      <c r="U200" s="74"/>
    </row>
    <row r="201" spans="1:21" hidden="1" outlineLevel="1" x14ac:dyDescent="0.2">
      <c r="A201" s="80">
        <f t="shared" si="7"/>
        <v>191</v>
      </c>
      <c r="B201" s="79" t="s">
        <v>108</v>
      </c>
      <c r="C201" s="103">
        <v>651308116</v>
      </c>
      <c r="D201" s="103">
        <v>674772184.38809776</v>
      </c>
      <c r="E201" s="103">
        <v>668722379.85534632</v>
      </c>
      <c r="F201" s="105"/>
      <c r="G201" s="133">
        <v>1.1199999999999999E-3</v>
      </c>
      <c r="H201" s="75">
        <f>G201*(1+R201)</f>
        <v>1.4559999999999998E-3</v>
      </c>
      <c r="I201" s="75">
        <f>H201*(1+S201)</f>
        <v>1.8927999999999998E-3</v>
      </c>
      <c r="J201" s="105"/>
      <c r="K201" s="105">
        <f>G201*C201</f>
        <v>729465.08991999994</v>
      </c>
      <c r="L201" s="105">
        <f>G201*D201</f>
        <v>755744.84651466948</v>
      </c>
      <c r="M201" s="105">
        <f>G201*E201</f>
        <v>748969.0654379878</v>
      </c>
      <c r="N201" s="105"/>
      <c r="O201" s="105">
        <f>H201*D201</f>
        <v>982468.30046907021</v>
      </c>
      <c r="P201" s="105">
        <f>I201*E201</f>
        <v>1265757.7205901993</v>
      </c>
      <c r="Q201" s="105"/>
      <c r="R201" s="72">
        <v>0.3</v>
      </c>
      <c r="S201" s="72">
        <f>R201</f>
        <v>0.3</v>
      </c>
      <c r="T201" s="105"/>
      <c r="U201" s="102" t="s">
        <v>109</v>
      </c>
    </row>
    <row r="202" spans="1:21" hidden="1" outlineLevel="1" x14ac:dyDescent="0.2">
      <c r="A202" s="80">
        <f t="shared" si="7"/>
        <v>192</v>
      </c>
      <c r="C202" s="103"/>
      <c r="D202" s="103"/>
      <c r="E202" s="103"/>
      <c r="G202" s="103"/>
      <c r="K202" s="124"/>
      <c r="L202" s="124"/>
      <c r="M202" s="124"/>
      <c r="N202" s="124"/>
      <c r="O202" s="124"/>
      <c r="P202" s="124"/>
    </row>
    <row r="203" spans="1:21" ht="12" hidden="1" outlineLevel="1" thickBot="1" x14ac:dyDescent="0.25">
      <c r="A203" s="80">
        <f t="shared" si="7"/>
        <v>193</v>
      </c>
      <c r="B203" s="79" t="s">
        <v>110</v>
      </c>
      <c r="C203" s="103"/>
      <c r="D203" s="103"/>
      <c r="E203" s="103"/>
      <c r="G203" s="103"/>
      <c r="K203" s="134">
        <f>SUM(K188,K195,K199,K201)</f>
        <v>113573393.58412828</v>
      </c>
      <c r="L203" s="134">
        <f>SUM(L188,L195,L199,L201)</f>
        <v>114681602.00129335</v>
      </c>
      <c r="M203" s="134">
        <f>SUM(M188,M195,M199,M201)</f>
        <v>113600321.24436559</v>
      </c>
      <c r="N203" s="134"/>
      <c r="O203" s="134">
        <f>SUM(O188,O195,O199,O201)</f>
        <v>145800008.88056216</v>
      </c>
      <c r="P203" s="134">
        <f>SUM(P188,P195,P199,P201)</f>
        <v>158497117.92800412</v>
      </c>
      <c r="R203" s="119">
        <v>146543996.67945495</v>
      </c>
      <c r="S203" s="119">
        <v>159452791.90695757</v>
      </c>
    </row>
    <row r="204" spans="1:21" hidden="1" outlineLevel="1" x14ac:dyDescent="0.2">
      <c r="A204" s="80">
        <f t="shared" ref="A204:A267" si="13">A203+1</f>
        <v>194</v>
      </c>
      <c r="B204" s="102" t="s">
        <v>111</v>
      </c>
      <c r="C204" s="103"/>
      <c r="D204" s="103"/>
      <c r="E204" s="103"/>
      <c r="G204" s="103"/>
      <c r="K204" s="124"/>
      <c r="L204" s="124"/>
      <c r="M204" s="124"/>
      <c r="N204" s="124"/>
      <c r="O204" s="124"/>
      <c r="P204" s="124"/>
      <c r="R204" s="105">
        <f>R203-L203-L223</f>
        <v>31301839.61355117</v>
      </c>
      <c r="S204" s="105">
        <f>S203-M203-M223-R204</f>
        <v>13996740.487509876</v>
      </c>
      <c r="T204" s="105"/>
    </row>
    <row r="205" spans="1:21" hidden="1" outlineLevel="1" x14ac:dyDescent="0.2">
      <c r="A205" s="80">
        <f t="shared" si="13"/>
        <v>195</v>
      </c>
      <c r="B205" s="102" t="s">
        <v>112</v>
      </c>
      <c r="C205" s="103"/>
      <c r="D205" s="103"/>
      <c r="E205" s="103"/>
      <c r="K205" s="124"/>
      <c r="L205" s="124"/>
      <c r="M205" s="124"/>
      <c r="N205" s="124"/>
      <c r="O205" s="124"/>
      <c r="P205" s="124"/>
      <c r="R205" s="76">
        <f>R204/L203</f>
        <v>0.27294560825195097</v>
      </c>
      <c r="S205" s="76">
        <f>S204/M203</f>
        <v>0.12321039530690671</v>
      </c>
      <c r="T205" s="105"/>
    </row>
    <row r="206" spans="1:21" hidden="1" outlineLevel="1" x14ac:dyDescent="0.2">
      <c r="A206" s="80">
        <f t="shared" si="13"/>
        <v>196</v>
      </c>
      <c r="B206" s="122" t="s">
        <v>113</v>
      </c>
      <c r="C206" s="103">
        <v>1.062000036239624</v>
      </c>
      <c r="D206" s="103"/>
      <c r="E206" s="103"/>
      <c r="K206" s="103">
        <v>-0.89303098386153579</v>
      </c>
      <c r="L206" s="103">
        <v>9.3132257461547852E-10</v>
      </c>
      <c r="M206" s="103">
        <v>0</v>
      </c>
      <c r="N206" s="124"/>
      <c r="O206" s="124"/>
      <c r="P206" s="124"/>
      <c r="R206" s="105">
        <f>R203-O203-O223</f>
        <v>1.0011717677116394E-8</v>
      </c>
      <c r="S206" s="105">
        <f>S203-P203-P223</f>
        <v>-3.7252902984619141E-8</v>
      </c>
      <c r="T206" s="124"/>
    </row>
    <row r="207" spans="1:21" ht="12" hidden="1" outlineLevel="1" thickBot="1" x14ac:dyDescent="0.25">
      <c r="A207" s="80">
        <f t="shared" si="13"/>
        <v>197</v>
      </c>
      <c r="B207" s="135" t="s">
        <v>114</v>
      </c>
      <c r="D207" s="103"/>
      <c r="E207" s="103"/>
      <c r="G207" s="138">
        <f>ROUND(SUM(K199)/SUM(C199),2)</f>
        <v>9.93</v>
      </c>
      <c r="H207" s="138">
        <f>ROUND(SUM(O199)/SUM(D199),2)</f>
        <v>12.88</v>
      </c>
      <c r="I207" s="138">
        <f>ROUND(SUM(P199)/SUM(E199),2)</f>
        <v>16.739999999999998</v>
      </c>
      <c r="N207" s="124"/>
    </row>
    <row r="208" spans="1:21" hidden="1" outlineLevel="1" x14ac:dyDescent="0.2">
      <c r="A208" s="80">
        <f t="shared" si="13"/>
        <v>198</v>
      </c>
      <c r="B208" s="125"/>
      <c r="C208" s="126"/>
      <c r="D208" s="126"/>
      <c r="E208" s="126"/>
      <c r="F208" s="126"/>
      <c r="G208" s="127"/>
      <c r="H208" s="127"/>
      <c r="I208" s="127"/>
      <c r="J208" s="126"/>
      <c r="K208" s="126"/>
      <c r="L208" s="126"/>
      <c r="M208" s="126"/>
      <c r="N208" s="124"/>
      <c r="O208" s="126"/>
      <c r="P208" s="126"/>
      <c r="Q208" s="126"/>
      <c r="R208" s="126"/>
      <c r="S208" s="126"/>
      <c r="T208" s="126"/>
      <c r="U208" s="126"/>
    </row>
    <row r="209" spans="1:21" hidden="1" outlineLevel="1" x14ac:dyDescent="0.2">
      <c r="A209" s="80">
        <f t="shared" si="13"/>
        <v>199</v>
      </c>
      <c r="B209" s="102"/>
      <c r="N209" s="124"/>
    </row>
    <row r="210" spans="1:21" hidden="1" outlineLevel="1" x14ac:dyDescent="0.2">
      <c r="A210" s="80">
        <f t="shared" si="13"/>
        <v>200</v>
      </c>
      <c r="B210" s="100" t="s">
        <v>173</v>
      </c>
    </row>
    <row r="211" spans="1:21" hidden="1" outlineLevel="1" x14ac:dyDescent="0.2">
      <c r="A211" s="80">
        <f t="shared" si="13"/>
        <v>201</v>
      </c>
      <c r="B211" s="102" t="s">
        <v>96</v>
      </c>
    </row>
    <row r="212" spans="1:21" hidden="1" outlineLevel="1" x14ac:dyDescent="0.2">
      <c r="A212" s="80">
        <f t="shared" si="13"/>
        <v>202</v>
      </c>
    </row>
    <row r="213" spans="1:21" hidden="1" outlineLevel="1" x14ac:dyDescent="0.2">
      <c r="A213" s="80">
        <f t="shared" si="13"/>
        <v>203</v>
      </c>
      <c r="B213" s="79" t="s">
        <v>116</v>
      </c>
      <c r="C213" s="103"/>
      <c r="F213" s="105"/>
      <c r="G213" s="108"/>
      <c r="H213" s="105"/>
      <c r="I213" s="105"/>
      <c r="J213" s="105"/>
      <c r="K213" s="124"/>
      <c r="L213" s="124"/>
      <c r="M213" s="124"/>
      <c r="N213" s="124"/>
      <c r="O213" s="124"/>
      <c r="P213" s="124"/>
      <c r="Q213" s="105"/>
      <c r="R213" s="105"/>
      <c r="S213" s="105"/>
      <c r="T213" s="105"/>
      <c r="U213" s="105"/>
    </row>
    <row r="214" spans="1:21" hidden="1" outlineLevel="1" x14ac:dyDescent="0.2">
      <c r="A214" s="80">
        <f t="shared" si="13"/>
        <v>204</v>
      </c>
      <c r="B214" s="111" t="s">
        <v>105</v>
      </c>
      <c r="C214" s="103">
        <v>31895</v>
      </c>
      <c r="D214" s="103">
        <v>31655.972817598231</v>
      </c>
      <c r="E214" s="103">
        <v>31216.053472962532</v>
      </c>
      <c r="F214" s="105"/>
      <c r="G214" s="88">
        <v>5.85</v>
      </c>
      <c r="H214" s="71">
        <f>H197-H219</f>
        <v>8.5370999999999988</v>
      </c>
      <c r="I214" s="71">
        <f>I197-I219</f>
        <v>11.098229999999999</v>
      </c>
      <c r="J214" s="105"/>
      <c r="K214" s="105">
        <f>G214*C214</f>
        <v>186585.75</v>
      </c>
      <c r="L214" s="105">
        <f>G214*D214</f>
        <v>185187.44098294963</v>
      </c>
      <c r="M214" s="105">
        <f>G214*E214</f>
        <v>182613.91281683079</v>
      </c>
      <c r="N214" s="105"/>
      <c r="O214" s="105">
        <f>H214*D214</f>
        <v>270250.20554111782</v>
      </c>
      <c r="P214" s="105">
        <f>I214*E214</f>
        <v>346442.94113523694</v>
      </c>
      <c r="Q214" s="105"/>
    </row>
    <row r="215" spans="1:21" hidden="1" outlineLevel="1" x14ac:dyDescent="0.2">
      <c r="A215" s="80">
        <f t="shared" si="13"/>
        <v>205</v>
      </c>
      <c r="B215" s="111" t="s">
        <v>107</v>
      </c>
      <c r="C215" s="103">
        <v>34576</v>
      </c>
      <c r="D215" s="103">
        <v>35468.166553725612</v>
      </c>
      <c r="E215" s="103">
        <v>35134.748539587112</v>
      </c>
      <c r="F215" s="105"/>
      <c r="G215" s="88">
        <v>3.9</v>
      </c>
      <c r="H215" s="71">
        <f>H198-H220</f>
        <v>5.6914000000000007</v>
      </c>
      <c r="I215" s="71">
        <f>I198-I220</f>
        <v>7.3988200000000006</v>
      </c>
      <c r="J215" s="105"/>
      <c r="K215" s="105">
        <f>G215*C215</f>
        <v>134846.39999999999</v>
      </c>
      <c r="L215" s="105">
        <f>G215*D215</f>
        <v>138325.84955952989</v>
      </c>
      <c r="M215" s="105">
        <f>G215*E215</f>
        <v>137025.51930438975</v>
      </c>
      <c r="N215" s="105"/>
      <c r="O215" s="105">
        <f>H215*D215</f>
        <v>201863.52312387398</v>
      </c>
      <c r="P215" s="105">
        <f>I215*E215</f>
        <v>259955.68018966794</v>
      </c>
      <c r="Q215" s="105"/>
    </row>
    <row r="216" spans="1:21" hidden="1" outlineLevel="1" x14ac:dyDescent="0.2">
      <c r="A216" s="80">
        <f t="shared" si="13"/>
        <v>206</v>
      </c>
      <c r="B216" s="106" t="s">
        <v>74</v>
      </c>
      <c r="C216" s="129">
        <f>SUM(C214:C215)</f>
        <v>66471</v>
      </c>
      <c r="D216" s="129">
        <f>SUM(D214:D215)</f>
        <v>67124.139371323836</v>
      </c>
      <c r="E216" s="129">
        <f>SUM(E214:E215)</f>
        <v>66350.80201254964</v>
      </c>
      <c r="F216" s="105"/>
      <c r="G216" s="108"/>
      <c r="H216" s="105"/>
      <c r="I216" s="105"/>
      <c r="J216" s="105"/>
      <c r="K216" s="132">
        <f>SUM(K214:K215)</f>
        <v>321432.15000000002</v>
      </c>
      <c r="L216" s="132">
        <f>SUM(L214:L215)</f>
        <v>323513.29054247949</v>
      </c>
      <c r="M216" s="132">
        <f>SUM(M214:M215)</f>
        <v>319639.43212122051</v>
      </c>
      <c r="N216" s="132"/>
      <c r="O216" s="132">
        <f>SUM(O214:O215)</f>
        <v>472113.7286649918</v>
      </c>
      <c r="P216" s="132">
        <f>SUM(P214:P215)</f>
        <v>606398.62132490485</v>
      </c>
      <c r="Q216" s="105"/>
      <c r="R216" s="72"/>
      <c r="S216" s="72"/>
      <c r="T216" s="105"/>
      <c r="U216" s="105"/>
    </row>
    <row r="217" spans="1:21" hidden="1" outlineLevel="1" x14ac:dyDescent="0.2">
      <c r="A217" s="80">
        <f t="shared" si="13"/>
        <v>207</v>
      </c>
      <c r="B217" s="106"/>
      <c r="C217" s="103"/>
      <c r="D217" s="103"/>
      <c r="E217" s="103"/>
      <c r="F217" s="105"/>
      <c r="G217" s="108"/>
      <c r="H217" s="105"/>
      <c r="I217" s="105"/>
      <c r="J217" s="105"/>
      <c r="K217" s="124"/>
      <c r="L217" s="124"/>
      <c r="M217" s="124"/>
      <c r="N217" s="124"/>
      <c r="O217" s="124"/>
      <c r="P217" s="124"/>
      <c r="Q217" s="105"/>
      <c r="R217" s="72"/>
      <c r="S217" s="72"/>
      <c r="T217" s="105"/>
      <c r="U217" s="105"/>
    </row>
    <row r="218" spans="1:21" hidden="1" outlineLevel="1" x14ac:dyDescent="0.2">
      <c r="A218" s="80">
        <f t="shared" si="13"/>
        <v>208</v>
      </c>
      <c r="B218" s="79" t="s">
        <v>117</v>
      </c>
      <c r="C218" s="103"/>
      <c r="D218" s="103"/>
      <c r="E218" s="103"/>
      <c r="F218" s="105"/>
      <c r="G218" s="108"/>
      <c r="H218" s="105"/>
      <c r="I218" s="105"/>
      <c r="J218" s="105"/>
      <c r="K218" s="124"/>
      <c r="L218" s="124"/>
      <c r="M218" s="124"/>
      <c r="N218" s="124"/>
      <c r="O218" s="124"/>
      <c r="P218" s="124"/>
      <c r="Q218" s="105"/>
      <c r="R218" s="72"/>
      <c r="S218" s="72"/>
      <c r="T218" s="105"/>
      <c r="U218" s="105"/>
    </row>
    <row r="219" spans="1:21" hidden="1" outlineLevel="1" x14ac:dyDescent="0.2">
      <c r="A219" s="80">
        <f t="shared" si="13"/>
        <v>209</v>
      </c>
      <c r="B219" s="111" t="s">
        <v>105</v>
      </c>
      <c r="C219" s="103">
        <v>20691</v>
      </c>
      <c r="D219" s="103">
        <v>20535.937719671576</v>
      </c>
      <c r="E219" s="103">
        <v>20250.552199688595</v>
      </c>
      <c r="F219" s="105"/>
      <c r="G219" s="88">
        <v>6.09</v>
      </c>
      <c r="H219" s="71">
        <f>IF(SUM(L227:L228)&gt;45%,$H$197*R219,$H$197*SUM(L227:L228))</f>
        <v>6.9849000000000006</v>
      </c>
      <c r="I219" s="71">
        <f>IF(SUM(M227:M228)&gt;45%,$I$197*S219,$I$197*SUM(M227:M228))</f>
        <v>9.0803700000000003</v>
      </c>
      <c r="J219" s="105"/>
      <c r="K219" s="105">
        <f>G219*C219</f>
        <v>126008.19</v>
      </c>
      <c r="L219" s="105">
        <f>G219*D219</f>
        <v>125063.8607127999</v>
      </c>
      <c r="M219" s="105">
        <f>G219*E219</f>
        <v>123325.86289610354</v>
      </c>
      <c r="N219" s="105"/>
      <c r="O219" s="105">
        <f>H219*D219</f>
        <v>143441.47137813401</v>
      </c>
      <c r="P219" s="105">
        <f>I219*E219</f>
        <v>183882.50667748632</v>
      </c>
      <c r="Q219" s="105"/>
      <c r="R219" s="76">
        <f>R110</f>
        <v>0.45</v>
      </c>
      <c r="S219" s="76">
        <f>R219</f>
        <v>0.45</v>
      </c>
      <c r="T219" s="105"/>
      <c r="U219" s="79" t="s">
        <v>118</v>
      </c>
    </row>
    <row r="220" spans="1:21" hidden="1" outlineLevel="1" x14ac:dyDescent="0.2">
      <c r="A220" s="80">
        <f t="shared" si="13"/>
        <v>210</v>
      </c>
      <c r="B220" s="111" t="s">
        <v>107</v>
      </c>
      <c r="C220" s="103">
        <v>26887</v>
      </c>
      <c r="D220" s="103">
        <v>27580.766836245388</v>
      </c>
      <c r="E220" s="103">
        <v>27321.494215174651</v>
      </c>
      <c r="F220" s="105"/>
      <c r="G220" s="88">
        <v>4.0599999999999996</v>
      </c>
      <c r="H220" s="71">
        <f>IF(SUM(L227:L228)&gt;45%,$H$198*R220,$H$198*SUM(L227:L228))</f>
        <v>4.6566000000000001</v>
      </c>
      <c r="I220" s="71">
        <f>IF(SUM(M227:M228)&gt;45%,$I$198*S220,$I$198*SUM(M227:M228))</f>
        <v>6.0535800000000002</v>
      </c>
      <c r="J220" s="105"/>
      <c r="K220" s="105">
        <f>G220*C220</f>
        <v>109161.21999999999</v>
      </c>
      <c r="L220" s="105">
        <f>G220*D220</f>
        <v>111977.91335515627</v>
      </c>
      <c r="M220" s="105">
        <f>G220*E220</f>
        <v>110925.26651360907</v>
      </c>
      <c r="N220" s="105"/>
      <c r="O220" s="105">
        <f>H220*D220</f>
        <v>128432.59884966028</v>
      </c>
      <c r="P220" s="105">
        <f>I220*E220</f>
        <v>165392.85095109697</v>
      </c>
      <c r="Q220" s="105"/>
      <c r="R220" s="76">
        <f>R219</f>
        <v>0.45</v>
      </c>
      <c r="S220" s="76">
        <f>S219</f>
        <v>0.45</v>
      </c>
      <c r="T220" s="105"/>
      <c r="U220" s="79" t="s">
        <v>118</v>
      </c>
    </row>
    <row r="221" spans="1:21" hidden="1" outlineLevel="1" x14ac:dyDescent="0.2">
      <c r="A221" s="80">
        <f t="shared" si="13"/>
        <v>211</v>
      </c>
      <c r="B221" s="106" t="s">
        <v>74</v>
      </c>
      <c r="C221" s="129">
        <f>SUM(C219:C220)</f>
        <v>47578</v>
      </c>
      <c r="D221" s="129">
        <f>SUM(D219:D220)</f>
        <v>48116.704555916964</v>
      </c>
      <c r="E221" s="129">
        <f>SUM(E219:E220)</f>
        <v>47572.046414863245</v>
      </c>
      <c r="F221" s="105"/>
      <c r="G221" s="108"/>
      <c r="H221" s="105"/>
      <c r="I221" s="105"/>
      <c r="J221" s="105"/>
      <c r="K221" s="132">
        <f>SUM(K219:K220)</f>
        <v>235169.40999999997</v>
      </c>
      <c r="L221" s="132">
        <f>SUM(L219:L220)</f>
        <v>237041.77406795617</v>
      </c>
      <c r="M221" s="132">
        <f>SUM(M219:M220)</f>
        <v>234251.12940971262</v>
      </c>
      <c r="N221" s="132"/>
      <c r="O221" s="132">
        <f>SUM(O219:O220)</f>
        <v>271874.07022779429</v>
      </c>
      <c r="P221" s="132">
        <f>SUM(P219:P220)</f>
        <v>349275.35762858333</v>
      </c>
    </row>
    <row r="222" spans="1:21" hidden="1" outlineLevel="1" x14ac:dyDescent="0.2">
      <c r="A222" s="80">
        <f t="shared" si="13"/>
        <v>212</v>
      </c>
      <c r="B222" s="106"/>
      <c r="C222" s="103"/>
      <c r="D222" s="103"/>
      <c r="E222" s="103"/>
      <c r="F222" s="105"/>
      <c r="G222" s="108"/>
      <c r="H222" s="105"/>
      <c r="I222" s="105"/>
      <c r="J222" s="105"/>
      <c r="K222" s="124"/>
      <c r="L222" s="124"/>
      <c r="M222" s="124"/>
      <c r="N222" s="124"/>
      <c r="O222" s="124"/>
      <c r="P222" s="124"/>
    </row>
    <row r="223" spans="1:21" ht="12" hidden="1" outlineLevel="1" thickBot="1" x14ac:dyDescent="0.25">
      <c r="A223" s="80">
        <f t="shared" si="13"/>
        <v>213</v>
      </c>
      <c r="B223" s="79" t="s">
        <v>110</v>
      </c>
      <c r="C223" s="103"/>
      <c r="D223" s="103"/>
      <c r="E223" s="103"/>
      <c r="G223" s="103"/>
      <c r="K223" s="134">
        <f>SUM(K216,K221)</f>
        <v>556601.56000000006</v>
      </c>
      <c r="L223" s="134">
        <f>SUM(L216,L221)</f>
        <v>560555.06461043563</v>
      </c>
      <c r="M223" s="134">
        <f>SUM(M216,M221)</f>
        <v>553890.56153093313</v>
      </c>
      <c r="N223" s="134"/>
      <c r="O223" s="134">
        <f>SUM(O216,O221)</f>
        <v>743987.79889278603</v>
      </c>
      <c r="P223" s="134">
        <f>SUM(P216,P221)</f>
        <v>955673.97895348817</v>
      </c>
    </row>
    <row r="224" spans="1:21" hidden="1" outlineLevel="1" x14ac:dyDescent="0.2">
      <c r="A224" s="80">
        <f t="shared" si="13"/>
        <v>214</v>
      </c>
      <c r="B224" s="122" t="s">
        <v>113</v>
      </c>
      <c r="C224" s="103"/>
      <c r="D224" s="103"/>
      <c r="E224" s="103"/>
      <c r="G224" s="141">
        <f t="shared" ref="G224:I225" si="14">G197-SUM(G214,G219)</f>
        <v>0</v>
      </c>
      <c r="H224" s="141">
        <f t="shared" si="14"/>
        <v>0</v>
      </c>
      <c r="I224" s="141">
        <f t="shared" si="14"/>
        <v>0</v>
      </c>
      <c r="K224" s="124"/>
      <c r="L224" s="124"/>
      <c r="M224" s="124"/>
      <c r="N224" s="124"/>
      <c r="O224" s="124"/>
      <c r="P224" s="124"/>
    </row>
    <row r="225" spans="1:21" hidden="1" outlineLevel="1" x14ac:dyDescent="0.2">
      <c r="A225" s="80">
        <f t="shared" si="13"/>
        <v>215</v>
      </c>
      <c r="B225" s="122" t="s">
        <v>113</v>
      </c>
      <c r="C225" s="103"/>
      <c r="D225" s="103"/>
      <c r="E225" s="103"/>
      <c r="F225" s="105"/>
      <c r="G225" s="141">
        <f t="shared" si="14"/>
        <v>0</v>
      </c>
      <c r="H225" s="141">
        <f t="shared" si="14"/>
        <v>0</v>
      </c>
      <c r="I225" s="141">
        <f t="shared" si="14"/>
        <v>0</v>
      </c>
      <c r="J225" s="105"/>
      <c r="K225" s="124"/>
      <c r="L225" s="124"/>
      <c r="M225" s="124"/>
      <c r="N225" s="124"/>
      <c r="O225" s="142" t="s">
        <v>5</v>
      </c>
      <c r="P225" s="142" t="s">
        <v>6</v>
      </c>
    </row>
    <row r="226" spans="1:21" hidden="1" outlineLevel="1" x14ac:dyDescent="0.2">
      <c r="A226" s="80">
        <f t="shared" si="13"/>
        <v>216</v>
      </c>
      <c r="B226" s="181"/>
      <c r="C226" s="143"/>
      <c r="D226" s="143"/>
      <c r="E226" s="143"/>
      <c r="F226" s="144"/>
      <c r="G226" s="145"/>
      <c r="H226" s="144"/>
      <c r="I226" s="144"/>
      <c r="J226" s="144"/>
      <c r="K226" s="146"/>
      <c r="L226" s="146"/>
      <c r="M226" s="146"/>
      <c r="N226" s="146"/>
      <c r="O226" s="147"/>
      <c r="P226" s="147"/>
    </row>
    <row r="227" spans="1:21" hidden="1" outlineLevel="1" x14ac:dyDescent="0.2">
      <c r="A227" s="80">
        <f t="shared" si="13"/>
        <v>217</v>
      </c>
      <c r="B227" s="182" t="s">
        <v>119</v>
      </c>
      <c r="C227" s="103"/>
      <c r="D227" s="103"/>
      <c r="E227" s="103"/>
      <c r="F227" s="105"/>
      <c r="G227" s="108"/>
      <c r="H227" s="105"/>
      <c r="I227" s="105"/>
      <c r="J227" s="105"/>
      <c r="K227" s="124"/>
      <c r="L227" s="77">
        <f>O227/O230</f>
        <v>0.3473365810274846</v>
      </c>
      <c r="M227" s="77">
        <f>P227/P230</f>
        <v>0.3473365810274846</v>
      </c>
      <c r="N227" s="77"/>
      <c r="O227" s="148">
        <v>18828813.980762526</v>
      </c>
      <c r="P227" s="148">
        <f>O227</f>
        <v>18828813.980762526</v>
      </c>
    </row>
    <row r="228" spans="1:21" hidden="1" outlineLevel="1" x14ac:dyDescent="0.2">
      <c r="A228" s="80">
        <f t="shared" si="13"/>
        <v>218</v>
      </c>
      <c r="B228" s="183" t="s">
        <v>120</v>
      </c>
      <c r="C228" s="103"/>
      <c r="D228" s="103"/>
      <c r="E228" s="103"/>
      <c r="F228" s="105"/>
      <c r="G228" s="108"/>
      <c r="H228" s="105"/>
      <c r="I228" s="105"/>
      <c r="J228" s="105"/>
      <c r="K228" s="124"/>
      <c r="L228" s="77">
        <f>O228/O230</f>
        <v>0.17383298549178347</v>
      </c>
      <c r="M228" s="77">
        <f>P228/P230</f>
        <v>0.17383298549178347</v>
      </c>
      <c r="N228" s="77"/>
      <c r="O228" s="148">
        <v>9423334.9619065467</v>
      </c>
      <c r="P228" s="148">
        <f>O228</f>
        <v>9423334.9619065467</v>
      </c>
    </row>
    <row r="229" spans="1:21" hidden="1" outlineLevel="1" x14ac:dyDescent="0.2">
      <c r="A229" s="80">
        <f t="shared" si="13"/>
        <v>219</v>
      </c>
      <c r="B229" s="183" t="s">
        <v>121</v>
      </c>
      <c r="C229" s="103"/>
      <c r="D229" s="103"/>
      <c r="E229" s="103"/>
      <c r="F229" s="105"/>
      <c r="G229" s="108"/>
      <c r="H229" s="105"/>
      <c r="I229" s="105"/>
      <c r="J229" s="105"/>
      <c r="K229" s="124"/>
      <c r="L229" s="77">
        <f>O229/O230</f>
        <v>0.47883043348073195</v>
      </c>
      <c r="M229" s="77">
        <f>P229/P230</f>
        <v>0.47883043348073195</v>
      </c>
      <c r="N229" s="77"/>
      <c r="O229" s="148">
        <v>25956981.362764001</v>
      </c>
      <c r="P229" s="148">
        <f>O229</f>
        <v>25956981.362764001</v>
      </c>
    </row>
    <row r="230" spans="1:21" ht="12" hidden="1" outlineLevel="1" thickBot="1" x14ac:dyDescent="0.25">
      <c r="A230" s="80">
        <f t="shared" si="13"/>
        <v>220</v>
      </c>
      <c r="B230" s="183" t="s">
        <v>122</v>
      </c>
      <c r="C230" s="103"/>
      <c r="D230" s="103"/>
      <c r="E230" s="103"/>
      <c r="F230" s="105"/>
      <c r="G230" s="108"/>
      <c r="H230" s="105"/>
      <c r="I230" s="105"/>
      <c r="J230" s="105"/>
      <c r="K230" s="124"/>
      <c r="L230" s="149">
        <f>SUM(L227:L229)</f>
        <v>1</v>
      </c>
      <c r="M230" s="149">
        <f>SUM(M227:M229)</f>
        <v>1</v>
      </c>
      <c r="N230" s="150"/>
      <c r="O230" s="151">
        <f>SUM(O227:O229)</f>
        <v>54209130.305433072</v>
      </c>
      <c r="P230" s="151">
        <f>SUM(P227:P229)</f>
        <v>54209130.305433072</v>
      </c>
    </row>
    <row r="231" spans="1:21" ht="12" hidden="1" outlineLevel="1" thickBot="1" x14ac:dyDescent="0.25">
      <c r="A231" s="80">
        <f t="shared" si="13"/>
        <v>221</v>
      </c>
      <c r="B231" s="184" t="s">
        <v>123</v>
      </c>
      <c r="C231" s="154"/>
      <c r="D231" s="154"/>
      <c r="E231" s="154"/>
      <c r="F231" s="155"/>
      <c r="G231" s="156"/>
      <c r="H231" s="155"/>
      <c r="I231" s="155"/>
      <c r="J231" s="155"/>
      <c r="K231" s="157"/>
      <c r="L231" s="157"/>
      <c r="M231" s="157"/>
      <c r="N231" s="157"/>
      <c r="O231" s="158"/>
      <c r="P231" s="158"/>
    </row>
    <row r="232" spans="1:21" hidden="1" outlineLevel="1" x14ac:dyDescent="0.2">
      <c r="A232" s="80">
        <f t="shared" si="13"/>
        <v>222</v>
      </c>
      <c r="B232" s="125"/>
      <c r="C232" s="126"/>
      <c r="D232" s="126"/>
      <c r="E232" s="126"/>
      <c r="F232" s="126"/>
      <c r="G232" s="127"/>
      <c r="H232" s="127"/>
      <c r="I232" s="127"/>
      <c r="J232" s="126"/>
      <c r="K232" s="126"/>
      <c r="L232" s="126"/>
      <c r="M232" s="126"/>
      <c r="N232" s="126"/>
      <c r="O232" s="126"/>
      <c r="P232" s="126"/>
      <c r="Q232" s="126"/>
      <c r="R232" s="126"/>
      <c r="S232" s="126"/>
      <c r="T232" s="126"/>
      <c r="U232" s="126"/>
    </row>
    <row r="233" spans="1:21" hidden="1" outlineLevel="1" x14ac:dyDescent="0.2">
      <c r="A233" s="80">
        <f t="shared" si="13"/>
        <v>223</v>
      </c>
    </row>
    <row r="234" spans="1:21" hidden="1" outlineLevel="1" x14ac:dyDescent="0.2">
      <c r="A234" s="80">
        <f t="shared" si="13"/>
        <v>224</v>
      </c>
      <c r="B234" s="100" t="s">
        <v>209</v>
      </c>
    </row>
    <row r="235" spans="1:21" hidden="1" outlineLevel="1" x14ac:dyDescent="0.2">
      <c r="A235" s="80">
        <f t="shared" si="13"/>
        <v>225</v>
      </c>
      <c r="B235" s="102" t="s">
        <v>171</v>
      </c>
    </row>
    <row r="236" spans="1:21" hidden="1" outlineLevel="1" x14ac:dyDescent="0.2">
      <c r="A236" s="80">
        <f t="shared" si="13"/>
        <v>226</v>
      </c>
    </row>
    <row r="237" spans="1:21" hidden="1" outlineLevel="1" x14ac:dyDescent="0.2">
      <c r="A237" s="80">
        <f t="shared" si="13"/>
        <v>227</v>
      </c>
      <c r="B237" s="79" t="s">
        <v>35</v>
      </c>
      <c r="C237" s="103">
        <v>23</v>
      </c>
      <c r="D237" s="103">
        <v>15.333333333333336</v>
      </c>
      <c r="E237" s="103">
        <v>15.333333333333336</v>
      </c>
      <c r="F237" s="105"/>
      <c r="G237" s="88">
        <v>358.11</v>
      </c>
      <c r="H237" s="71">
        <f>G237*(1+R237)</f>
        <v>465.54300000000001</v>
      </c>
      <c r="I237" s="71">
        <f>H237*(1+S237)</f>
        <v>605.20590000000004</v>
      </c>
      <c r="J237" s="105"/>
      <c r="K237" s="105">
        <f>G237*C237</f>
        <v>8236.5300000000007</v>
      </c>
      <c r="L237" s="105">
        <f>G237*D237</f>
        <v>5491.0200000000013</v>
      </c>
      <c r="M237" s="105">
        <f>G237*E237</f>
        <v>5491.0200000000013</v>
      </c>
      <c r="N237" s="105"/>
      <c r="O237" s="105">
        <f>H237*D237</f>
        <v>7138.3260000000009</v>
      </c>
      <c r="P237" s="105">
        <f>I237*E237</f>
        <v>9279.8238000000019</v>
      </c>
      <c r="Q237" s="105"/>
      <c r="R237" s="72">
        <v>0.3</v>
      </c>
      <c r="S237" s="72">
        <f>R237</f>
        <v>0.3</v>
      </c>
      <c r="U237" s="79" t="s">
        <v>97</v>
      </c>
    </row>
    <row r="238" spans="1:21" hidden="1" outlineLevel="1" x14ac:dyDescent="0.2">
      <c r="A238" s="80">
        <f t="shared" si="13"/>
        <v>228</v>
      </c>
      <c r="B238" s="79" t="s">
        <v>98</v>
      </c>
      <c r="C238" s="103"/>
      <c r="D238" s="103"/>
      <c r="E238" s="103"/>
      <c r="F238" s="105"/>
      <c r="G238" s="131"/>
      <c r="H238" s="105"/>
      <c r="I238" s="105"/>
      <c r="J238" s="105"/>
      <c r="K238" s="124"/>
      <c r="L238" s="124"/>
      <c r="M238" s="124"/>
      <c r="N238" s="124"/>
      <c r="O238" s="124"/>
      <c r="P238" s="124"/>
      <c r="Q238" s="105"/>
      <c r="R238" s="105"/>
      <c r="S238" s="105"/>
      <c r="T238" s="105"/>
      <c r="U238" s="105"/>
    </row>
    <row r="239" spans="1:21" hidden="1" outlineLevel="1" x14ac:dyDescent="0.2">
      <c r="A239" s="80">
        <f t="shared" si="13"/>
        <v>229</v>
      </c>
      <c r="B239" s="111" t="s">
        <v>99</v>
      </c>
      <c r="C239" s="103">
        <v>4259760</v>
      </c>
      <c r="D239" s="103">
        <v>4407260.1568774413</v>
      </c>
      <c r="E239" s="103">
        <v>4380281.1514552524</v>
      </c>
      <c r="F239" s="105"/>
      <c r="G239" s="112">
        <v>5.3178000000000003E-2</v>
      </c>
      <c r="H239" s="112">
        <f>G239+R239</f>
        <v>8.0796474616287278E-2</v>
      </c>
      <c r="I239" s="112">
        <f>H239+S239</f>
        <v>8.8636008417079415E-2</v>
      </c>
      <c r="J239" s="105"/>
      <c r="K239" s="105">
        <f>G239*C239</f>
        <v>226525.51728</v>
      </c>
      <c r="L239" s="105">
        <f>G239*D239</f>
        <v>234369.28062242857</v>
      </c>
      <c r="M239" s="105">
        <f>G239*E239</f>
        <v>232934.59107208744</v>
      </c>
      <c r="N239" s="105"/>
      <c r="O239" s="105">
        <f>H239*D239</f>
        <v>356091.08339252247</v>
      </c>
      <c r="P239" s="105">
        <f>I239*E239</f>
        <v>388250.63700956205</v>
      </c>
      <c r="Q239" s="105"/>
      <c r="R239" s="112">
        <f>(R252-(O237-L237)-(O247-L247)-(O249-L249))/D243</f>
        <v>2.7618474616287268E-2</v>
      </c>
      <c r="S239" s="112">
        <f>((S252+R252)-(P237-M237)-(P247-M247)-(P249-M249))/E243-R239</f>
        <v>7.8395338007921436E-3</v>
      </c>
      <c r="U239" s="102" t="s">
        <v>100</v>
      </c>
    </row>
    <row r="240" spans="1:21" hidden="1" outlineLevel="1" x14ac:dyDescent="0.2">
      <c r="A240" s="80">
        <f t="shared" si="13"/>
        <v>230</v>
      </c>
      <c r="B240" s="106" t="s">
        <v>74</v>
      </c>
      <c r="C240" s="129">
        <f>SUM(C239:C239)</f>
        <v>4259760</v>
      </c>
      <c r="D240" s="129">
        <f>SUM(D239:D239)</f>
        <v>4407260.1568774413</v>
      </c>
      <c r="E240" s="129">
        <f>SUM(E239:E239)</f>
        <v>4380281.1514552524</v>
      </c>
      <c r="F240" s="105"/>
      <c r="G240" s="140"/>
      <c r="H240" s="105"/>
      <c r="I240" s="105"/>
      <c r="J240" s="105"/>
      <c r="K240" s="132">
        <f>SUM(K239:K239)</f>
        <v>226525.51728</v>
      </c>
      <c r="L240" s="132">
        <f>SUM(L239:L239)</f>
        <v>234369.28062242857</v>
      </c>
      <c r="M240" s="132">
        <f>SUM(M239:M239)</f>
        <v>232934.59107208744</v>
      </c>
      <c r="N240" s="132"/>
      <c r="O240" s="132">
        <f>SUM(O239:O239)</f>
        <v>356091.08339252247</v>
      </c>
      <c r="P240" s="132">
        <f>SUM(P239:P239)</f>
        <v>388250.63700956205</v>
      </c>
      <c r="Q240" s="105"/>
      <c r="R240" s="105"/>
      <c r="S240" s="105"/>
      <c r="T240" s="105"/>
      <c r="U240" s="105"/>
    </row>
    <row r="241" spans="1:21" hidden="1" outlineLevel="1" x14ac:dyDescent="0.2">
      <c r="A241" s="80">
        <f t="shared" si="13"/>
        <v>231</v>
      </c>
      <c r="B241" s="111" t="s">
        <v>101</v>
      </c>
      <c r="C241" s="103">
        <v>0</v>
      </c>
      <c r="D241" s="115" t="s">
        <v>102</v>
      </c>
      <c r="E241" s="115"/>
      <c r="F241" s="105"/>
      <c r="G241" s="73">
        <f>IFERROR(K241/C241,0)</f>
        <v>0</v>
      </c>
      <c r="H241" s="105"/>
      <c r="I241" s="105"/>
      <c r="J241" s="105"/>
      <c r="K241" s="124">
        <v>0</v>
      </c>
      <c r="L241" s="105">
        <f>G241*D241</f>
        <v>0</v>
      </c>
      <c r="M241" s="105">
        <f>G241*E241</f>
        <v>0</v>
      </c>
      <c r="N241" s="105"/>
      <c r="O241" s="105">
        <f>H241*D241</f>
        <v>0</v>
      </c>
      <c r="P241" s="105">
        <f>I241*E241</f>
        <v>0</v>
      </c>
      <c r="Q241" s="105"/>
      <c r="R241" s="105"/>
      <c r="S241" s="105"/>
      <c r="T241" s="105"/>
      <c r="U241" s="105"/>
    </row>
    <row r="242" spans="1:21" hidden="1" outlineLevel="1" x14ac:dyDescent="0.2">
      <c r="A242" s="80">
        <f t="shared" si="13"/>
        <v>232</v>
      </c>
      <c r="B242" s="114" t="s">
        <v>103</v>
      </c>
      <c r="C242" s="103">
        <v>1013010</v>
      </c>
      <c r="D242" s="115" t="s">
        <v>102</v>
      </c>
      <c r="E242" s="115"/>
      <c r="F242" s="105"/>
      <c r="G242" s="73">
        <f>K242/C242</f>
        <v>9.5761147471397121E-2</v>
      </c>
      <c r="H242" s="105"/>
      <c r="I242" s="105"/>
      <c r="J242" s="105"/>
      <c r="K242" s="124">
        <v>97007</v>
      </c>
      <c r="L242" s="105">
        <f>G242*D242</f>
        <v>0</v>
      </c>
      <c r="M242" s="105">
        <f>G242*E242</f>
        <v>0</v>
      </c>
      <c r="N242" s="105"/>
      <c r="O242" s="105">
        <f>H242*D242</f>
        <v>0</v>
      </c>
      <c r="P242" s="105">
        <f>I242*E242</f>
        <v>0</v>
      </c>
      <c r="Q242" s="105"/>
      <c r="R242" s="105"/>
      <c r="S242" s="105"/>
      <c r="T242" s="105"/>
      <c r="U242" s="105"/>
    </row>
    <row r="243" spans="1:21" hidden="1" outlineLevel="1" x14ac:dyDescent="0.2">
      <c r="A243" s="80">
        <f t="shared" si="13"/>
        <v>233</v>
      </c>
      <c r="B243" s="106" t="s">
        <v>74</v>
      </c>
      <c r="C243" s="129">
        <f>SUM(C240:C242)</f>
        <v>5272770</v>
      </c>
      <c r="D243" s="129">
        <f>SUM(D240:D242)</f>
        <v>4407260.1568774413</v>
      </c>
      <c r="E243" s="129">
        <f>SUM(E240:E242)</f>
        <v>4380281.1514552524</v>
      </c>
      <c r="F243" s="105"/>
      <c r="G243" s="73"/>
      <c r="H243" s="105"/>
      <c r="I243" s="105"/>
      <c r="J243" s="105"/>
      <c r="K243" s="132">
        <f>SUM(K240:K242)</f>
        <v>323532.51728000003</v>
      </c>
      <c r="L243" s="132">
        <f>SUM(L240:L242)</f>
        <v>234369.28062242857</v>
      </c>
      <c r="M243" s="132">
        <f>SUM(M240:M242)</f>
        <v>232934.59107208744</v>
      </c>
      <c r="N243" s="132"/>
      <c r="O243" s="132">
        <f>SUM(O240:O242)</f>
        <v>356091.08339252247</v>
      </c>
      <c r="P243" s="132">
        <f>SUM(P240:P242)</f>
        <v>388250.63700956205</v>
      </c>
      <c r="Q243" s="105"/>
      <c r="R243" s="105"/>
      <c r="S243" s="105"/>
      <c r="T243" s="105"/>
      <c r="U243" s="105"/>
    </row>
    <row r="244" spans="1:21" hidden="1" outlineLevel="1" x14ac:dyDescent="0.2">
      <c r="A244" s="80">
        <f t="shared" si="13"/>
        <v>234</v>
      </c>
      <c r="B244" s="79" t="s">
        <v>104</v>
      </c>
      <c r="C244" s="103"/>
      <c r="D244" s="103"/>
      <c r="E244" s="103"/>
      <c r="F244" s="105"/>
      <c r="G244" s="108"/>
      <c r="H244" s="105"/>
      <c r="I244" s="105"/>
      <c r="J244" s="105"/>
      <c r="K244" s="124"/>
      <c r="L244" s="124"/>
      <c r="M244" s="124"/>
      <c r="N244" s="124"/>
      <c r="O244" s="124"/>
      <c r="P244" s="124"/>
      <c r="Q244" s="105"/>
      <c r="R244" s="105"/>
      <c r="S244" s="105"/>
      <c r="T244" s="105"/>
      <c r="U244" s="105"/>
    </row>
    <row r="245" spans="1:21" hidden="1" outlineLevel="1" x14ac:dyDescent="0.2">
      <c r="A245" s="80">
        <f t="shared" si="13"/>
        <v>235</v>
      </c>
      <c r="B245" s="111" t="s">
        <v>105</v>
      </c>
      <c r="C245" s="103">
        <v>1114</v>
      </c>
      <c r="D245" s="103">
        <v>2128.9361059551925</v>
      </c>
      <c r="E245" s="103">
        <v>2115.8748434374315</v>
      </c>
      <c r="F245" s="105"/>
      <c r="G245" s="88">
        <v>4.92</v>
      </c>
      <c r="H245" s="71">
        <f>G245*(1+R245)</f>
        <v>6.3959999999999999</v>
      </c>
      <c r="I245" s="71">
        <f>H245*(1+S245)</f>
        <v>8.3148</v>
      </c>
      <c r="J245" s="105"/>
      <c r="K245" s="105">
        <f>G245*C245</f>
        <v>5480.88</v>
      </c>
      <c r="L245" s="105">
        <f>G245*D245</f>
        <v>10474.365641299546</v>
      </c>
      <c r="M245" s="105">
        <f>G245*E245</f>
        <v>10410.104229712162</v>
      </c>
      <c r="N245" s="105"/>
      <c r="O245" s="105">
        <f>H245*D245</f>
        <v>13616.675333689411</v>
      </c>
      <c r="P245" s="105">
        <f>I245*E245</f>
        <v>17593.076148213557</v>
      </c>
      <c r="Q245" s="105"/>
      <c r="R245" s="72">
        <v>0.3</v>
      </c>
      <c r="S245" s="72">
        <f>R245</f>
        <v>0.3</v>
      </c>
      <c r="T245" s="105"/>
      <c r="U245" s="102" t="s">
        <v>106</v>
      </c>
    </row>
    <row r="246" spans="1:21" hidden="1" outlineLevel="1" x14ac:dyDescent="0.2">
      <c r="A246" s="80">
        <f t="shared" si="13"/>
        <v>236</v>
      </c>
      <c r="B246" s="111" t="s">
        <v>107</v>
      </c>
      <c r="C246" s="103">
        <v>6962</v>
      </c>
      <c r="D246" s="103">
        <v>6067.4318320259426</v>
      </c>
      <c r="E246" s="103">
        <v>6030.4348333722037</v>
      </c>
      <c r="F246" s="105"/>
      <c r="G246" s="88">
        <v>3.28</v>
      </c>
      <c r="H246" s="71">
        <f>G246*(1+R246)</f>
        <v>4.2640000000000002</v>
      </c>
      <c r="I246" s="71">
        <f>H246*(1+S246)</f>
        <v>5.5432000000000006</v>
      </c>
      <c r="J246" s="105"/>
      <c r="K246" s="105">
        <f>G246*C246</f>
        <v>22835.359999999997</v>
      </c>
      <c r="L246" s="105">
        <f>G246*D246</f>
        <v>19901.176409045092</v>
      </c>
      <c r="M246" s="105">
        <f>G246*E246</f>
        <v>19779.826253460826</v>
      </c>
      <c r="N246" s="105"/>
      <c r="O246" s="105">
        <f>H246*D246</f>
        <v>25871.529331758622</v>
      </c>
      <c r="P246" s="105">
        <f>I246*E246</f>
        <v>33427.906368348806</v>
      </c>
      <c r="Q246" s="105"/>
      <c r="R246" s="74">
        <f>R245</f>
        <v>0.3</v>
      </c>
      <c r="S246" s="74">
        <f>S245</f>
        <v>0.3</v>
      </c>
      <c r="T246" s="105"/>
      <c r="U246" s="102" t="s">
        <v>106</v>
      </c>
    </row>
    <row r="247" spans="1:21" hidden="1" outlineLevel="1" x14ac:dyDescent="0.2">
      <c r="A247" s="80">
        <f t="shared" si="13"/>
        <v>237</v>
      </c>
      <c r="B247" s="106" t="s">
        <v>74</v>
      </c>
      <c r="C247" s="129">
        <f>SUM(C245:C246)</f>
        <v>8076</v>
      </c>
      <c r="D247" s="129">
        <f>SUM(D245:D246)</f>
        <v>8196.3679379811347</v>
      </c>
      <c r="E247" s="129">
        <f>SUM(E245:E246)</f>
        <v>8146.3096768096348</v>
      </c>
      <c r="F247" s="105"/>
      <c r="G247" s="108"/>
      <c r="K247" s="132">
        <f>SUM(K245:K246)</f>
        <v>28316.239999999998</v>
      </c>
      <c r="L247" s="132">
        <f>SUM(L245:L246)</f>
        <v>30375.542050344637</v>
      </c>
      <c r="M247" s="132">
        <f>SUM(M245:M246)</f>
        <v>30189.93048317299</v>
      </c>
      <c r="N247" s="132"/>
      <c r="O247" s="132">
        <f>SUM(O245:O246)</f>
        <v>39488.204665448036</v>
      </c>
      <c r="P247" s="132">
        <f>SUM(P245:P246)</f>
        <v>51020.982516562362</v>
      </c>
    </row>
    <row r="248" spans="1:21" hidden="1" outlineLevel="1" x14ac:dyDescent="0.2">
      <c r="A248" s="80">
        <f t="shared" si="13"/>
        <v>238</v>
      </c>
      <c r="C248" s="103"/>
      <c r="D248" s="103"/>
      <c r="E248" s="103"/>
      <c r="F248" s="105"/>
      <c r="G248" s="103"/>
      <c r="K248" s="124"/>
      <c r="L248" s="124"/>
      <c r="M248" s="124"/>
      <c r="N248" s="124"/>
      <c r="O248" s="124"/>
      <c r="P248" s="124"/>
      <c r="U248" s="74"/>
    </row>
    <row r="249" spans="1:21" hidden="1" outlineLevel="1" x14ac:dyDescent="0.2">
      <c r="A249" s="80">
        <f t="shared" si="13"/>
        <v>239</v>
      </c>
      <c r="B249" s="79" t="s">
        <v>108</v>
      </c>
      <c r="C249" s="103">
        <v>2366991</v>
      </c>
      <c r="D249" s="103">
        <v>2377596.2053471482</v>
      </c>
      <c r="E249" s="103">
        <v>2362758.1274313945</v>
      </c>
      <c r="F249" s="105"/>
      <c r="G249" s="133">
        <v>1.1800000000000001E-3</v>
      </c>
      <c r="H249" s="75">
        <f>G249*(1+R249)</f>
        <v>1.5340000000000002E-3</v>
      </c>
      <c r="I249" s="75">
        <f>H249*(1+S249)</f>
        <v>1.9942000000000002E-3</v>
      </c>
      <c r="J249" s="105"/>
      <c r="K249" s="105">
        <f>G249*C249</f>
        <v>2793.0493799999999</v>
      </c>
      <c r="L249" s="105">
        <f>G249*D249</f>
        <v>2805.5635223096351</v>
      </c>
      <c r="M249" s="105">
        <f>G249*E249</f>
        <v>2788.0545903690459</v>
      </c>
      <c r="N249" s="105"/>
      <c r="O249" s="105">
        <f>H249*D249</f>
        <v>3647.2325790025261</v>
      </c>
      <c r="P249" s="105">
        <f>I249*E249</f>
        <v>4711.8122577236873</v>
      </c>
      <c r="Q249" s="105"/>
      <c r="R249" s="72">
        <v>0.3</v>
      </c>
      <c r="S249" s="72">
        <f>R249</f>
        <v>0.3</v>
      </c>
      <c r="T249" s="105"/>
      <c r="U249" s="102" t="s">
        <v>109</v>
      </c>
    </row>
    <row r="250" spans="1:21" hidden="1" outlineLevel="1" x14ac:dyDescent="0.2">
      <c r="A250" s="80">
        <f t="shared" si="13"/>
        <v>240</v>
      </c>
      <c r="C250" s="103"/>
      <c r="D250" s="103"/>
      <c r="E250" s="103"/>
      <c r="G250" s="103"/>
      <c r="K250" s="124"/>
      <c r="L250" s="124"/>
      <c r="M250" s="124"/>
      <c r="N250" s="124"/>
      <c r="O250" s="124"/>
      <c r="P250" s="124"/>
    </row>
    <row r="251" spans="1:21" ht="12" hidden="1" outlineLevel="1" thickBot="1" x14ac:dyDescent="0.25">
      <c r="A251" s="80">
        <f t="shared" si="13"/>
        <v>241</v>
      </c>
      <c r="B251" s="79" t="s">
        <v>110</v>
      </c>
      <c r="C251" s="103"/>
      <c r="D251" s="103"/>
      <c r="E251" s="103"/>
      <c r="G251" s="103"/>
      <c r="K251" s="134">
        <f>SUM(K237,K243,K247,K249)</f>
        <v>362878.33666000003</v>
      </c>
      <c r="L251" s="134">
        <f>SUM(L237,L243,L247,L249)</f>
        <v>273041.40619508282</v>
      </c>
      <c r="M251" s="134">
        <f>SUM(M237,M243,M247,M249)</f>
        <v>271403.59614562948</v>
      </c>
      <c r="N251" s="134"/>
      <c r="O251" s="134">
        <f>SUM(O237,O243,O247,O249)</f>
        <v>406364.84663697303</v>
      </c>
      <c r="P251" s="134">
        <f>SUM(P237,P243,P247,P249)</f>
        <v>453263.25558384816</v>
      </c>
      <c r="R251" s="119">
        <v>406364.84663697297</v>
      </c>
      <c r="S251" s="119">
        <v>453263.25558384811</v>
      </c>
    </row>
    <row r="252" spans="1:21" hidden="1" outlineLevel="1" x14ac:dyDescent="0.2">
      <c r="A252" s="80">
        <f t="shared" si="13"/>
        <v>242</v>
      </c>
      <c r="B252" s="102" t="s">
        <v>111</v>
      </c>
      <c r="C252" s="103"/>
      <c r="D252" s="103"/>
      <c r="E252" s="103"/>
      <c r="G252" s="103"/>
      <c r="K252" s="124"/>
      <c r="L252" s="124"/>
      <c r="M252" s="124"/>
      <c r="N252" s="124"/>
      <c r="O252" s="124"/>
      <c r="P252" s="124"/>
      <c r="R252" s="105">
        <f>R251-L251</f>
        <v>133323.44044189015</v>
      </c>
      <c r="S252" s="105">
        <f>S251-M251-R252</f>
        <v>48536.218996328476</v>
      </c>
      <c r="T252" s="105"/>
    </row>
    <row r="253" spans="1:21" hidden="1" outlineLevel="1" x14ac:dyDescent="0.2">
      <c r="A253" s="80">
        <f t="shared" si="13"/>
        <v>243</v>
      </c>
      <c r="B253" s="102" t="s">
        <v>112</v>
      </c>
      <c r="C253" s="103"/>
      <c r="D253" s="103"/>
      <c r="E253" s="103"/>
      <c r="K253" s="124"/>
      <c r="L253" s="124"/>
      <c r="M253" s="124"/>
      <c r="N253" s="124"/>
      <c r="O253" s="124"/>
      <c r="P253" s="124"/>
      <c r="R253" s="76">
        <f>R252/L251</f>
        <v>0.48829019121969042</v>
      </c>
      <c r="S253" s="76">
        <f>S252/M251</f>
        <v>0.17883410421092932</v>
      </c>
      <c r="T253" s="105"/>
    </row>
    <row r="254" spans="1:21" hidden="1" outlineLevel="1" x14ac:dyDescent="0.2">
      <c r="A254" s="80">
        <f t="shared" si="13"/>
        <v>244</v>
      </c>
      <c r="B254" s="122" t="s">
        <v>113</v>
      </c>
      <c r="C254" s="103">
        <v>0</v>
      </c>
      <c r="D254" s="103"/>
      <c r="E254" s="103"/>
      <c r="K254" s="103">
        <v>-0.33666000002995133</v>
      </c>
      <c r="L254" s="105">
        <v>0</v>
      </c>
      <c r="M254" s="105">
        <v>0</v>
      </c>
      <c r="N254" s="105"/>
      <c r="O254" s="124"/>
      <c r="P254" s="124"/>
      <c r="R254" s="105">
        <f>R251-O251</f>
        <v>0</v>
      </c>
      <c r="S254" s="105">
        <f>S251-P251</f>
        <v>0</v>
      </c>
      <c r="T254" s="124"/>
    </row>
    <row r="255" spans="1:21" ht="12" hidden="1" outlineLevel="1" thickBot="1" x14ac:dyDescent="0.25">
      <c r="A255" s="80">
        <f t="shared" si="13"/>
        <v>245</v>
      </c>
      <c r="B255" s="135" t="s">
        <v>114</v>
      </c>
      <c r="G255" s="138">
        <f>ROUND(SUM(K247)/SUM(C247),2)</f>
        <v>3.51</v>
      </c>
      <c r="H255" s="138">
        <f>ROUND(SUM(O247)/SUM(D247),2)</f>
        <v>4.82</v>
      </c>
      <c r="I255" s="138">
        <f>ROUND(SUM(P247)/SUM(E247),2)</f>
        <v>6.26</v>
      </c>
    </row>
    <row r="256" spans="1:21" hidden="1" outlineLevel="1" x14ac:dyDescent="0.2">
      <c r="A256" s="80">
        <f t="shared" si="13"/>
        <v>246</v>
      </c>
      <c r="B256" s="125"/>
      <c r="C256" s="126"/>
      <c r="D256" s="126"/>
      <c r="E256" s="126"/>
      <c r="F256" s="126"/>
      <c r="G256" s="127"/>
      <c r="H256" s="127"/>
      <c r="I256" s="127"/>
      <c r="J256" s="126"/>
      <c r="K256" s="126"/>
      <c r="L256" s="126"/>
      <c r="M256" s="126"/>
      <c r="N256" s="126"/>
      <c r="O256" s="126"/>
      <c r="P256" s="126"/>
      <c r="Q256" s="126"/>
      <c r="R256" s="126"/>
      <c r="S256" s="126"/>
      <c r="T256" s="126"/>
      <c r="U256" s="126"/>
    </row>
    <row r="257" spans="1:21" hidden="1" outlineLevel="1" x14ac:dyDescent="0.2">
      <c r="A257" s="80">
        <f t="shared" si="13"/>
        <v>247</v>
      </c>
    </row>
    <row r="258" spans="1:21" hidden="1" outlineLevel="1" x14ac:dyDescent="0.2">
      <c r="A258" s="80">
        <f t="shared" si="13"/>
        <v>248</v>
      </c>
      <c r="B258" s="100" t="s">
        <v>210</v>
      </c>
    </row>
    <row r="259" spans="1:21" hidden="1" outlineLevel="1" x14ac:dyDescent="0.2">
      <c r="A259" s="80">
        <f t="shared" si="13"/>
        <v>249</v>
      </c>
      <c r="B259" s="102" t="s">
        <v>174</v>
      </c>
    </row>
    <row r="260" spans="1:21" hidden="1" outlineLevel="1" x14ac:dyDescent="0.2">
      <c r="A260" s="80">
        <f t="shared" si="13"/>
        <v>250</v>
      </c>
    </row>
    <row r="261" spans="1:21" hidden="1" outlineLevel="1" x14ac:dyDescent="0.2">
      <c r="A261" s="80">
        <f t="shared" si="13"/>
        <v>251</v>
      </c>
      <c r="B261" s="79" t="s">
        <v>35</v>
      </c>
      <c r="C261" s="103">
        <v>1729</v>
      </c>
      <c r="D261" s="103">
        <v>1722.2989947704825</v>
      </c>
      <c r="E261" s="103">
        <v>1712.9557640906451</v>
      </c>
      <c r="G261" s="88">
        <v>358.11</v>
      </c>
      <c r="H261" s="71">
        <f>G261*(1+R261)</f>
        <v>465.54300000000001</v>
      </c>
      <c r="I261" s="71">
        <f>H261*(1+S261)</f>
        <v>605.20590000000004</v>
      </c>
      <c r="K261" s="105">
        <f>G261*C261</f>
        <v>619172.19000000006</v>
      </c>
      <c r="L261" s="105">
        <f>G261*D261</f>
        <v>616772.49301725754</v>
      </c>
      <c r="M261" s="105">
        <f>G261*E261</f>
        <v>613426.58867850096</v>
      </c>
      <c r="N261" s="105"/>
      <c r="O261" s="105">
        <f>H261*D261</f>
        <v>801804.24092243472</v>
      </c>
      <c r="P261" s="105">
        <f>I261*E261</f>
        <v>1036690.9348666666</v>
      </c>
      <c r="Q261" s="105"/>
      <c r="R261" s="72">
        <v>0.3</v>
      </c>
      <c r="S261" s="72">
        <f>R261</f>
        <v>0.3</v>
      </c>
      <c r="U261" s="79" t="s">
        <v>97</v>
      </c>
    </row>
    <row r="262" spans="1:21" hidden="1" outlineLevel="1" x14ac:dyDescent="0.2">
      <c r="A262" s="80">
        <f t="shared" si="13"/>
        <v>252</v>
      </c>
      <c r="B262" s="79" t="s">
        <v>98</v>
      </c>
      <c r="C262" s="103"/>
      <c r="G262" s="131"/>
      <c r="H262" s="105"/>
      <c r="I262" s="105"/>
      <c r="K262" s="124"/>
    </row>
    <row r="263" spans="1:21" hidden="1" outlineLevel="1" x14ac:dyDescent="0.2">
      <c r="A263" s="80">
        <f t="shared" si="13"/>
        <v>253</v>
      </c>
      <c r="B263" s="111" t="s">
        <v>99</v>
      </c>
      <c r="C263" s="103">
        <v>127060173</v>
      </c>
      <c r="D263" s="103">
        <v>122267424.6450724</v>
      </c>
      <c r="E263" s="103">
        <v>121633779.10385114</v>
      </c>
      <c r="G263" s="112">
        <v>5.7393E-2</v>
      </c>
      <c r="H263" s="112">
        <f>G263+R263</f>
        <v>7.22979517695789E-2</v>
      </c>
      <c r="I263" s="112">
        <f>H263+S263</f>
        <v>7.1509425837447085E-2</v>
      </c>
      <c r="K263" s="105">
        <f>G263*C263</f>
        <v>7292364.5089889998</v>
      </c>
      <c r="L263" s="105">
        <f>G263*D263</f>
        <v>7017294.3026546398</v>
      </c>
      <c r="M263" s="105">
        <f>G263*E263</f>
        <v>6980927.4841073286</v>
      </c>
      <c r="N263" s="105"/>
      <c r="O263" s="105">
        <f>H263*D263</f>
        <v>8839684.369980067</v>
      </c>
      <c r="P263" s="105">
        <f>I263*E263</f>
        <v>8697961.7061552648</v>
      </c>
      <c r="Q263" s="105"/>
      <c r="R263" s="112">
        <f>(R277-(O261-L261)-(O270-L270)-(O274-L274))/D267</f>
        <v>1.4904951769578897E-2</v>
      </c>
      <c r="S263" s="112">
        <f>((S277+R277)-(P261-M261)-(P270-M270)-(P274-M274))/E267-R263</f>
        <v>-7.8852593213181443E-4</v>
      </c>
      <c r="U263" s="102" t="s">
        <v>100</v>
      </c>
    </row>
    <row r="264" spans="1:21" hidden="1" outlineLevel="1" x14ac:dyDescent="0.2">
      <c r="A264" s="80">
        <f t="shared" si="13"/>
        <v>254</v>
      </c>
      <c r="B264" s="106" t="s">
        <v>74</v>
      </c>
      <c r="C264" s="129">
        <f>SUM(C263:C263)</f>
        <v>127060173</v>
      </c>
      <c r="D264" s="129">
        <f>SUM(D263:D263)</f>
        <v>122267424.6450724</v>
      </c>
      <c r="E264" s="129">
        <f>SUM(E263:E263)</f>
        <v>121633779.10385114</v>
      </c>
      <c r="G264" s="140"/>
      <c r="K264" s="132">
        <f>SUM(K263:K263)</f>
        <v>7292364.5089889998</v>
      </c>
      <c r="L264" s="132">
        <f>SUM(L263:L263)</f>
        <v>7017294.3026546398</v>
      </c>
      <c r="M264" s="132">
        <f>SUM(M263:M263)</f>
        <v>6980927.4841073286</v>
      </c>
      <c r="N264" s="132"/>
      <c r="O264" s="132">
        <f>SUM(O263:O263)</f>
        <v>8839684.369980067</v>
      </c>
      <c r="P264" s="132">
        <f>SUM(P263:P263)</f>
        <v>8697961.7061552648</v>
      </c>
      <c r="Q264" s="105"/>
      <c r="R264" s="105"/>
      <c r="S264" s="105"/>
      <c r="T264" s="105"/>
      <c r="U264" s="105"/>
    </row>
    <row r="265" spans="1:21" hidden="1" outlineLevel="1" x14ac:dyDescent="0.2">
      <c r="A265" s="80">
        <f t="shared" si="13"/>
        <v>255</v>
      </c>
      <c r="B265" s="111" t="s">
        <v>101</v>
      </c>
      <c r="C265" s="103">
        <v>-4609223.327797167</v>
      </c>
      <c r="D265" s="115" t="s">
        <v>102</v>
      </c>
      <c r="E265" s="115"/>
      <c r="G265" s="73">
        <f>IFERROR(K265/C265,0)</f>
        <v>8.8718851511027305E-2</v>
      </c>
      <c r="K265" s="124">
        <v>-408925</v>
      </c>
      <c r="L265" s="105">
        <f>G265*D265</f>
        <v>0</v>
      </c>
      <c r="M265" s="105">
        <f>G265*E265</f>
        <v>0</v>
      </c>
      <c r="N265" s="105"/>
      <c r="O265" s="105">
        <f>H265*D265</f>
        <v>0</v>
      </c>
      <c r="P265" s="105">
        <f>I265*E265</f>
        <v>0</v>
      </c>
    </row>
    <row r="266" spans="1:21" hidden="1" outlineLevel="1" x14ac:dyDescent="0.2">
      <c r="A266" s="80">
        <f t="shared" si="13"/>
        <v>256</v>
      </c>
      <c r="B266" s="114" t="s">
        <v>103</v>
      </c>
      <c r="C266" s="103">
        <v>-953312</v>
      </c>
      <c r="D266" s="115" t="s">
        <v>102</v>
      </c>
      <c r="E266" s="115"/>
      <c r="G266" s="73">
        <f>K266/C266</f>
        <v>8.231093283206338E-2</v>
      </c>
      <c r="K266" s="124">
        <v>-78468</v>
      </c>
      <c r="L266" s="105">
        <f>G266*D266</f>
        <v>0</v>
      </c>
      <c r="M266" s="105">
        <f>G266*E266</f>
        <v>0</v>
      </c>
      <c r="N266" s="105"/>
      <c r="O266" s="105">
        <f>H266*D266</f>
        <v>0</v>
      </c>
      <c r="P266" s="105">
        <f>I266*E266</f>
        <v>0</v>
      </c>
    </row>
    <row r="267" spans="1:21" hidden="1" outlineLevel="1" x14ac:dyDescent="0.2">
      <c r="A267" s="80">
        <f t="shared" si="13"/>
        <v>257</v>
      </c>
      <c r="B267" s="106" t="s">
        <v>74</v>
      </c>
      <c r="C267" s="129">
        <f>SUM(C264:C266)</f>
        <v>121497637.67220283</v>
      </c>
      <c r="D267" s="129">
        <f>SUM(D264:D266)</f>
        <v>122267424.6450724</v>
      </c>
      <c r="E267" s="129">
        <f>SUM(E264:E266)</f>
        <v>121633779.10385114</v>
      </c>
      <c r="K267" s="132">
        <f>SUM(K264:K266)</f>
        <v>6804971.5089889998</v>
      </c>
      <c r="L267" s="132">
        <f>SUM(L264:L266)</f>
        <v>7017294.3026546398</v>
      </c>
      <c r="M267" s="132">
        <f>SUM(M264:M266)</f>
        <v>6980927.4841073286</v>
      </c>
      <c r="N267" s="132"/>
      <c r="O267" s="132">
        <f>SUM(O264:O266)</f>
        <v>8839684.369980067</v>
      </c>
      <c r="P267" s="132">
        <f>SUM(P264:P266)</f>
        <v>8697961.7061552648</v>
      </c>
    </row>
    <row r="268" spans="1:21" hidden="1" outlineLevel="1" x14ac:dyDescent="0.2">
      <c r="A268" s="80">
        <f t="shared" ref="A268:A331" si="15">A267+1</f>
        <v>258</v>
      </c>
      <c r="B268" s="79" t="s">
        <v>104</v>
      </c>
      <c r="C268" s="103"/>
      <c r="G268" s="108"/>
      <c r="K268" s="124"/>
    </row>
    <row r="269" spans="1:21" hidden="1" outlineLevel="1" x14ac:dyDescent="0.2">
      <c r="A269" s="80">
        <f t="shared" si="15"/>
        <v>259</v>
      </c>
      <c r="B269" s="111" t="s">
        <v>175</v>
      </c>
      <c r="C269" s="103">
        <v>557332</v>
      </c>
      <c r="D269" s="103">
        <v>579230.53698067076</v>
      </c>
      <c r="E269" s="103">
        <v>573967.09159726952</v>
      </c>
      <c r="G269" s="88">
        <v>5.01</v>
      </c>
      <c r="H269" s="71">
        <f>G269*(1+R269)</f>
        <v>6.5129999999999999</v>
      </c>
      <c r="I269" s="71">
        <f>H269*(1+S269)</f>
        <v>8.4669000000000008</v>
      </c>
      <c r="K269" s="105">
        <f>G269*C269</f>
        <v>2792233.32</v>
      </c>
      <c r="L269" s="105">
        <f>G269*D269</f>
        <v>2901944.9902731604</v>
      </c>
      <c r="M269" s="105">
        <f>G269*E269</f>
        <v>2875575.1289023203</v>
      </c>
      <c r="N269" s="105"/>
      <c r="O269" s="105">
        <f>H269*D269</f>
        <v>3772528.4873551084</v>
      </c>
      <c r="P269" s="105">
        <f>I269*E269</f>
        <v>4859721.9678449221</v>
      </c>
      <c r="Q269" s="105"/>
      <c r="R269" s="72">
        <v>0.3</v>
      </c>
      <c r="S269" s="72">
        <f>R269</f>
        <v>0.3</v>
      </c>
      <c r="T269" s="105"/>
      <c r="U269" s="102" t="s">
        <v>106</v>
      </c>
    </row>
    <row r="270" spans="1:21" hidden="1" outlineLevel="1" x14ac:dyDescent="0.2">
      <c r="A270" s="80">
        <f t="shared" si="15"/>
        <v>260</v>
      </c>
      <c r="B270" s="106" t="s">
        <v>74</v>
      </c>
      <c r="C270" s="129">
        <f>SUM(C269:C269)</f>
        <v>557332</v>
      </c>
      <c r="D270" s="129">
        <f>SUM(D269:D269)</f>
        <v>579230.53698067076</v>
      </c>
      <c r="E270" s="129">
        <f>SUM(E269:E269)</f>
        <v>573967.09159726952</v>
      </c>
      <c r="G270" s="108"/>
      <c r="K270" s="132">
        <f>SUM(K269:K269)</f>
        <v>2792233.32</v>
      </c>
      <c r="L270" s="132">
        <f>SUM(L269:L269)</f>
        <v>2901944.9902731604</v>
      </c>
      <c r="M270" s="132">
        <f>SUM(M269:M269)</f>
        <v>2875575.1289023203</v>
      </c>
      <c r="N270" s="132"/>
      <c r="O270" s="132">
        <f>SUM(O269:O269)</f>
        <v>3772528.4873551084</v>
      </c>
      <c r="P270" s="132">
        <f>SUM(P269:P269)</f>
        <v>4859721.9678449221</v>
      </c>
    </row>
    <row r="271" spans="1:21" hidden="1" outlineLevel="1" x14ac:dyDescent="0.2">
      <c r="A271" s="80">
        <f t="shared" si="15"/>
        <v>261</v>
      </c>
      <c r="C271" s="103"/>
      <c r="G271" s="103"/>
      <c r="K271" s="124"/>
    </row>
    <row r="272" spans="1:21" hidden="1" outlineLevel="1" x14ac:dyDescent="0.2">
      <c r="A272" s="80">
        <f t="shared" si="15"/>
        <v>262</v>
      </c>
      <c r="B272" s="79" t="s">
        <v>176</v>
      </c>
      <c r="C272" s="103"/>
      <c r="G272" s="71">
        <v>6.93</v>
      </c>
      <c r="H272" s="71">
        <f>G272*(1+R272)</f>
        <v>9.0090000000000003</v>
      </c>
      <c r="I272" s="71">
        <f>H272*(1+S272)</f>
        <v>11.7117</v>
      </c>
      <c r="K272" s="105">
        <f>G272*C272</f>
        <v>0</v>
      </c>
      <c r="L272" s="105">
        <f>G272*D272</f>
        <v>0</v>
      </c>
      <c r="M272" s="105">
        <f>G272*E272</f>
        <v>0</v>
      </c>
      <c r="N272" s="105"/>
      <c r="O272" s="105">
        <f>H272*D272</f>
        <v>0</v>
      </c>
      <c r="P272" s="105">
        <f>I272*E272</f>
        <v>0</v>
      </c>
      <c r="Q272" s="105"/>
      <c r="R272" s="72">
        <v>0.3</v>
      </c>
      <c r="S272" s="72">
        <f>R272</f>
        <v>0.3</v>
      </c>
      <c r="T272" s="105"/>
      <c r="U272" s="102" t="s">
        <v>177</v>
      </c>
    </row>
    <row r="273" spans="1:21" hidden="1" outlineLevel="1" x14ac:dyDescent="0.2">
      <c r="A273" s="80">
        <f t="shared" si="15"/>
        <v>263</v>
      </c>
      <c r="C273" s="103"/>
      <c r="G273" s="103"/>
      <c r="K273" s="124"/>
    </row>
    <row r="274" spans="1:21" hidden="1" outlineLevel="1" x14ac:dyDescent="0.2">
      <c r="A274" s="80">
        <f t="shared" si="15"/>
        <v>264</v>
      </c>
      <c r="B274" s="79" t="s">
        <v>108</v>
      </c>
      <c r="C274" s="103">
        <v>45085351</v>
      </c>
      <c r="D274" s="103">
        <v>43019225.850606829</v>
      </c>
      <c r="E274" s="103">
        <v>42788268.319944575</v>
      </c>
      <c r="G274" s="133">
        <v>3.1700000000000001E-3</v>
      </c>
      <c r="H274" s="75">
        <f>G274*(1+R274)</f>
        <v>4.1210000000000005E-3</v>
      </c>
      <c r="I274" s="75">
        <f>H274*(1+S274)</f>
        <v>5.3573000000000006E-3</v>
      </c>
      <c r="K274" s="105">
        <f>G274*C274</f>
        <v>142920.56267000001</v>
      </c>
      <c r="L274" s="105">
        <f>G274*D274</f>
        <v>136370.94594642366</v>
      </c>
      <c r="M274" s="105">
        <f>G274*E274</f>
        <v>135638.81057422431</v>
      </c>
      <c r="N274" s="105"/>
      <c r="O274" s="105">
        <f>H274*D274</f>
        <v>177282.22973035075</v>
      </c>
      <c r="P274" s="105">
        <f>I274*E274</f>
        <v>229229.58987043909</v>
      </c>
      <c r="Q274" s="105"/>
      <c r="R274" s="72">
        <v>0.3</v>
      </c>
      <c r="S274" s="72">
        <f>R274</f>
        <v>0.3</v>
      </c>
      <c r="T274" s="105"/>
      <c r="U274" s="102" t="s">
        <v>109</v>
      </c>
    </row>
    <row r="275" spans="1:21" hidden="1" outlineLevel="1" x14ac:dyDescent="0.2">
      <c r="A275" s="80">
        <f t="shared" si="15"/>
        <v>265</v>
      </c>
      <c r="K275" s="124"/>
    </row>
    <row r="276" spans="1:21" ht="12" hidden="1" outlineLevel="1" thickBot="1" x14ac:dyDescent="0.25">
      <c r="A276" s="80">
        <f t="shared" si="15"/>
        <v>266</v>
      </c>
      <c r="B276" s="79" t="s">
        <v>110</v>
      </c>
      <c r="K276" s="134">
        <f>SUM(K261,K267,K270,K274)</f>
        <v>10359297.581659</v>
      </c>
      <c r="L276" s="134">
        <f>SUM(L261,L267,L270,L274)</f>
        <v>10672382.731891481</v>
      </c>
      <c r="M276" s="134">
        <f>SUM(M261,M267,M270,M274)</f>
        <v>10605568.012262374</v>
      </c>
      <c r="N276" s="134"/>
      <c r="O276" s="134">
        <f>SUM(O261,O267,O270,O274)</f>
        <v>13591299.32798796</v>
      </c>
      <c r="P276" s="134">
        <f>SUM(P261,P267,P270,P274)</f>
        <v>14823604.198737293</v>
      </c>
      <c r="R276" s="119">
        <v>13591299.32798796</v>
      </c>
      <c r="S276" s="119">
        <v>14823604.198737292</v>
      </c>
    </row>
    <row r="277" spans="1:21" hidden="1" outlineLevel="1" x14ac:dyDescent="0.2">
      <c r="A277" s="80">
        <f t="shared" si="15"/>
        <v>267</v>
      </c>
      <c r="B277" s="102" t="s">
        <v>111</v>
      </c>
      <c r="C277" s="103"/>
      <c r="D277" s="103"/>
      <c r="E277" s="103"/>
      <c r="G277" s="103"/>
      <c r="K277" s="124"/>
      <c r="L277" s="124"/>
      <c r="M277" s="124"/>
      <c r="N277" s="124"/>
      <c r="O277" s="124"/>
      <c r="P277" s="124"/>
      <c r="R277" s="105">
        <f>R276-L276</f>
        <v>2918916.5960964784</v>
      </c>
      <c r="S277" s="105">
        <f>S276-M276-R277</f>
        <v>1299119.5903784391</v>
      </c>
      <c r="T277" s="105"/>
    </row>
    <row r="278" spans="1:21" hidden="1" outlineLevel="1" x14ac:dyDescent="0.2">
      <c r="A278" s="80">
        <f t="shared" si="15"/>
        <v>268</v>
      </c>
      <c r="B278" s="102" t="s">
        <v>112</v>
      </c>
      <c r="C278" s="103"/>
      <c r="D278" s="103"/>
      <c r="E278" s="103"/>
      <c r="K278" s="124"/>
      <c r="L278" s="124"/>
      <c r="M278" s="124"/>
      <c r="N278" s="124"/>
      <c r="O278" s="124"/>
      <c r="P278" s="124"/>
      <c r="R278" s="76">
        <f>R277/L276</f>
        <v>0.27350186639897189</v>
      </c>
      <c r="S278" s="76">
        <f>S277/M276</f>
        <v>0.12249410770610028</v>
      </c>
      <c r="T278" s="105"/>
    </row>
    <row r="279" spans="1:21" hidden="1" outlineLevel="1" x14ac:dyDescent="0.2">
      <c r="A279" s="80">
        <f t="shared" si="15"/>
        <v>269</v>
      </c>
      <c r="B279" s="122" t="s">
        <v>113</v>
      </c>
      <c r="C279" s="103">
        <v>0.45499998331069946</v>
      </c>
      <c r="D279" s="103"/>
      <c r="E279" s="103"/>
      <c r="K279" s="103">
        <v>1.4183409996330738</v>
      </c>
      <c r="L279" s="105">
        <v>0</v>
      </c>
      <c r="M279" s="105">
        <v>0</v>
      </c>
      <c r="N279" s="105"/>
      <c r="O279" s="124"/>
      <c r="P279" s="124"/>
      <c r="R279" s="105">
        <f>R276-O276</f>
        <v>0</v>
      </c>
      <c r="S279" s="105">
        <f>S276-P276</f>
        <v>0</v>
      </c>
      <c r="T279" s="124"/>
    </row>
    <row r="280" spans="1:21" ht="12" hidden="1" outlineLevel="1" thickBot="1" x14ac:dyDescent="0.25">
      <c r="A280" s="80">
        <f t="shared" si="15"/>
        <v>270</v>
      </c>
      <c r="B280" s="135" t="s">
        <v>114</v>
      </c>
      <c r="G280" s="138">
        <f>ROUND(SUM(K270)/SUM(C270),2)</f>
        <v>5.01</v>
      </c>
      <c r="H280" s="138">
        <f>ROUND(SUM(O270)/SUM(D270),2)</f>
        <v>6.51</v>
      </c>
      <c r="I280" s="138">
        <f>ROUND(SUM(P270)/SUM(E270),2)</f>
        <v>8.4700000000000006</v>
      </c>
    </row>
    <row r="281" spans="1:21" hidden="1" outlineLevel="1" x14ac:dyDescent="0.2">
      <c r="A281" s="80">
        <f t="shared" si="15"/>
        <v>271</v>
      </c>
      <c r="B281" s="125"/>
      <c r="C281" s="126"/>
      <c r="D281" s="126"/>
      <c r="E281" s="126"/>
      <c r="F281" s="126"/>
      <c r="G281" s="127"/>
      <c r="H281" s="127"/>
      <c r="I281" s="127"/>
      <c r="J281" s="126"/>
      <c r="K281" s="126"/>
      <c r="L281" s="126"/>
      <c r="M281" s="126"/>
      <c r="N281" s="126"/>
      <c r="O281" s="126"/>
      <c r="P281" s="126"/>
      <c r="Q281" s="126"/>
      <c r="R281" s="126"/>
      <c r="S281" s="126"/>
      <c r="T281" s="126"/>
      <c r="U281" s="126"/>
    </row>
    <row r="282" spans="1:21" hidden="1" outlineLevel="1" x14ac:dyDescent="0.2">
      <c r="A282" s="80">
        <f t="shared" si="15"/>
        <v>272</v>
      </c>
    </row>
    <row r="283" spans="1:21" hidden="1" outlineLevel="1" x14ac:dyDescent="0.2">
      <c r="A283" s="80">
        <f t="shared" si="15"/>
        <v>273</v>
      </c>
      <c r="B283" s="100" t="s">
        <v>211</v>
      </c>
    </row>
    <row r="284" spans="1:21" hidden="1" outlineLevel="1" x14ac:dyDescent="0.2">
      <c r="A284" s="80">
        <f t="shared" si="15"/>
        <v>274</v>
      </c>
      <c r="B284" s="102" t="s">
        <v>178</v>
      </c>
    </row>
    <row r="285" spans="1:21" hidden="1" outlineLevel="1" x14ac:dyDescent="0.2">
      <c r="A285" s="80">
        <f t="shared" si="15"/>
        <v>275</v>
      </c>
      <c r="B285" s="102" t="s">
        <v>179</v>
      </c>
      <c r="C285" s="103">
        <v>72</v>
      </c>
    </row>
    <row r="286" spans="1:21" hidden="1" outlineLevel="1" x14ac:dyDescent="0.2">
      <c r="A286" s="80">
        <f t="shared" si="15"/>
        <v>276</v>
      </c>
      <c r="B286" s="79" t="s">
        <v>147</v>
      </c>
      <c r="C286" s="103"/>
    </row>
    <row r="287" spans="1:21" hidden="1" outlineLevel="1" x14ac:dyDescent="0.2">
      <c r="A287" s="80">
        <f t="shared" si="15"/>
        <v>277</v>
      </c>
      <c r="B287" s="111" t="s">
        <v>99</v>
      </c>
      <c r="C287" s="103">
        <v>95445832</v>
      </c>
      <c r="D287" s="103">
        <v>96933187.043131709</v>
      </c>
      <c r="E287" s="103">
        <v>96918964.527943105</v>
      </c>
      <c r="G287" s="112">
        <v>5.0422000000000002E-2</v>
      </c>
      <c r="H287" s="112">
        <f>G287+R287</f>
        <v>6.1979531534431538E-2</v>
      </c>
      <c r="I287" s="112">
        <f>H287+S287</f>
        <v>6.3571081801607976E-2</v>
      </c>
      <c r="K287" s="105">
        <f>G287*C287</f>
        <v>4812569.7411040002</v>
      </c>
      <c r="L287" s="105">
        <f>G287*D287</f>
        <v>4887565.1570887873</v>
      </c>
      <c r="M287" s="105">
        <f>G287*E287</f>
        <v>4886848.0294279475</v>
      </c>
      <c r="N287" s="105"/>
      <c r="O287" s="105">
        <f>H287*D287</f>
        <v>6007873.5230727326</v>
      </c>
      <c r="P287" s="105">
        <f>I287*E287</f>
        <v>6161243.4221330127</v>
      </c>
      <c r="Q287" s="105"/>
      <c r="R287" s="112">
        <f>(R294-(O291-L291))/D289</f>
        <v>1.1557531534431538E-2</v>
      </c>
      <c r="S287" s="112">
        <f>((S294+R294)-(P291-M291))/E289-R287</f>
        <v>1.5915502671764309E-3</v>
      </c>
      <c r="U287" s="102" t="s">
        <v>100</v>
      </c>
    </row>
    <row r="288" spans="1:21" hidden="1" outlineLevel="1" x14ac:dyDescent="0.2">
      <c r="A288" s="80">
        <f t="shared" si="15"/>
        <v>278</v>
      </c>
      <c r="B288" s="114" t="s">
        <v>103</v>
      </c>
      <c r="C288" s="130">
        <v>913583</v>
      </c>
      <c r="D288" s="185" t="s">
        <v>102</v>
      </c>
      <c r="E288" s="126"/>
      <c r="G288" s="73">
        <f>K288/C288</f>
        <v>0.16866557280509817</v>
      </c>
      <c r="K288" s="124">
        <v>154090</v>
      </c>
      <c r="L288" s="105">
        <f>G288*D288</f>
        <v>0</v>
      </c>
      <c r="M288" s="105">
        <f>G288*E288</f>
        <v>0</v>
      </c>
      <c r="N288" s="105"/>
      <c r="O288" s="105">
        <f>H288*D288</f>
        <v>0</v>
      </c>
      <c r="P288" s="105">
        <f>I288*E288</f>
        <v>0</v>
      </c>
    </row>
    <row r="289" spans="1:21" hidden="1" outlineLevel="1" x14ac:dyDescent="0.2">
      <c r="A289" s="80">
        <f t="shared" si="15"/>
        <v>279</v>
      </c>
      <c r="B289" s="106" t="s">
        <v>74</v>
      </c>
      <c r="C289" s="103">
        <f>SUM(C287:C288)</f>
        <v>96359415</v>
      </c>
      <c r="D289" s="103">
        <f>SUM(D287:D288)</f>
        <v>96933187.043131709</v>
      </c>
      <c r="E289" s="103">
        <f>SUM(E287:E288)</f>
        <v>96918964.527943105</v>
      </c>
      <c r="G289" s="112"/>
      <c r="K289" s="186">
        <f>SUM(K287:K288)</f>
        <v>4966659.7411040002</v>
      </c>
      <c r="L289" s="186">
        <f>SUM(L287:L288)</f>
        <v>4887565.1570887873</v>
      </c>
      <c r="M289" s="186">
        <f>SUM(M287:M288)</f>
        <v>4886848.0294279475</v>
      </c>
      <c r="N289" s="186"/>
      <c r="O289" s="186">
        <f>SUM(O287:O288)</f>
        <v>6007873.5230727326</v>
      </c>
      <c r="P289" s="186">
        <f>SUM(P287:P288)</f>
        <v>6161243.4221330127</v>
      </c>
    </row>
    <row r="290" spans="1:21" hidden="1" outlineLevel="1" x14ac:dyDescent="0.2">
      <c r="A290" s="80">
        <f t="shared" si="15"/>
        <v>280</v>
      </c>
      <c r="B290" s="106"/>
      <c r="C290" s="103"/>
      <c r="G290" s="112"/>
      <c r="K290" s="124"/>
    </row>
    <row r="291" spans="1:21" hidden="1" outlineLevel="1" x14ac:dyDescent="0.2">
      <c r="A291" s="80">
        <f t="shared" si="15"/>
        <v>281</v>
      </c>
      <c r="B291" s="102" t="s">
        <v>180</v>
      </c>
      <c r="C291" s="103">
        <v>484927</v>
      </c>
      <c r="D291" s="103">
        <v>454913.76433003857</v>
      </c>
      <c r="E291" s="103">
        <v>453901.97661419428</v>
      </c>
      <c r="G291" s="88">
        <v>3.04</v>
      </c>
      <c r="H291" s="71">
        <f>G291*(1+R291)</f>
        <v>3.9520000000000004</v>
      </c>
      <c r="I291" s="71">
        <f>H291*(1+S291)</f>
        <v>5.1376000000000008</v>
      </c>
      <c r="K291" s="105">
        <f>G291*C291</f>
        <v>1474178.08</v>
      </c>
      <c r="L291" s="105">
        <f>G291*D291</f>
        <v>1382937.8435633173</v>
      </c>
      <c r="M291" s="105">
        <f>G291*E291</f>
        <v>1379862.0089071507</v>
      </c>
      <c r="N291" s="105"/>
      <c r="O291" s="105">
        <f>H291*D291</f>
        <v>1797819.1966323126</v>
      </c>
      <c r="P291" s="105">
        <f>I291*E291</f>
        <v>2331966.7950530848</v>
      </c>
      <c r="R291" s="72">
        <v>0.3</v>
      </c>
      <c r="S291" s="72">
        <f>R291</f>
        <v>0.3</v>
      </c>
      <c r="T291" s="105"/>
      <c r="U291" s="102" t="s">
        <v>106</v>
      </c>
    </row>
    <row r="292" spans="1:21" hidden="1" outlineLevel="1" x14ac:dyDescent="0.2">
      <c r="A292" s="80">
        <f t="shared" si="15"/>
        <v>282</v>
      </c>
      <c r="B292" s="114"/>
      <c r="G292" s="112"/>
      <c r="K292" s="124"/>
    </row>
    <row r="293" spans="1:21" ht="12" hidden="1" outlineLevel="1" thickBot="1" x14ac:dyDescent="0.25">
      <c r="A293" s="80">
        <f t="shared" si="15"/>
        <v>283</v>
      </c>
      <c r="B293" s="79" t="s">
        <v>110</v>
      </c>
      <c r="G293" s="104"/>
      <c r="K293" s="134">
        <f>SUM(K291,K289)</f>
        <v>6440837.8211040003</v>
      </c>
      <c r="L293" s="134">
        <f>SUM(L291,L289)</f>
        <v>6270503.0006521046</v>
      </c>
      <c r="M293" s="134">
        <f>SUM(M291,M289)</f>
        <v>6266710.038335098</v>
      </c>
      <c r="N293" s="134"/>
      <c r="O293" s="134">
        <f>SUM(O291,O289)</f>
        <v>7805692.7197050452</v>
      </c>
      <c r="P293" s="134">
        <f>SUM(P291,P289)</f>
        <v>8493210.2171860971</v>
      </c>
      <c r="R293" s="119">
        <v>7805692.7197050452</v>
      </c>
      <c r="S293" s="119">
        <v>8493210.2171860971</v>
      </c>
    </row>
    <row r="294" spans="1:21" hidden="1" outlineLevel="1" x14ac:dyDescent="0.2">
      <c r="A294" s="80">
        <f t="shared" si="15"/>
        <v>284</v>
      </c>
      <c r="B294" s="102" t="s">
        <v>111</v>
      </c>
      <c r="C294" s="103"/>
      <c r="D294" s="103"/>
      <c r="E294" s="103"/>
      <c r="G294" s="104"/>
      <c r="K294" s="124"/>
      <c r="L294" s="124"/>
      <c r="M294" s="124"/>
      <c r="N294" s="124"/>
      <c r="O294" s="124"/>
      <c r="P294" s="124"/>
      <c r="R294" s="105">
        <f>R293-L293</f>
        <v>1535189.7190529406</v>
      </c>
      <c r="S294" s="105">
        <f>S293-M293-R294</f>
        <v>691310.45979805849</v>
      </c>
      <c r="T294" s="105"/>
    </row>
    <row r="295" spans="1:21" hidden="1" outlineLevel="1" x14ac:dyDescent="0.2">
      <c r="A295" s="80">
        <f t="shared" si="15"/>
        <v>285</v>
      </c>
      <c r="B295" s="102" t="s">
        <v>112</v>
      </c>
      <c r="C295" s="103"/>
      <c r="D295" s="103"/>
      <c r="E295" s="103"/>
      <c r="G295" s="112"/>
      <c r="K295" s="124"/>
      <c r="L295" s="124"/>
      <c r="M295" s="124"/>
      <c r="N295" s="124"/>
      <c r="O295" s="124"/>
      <c r="P295" s="124"/>
      <c r="R295" s="76">
        <f>R294/L293</f>
        <v>0.2448272042758432</v>
      </c>
      <c r="S295" s="76">
        <f>S294/M293</f>
        <v>0.11031473541445708</v>
      </c>
      <c r="T295" s="105"/>
    </row>
    <row r="296" spans="1:21" hidden="1" outlineLevel="1" x14ac:dyDescent="0.2">
      <c r="A296" s="80">
        <f t="shared" si="15"/>
        <v>286</v>
      </c>
      <c r="B296" s="122" t="s">
        <v>113</v>
      </c>
      <c r="C296" s="103">
        <v>0.33799998462200165</v>
      </c>
      <c r="D296" s="103"/>
      <c r="E296" s="103"/>
      <c r="K296" s="103">
        <v>0.17889599967747927</v>
      </c>
      <c r="L296" s="105">
        <v>0</v>
      </c>
      <c r="M296" s="105">
        <v>0</v>
      </c>
      <c r="N296" s="105"/>
      <c r="O296" s="124"/>
      <c r="P296" s="124"/>
      <c r="R296" s="105">
        <f>R293-O293</f>
        <v>0</v>
      </c>
      <c r="S296" s="105">
        <f>S293-P293</f>
        <v>0</v>
      </c>
      <c r="T296" s="124"/>
    </row>
    <row r="297" spans="1:21" ht="12" hidden="1" outlineLevel="1" thickBot="1" x14ac:dyDescent="0.25">
      <c r="A297" s="80">
        <f t="shared" si="15"/>
        <v>287</v>
      </c>
      <c r="B297" s="102" t="s">
        <v>181</v>
      </c>
      <c r="E297" s="187">
        <v>0.9</v>
      </c>
      <c r="G297" s="188">
        <f>ROUND(G287*E297,6)</f>
        <v>4.5379999999999997E-2</v>
      </c>
      <c r="H297" s="188">
        <f>ROUND(H287*E297,6)</f>
        <v>5.5781999999999998E-2</v>
      </c>
      <c r="I297" s="188">
        <f>ROUND(I287*E297,6)</f>
        <v>5.7214000000000001E-2</v>
      </c>
    </row>
    <row r="298" spans="1:21" ht="12" hidden="1" outlineLevel="1" thickBot="1" x14ac:dyDescent="0.25">
      <c r="A298" s="80">
        <f t="shared" si="15"/>
        <v>288</v>
      </c>
      <c r="B298" s="102" t="s">
        <v>182</v>
      </c>
      <c r="E298" s="79">
        <v>12</v>
      </c>
      <c r="G298" s="138">
        <f>ROUND(G291*E298,2)</f>
        <v>36.479999999999997</v>
      </c>
      <c r="H298" s="138">
        <f>ROUND(H291*E298,2)</f>
        <v>47.42</v>
      </c>
      <c r="I298" s="138">
        <f>ROUND(I291*E298,2)</f>
        <v>61.65</v>
      </c>
    </row>
    <row r="299" spans="1:21" hidden="1" outlineLevel="1" x14ac:dyDescent="0.2">
      <c r="A299" s="80">
        <f t="shared" si="15"/>
        <v>289</v>
      </c>
      <c r="B299" s="125"/>
      <c r="C299" s="126"/>
      <c r="D299" s="126"/>
      <c r="E299" s="126"/>
      <c r="F299" s="126"/>
      <c r="G299" s="127"/>
      <c r="H299" s="127"/>
      <c r="I299" s="127"/>
      <c r="J299" s="126"/>
      <c r="K299" s="126"/>
      <c r="L299" s="126"/>
      <c r="M299" s="126"/>
      <c r="N299" s="126"/>
      <c r="O299" s="126"/>
      <c r="P299" s="126"/>
      <c r="Q299" s="126"/>
      <c r="R299" s="126"/>
      <c r="S299" s="126"/>
      <c r="T299" s="126"/>
      <c r="U299" s="126"/>
    </row>
    <row r="300" spans="1:21" hidden="1" outlineLevel="1" x14ac:dyDescent="0.2">
      <c r="A300" s="80">
        <f t="shared" si="15"/>
        <v>290</v>
      </c>
    </row>
    <row r="301" spans="1:21" hidden="1" outlineLevel="1" x14ac:dyDescent="0.2">
      <c r="A301" s="80">
        <f t="shared" si="15"/>
        <v>291</v>
      </c>
      <c r="B301" s="100" t="s">
        <v>212</v>
      </c>
    </row>
    <row r="302" spans="1:21" hidden="1" outlineLevel="1" x14ac:dyDescent="0.2">
      <c r="A302" s="80">
        <f t="shared" si="15"/>
        <v>292</v>
      </c>
      <c r="B302" s="102" t="s">
        <v>183</v>
      </c>
    </row>
    <row r="303" spans="1:21" hidden="1" outlineLevel="1" x14ac:dyDescent="0.2">
      <c r="A303" s="80">
        <f t="shared" si="15"/>
        <v>293</v>
      </c>
      <c r="B303" s="102" t="s">
        <v>179</v>
      </c>
      <c r="C303" s="103">
        <v>204</v>
      </c>
    </row>
    <row r="304" spans="1:21" hidden="1" outlineLevel="1" x14ac:dyDescent="0.2">
      <c r="A304" s="80">
        <f t="shared" si="15"/>
        <v>294</v>
      </c>
      <c r="B304" s="79" t="s">
        <v>147</v>
      </c>
      <c r="C304" s="103"/>
    </row>
    <row r="305" spans="1:21" hidden="1" outlineLevel="1" x14ac:dyDescent="0.2">
      <c r="A305" s="80">
        <f t="shared" si="15"/>
        <v>295</v>
      </c>
      <c r="B305" s="111" t="s">
        <v>99</v>
      </c>
      <c r="C305" s="103">
        <v>540863777</v>
      </c>
      <c r="D305" s="103">
        <v>534843226.30681556</v>
      </c>
      <c r="E305" s="103">
        <v>534899242.67952603</v>
      </c>
      <c r="G305" s="112">
        <v>5.0422000000000002E-2</v>
      </c>
      <c r="H305" s="112">
        <f>G305+R305</f>
        <v>6.1994393529095401E-2</v>
      </c>
      <c r="I305" s="112">
        <f>H305+S305</f>
        <v>6.3665220945275686E-2</v>
      </c>
      <c r="K305" s="105">
        <f>G305*C305</f>
        <v>27271433.363894001</v>
      </c>
      <c r="L305" s="105">
        <f>G305*D305</f>
        <v>26967865.156842254</v>
      </c>
      <c r="M305" s="105">
        <f>G305*E305</f>
        <v>26970689.614387061</v>
      </c>
      <c r="N305" s="105"/>
      <c r="O305" s="105">
        <f>H305*D305</f>
        <v>33157281.448035754</v>
      </c>
      <c r="P305" s="105">
        <f>I305*E305</f>
        <v>34054478.468652666</v>
      </c>
      <c r="Q305" s="105"/>
      <c r="R305" s="112">
        <f>(R312-(O309-L309))/D307</f>
        <v>1.15723935290954E-2</v>
      </c>
      <c r="S305" s="112">
        <f>((S312+R312)-(P309-M309))/E307-R305</f>
        <v>1.6708274161802844E-3</v>
      </c>
      <c r="U305" s="102" t="s">
        <v>100</v>
      </c>
    </row>
    <row r="306" spans="1:21" hidden="1" outlineLevel="1" x14ac:dyDescent="0.2">
      <c r="A306" s="80">
        <f t="shared" si="15"/>
        <v>296</v>
      </c>
      <c r="B306" s="114" t="s">
        <v>103</v>
      </c>
      <c r="C306" s="130">
        <v>5018030</v>
      </c>
      <c r="D306" s="185" t="s">
        <v>102</v>
      </c>
      <c r="E306" s="126"/>
      <c r="G306" s="73">
        <f>K306/C306</f>
        <v>8.3760957985504272E-2</v>
      </c>
      <c r="K306" s="124">
        <v>420315</v>
      </c>
      <c r="L306" s="105">
        <f>G306*D306</f>
        <v>0</v>
      </c>
      <c r="M306" s="105">
        <f>G306*E306</f>
        <v>0</v>
      </c>
      <c r="N306" s="105"/>
      <c r="O306" s="105">
        <f>H306*D306</f>
        <v>0</v>
      </c>
      <c r="P306" s="105">
        <f>I306*E306</f>
        <v>0</v>
      </c>
    </row>
    <row r="307" spans="1:21" hidden="1" outlineLevel="1" x14ac:dyDescent="0.2">
      <c r="A307" s="80">
        <f t="shared" si="15"/>
        <v>297</v>
      </c>
      <c r="B307" s="106" t="s">
        <v>74</v>
      </c>
      <c r="C307" s="103">
        <f>SUM(C305:C306)</f>
        <v>545881807</v>
      </c>
      <c r="D307" s="103">
        <f>SUM(D305:D306)</f>
        <v>534843226.30681556</v>
      </c>
      <c r="E307" s="103">
        <f>SUM(E305:E306)</f>
        <v>534899242.67952603</v>
      </c>
      <c r="G307" s="112"/>
      <c r="K307" s="186">
        <f>SUM(K305:K306)</f>
        <v>27691748.363894001</v>
      </c>
      <c r="L307" s="186">
        <f>SUM(L305:L306)</f>
        <v>26967865.156842254</v>
      </c>
      <c r="M307" s="186">
        <f>SUM(M305:M306)</f>
        <v>26970689.614387061</v>
      </c>
      <c r="N307" s="186"/>
      <c r="O307" s="186">
        <f>SUM(O305:O306)</f>
        <v>33157281.448035754</v>
      </c>
      <c r="P307" s="186">
        <f>SUM(P305:P306)</f>
        <v>34054478.468652666</v>
      </c>
    </row>
    <row r="308" spans="1:21" hidden="1" outlineLevel="1" x14ac:dyDescent="0.2">
      <c r="A308" s="80">
        <f t="shared" si="15"/>
        <v>298</v>
      </c>
      <c r="B308" s="106"/>
      <c r="C308" s="103"/>
      <c r="G308" s="112"/>
      <c r="K308" s="124"/>
    </row>
    <row r="309" spans="1:21" hidden="1" outlineLevel="1" x14ac:dyDescent="0.2">
      <c r="A309" s="80">
        <f t="shared" si="15"/>
        <v>299</v>
      </c>
      <c r="B309" s="102" t="s">
        <v>180</v>
      </c>
      <c r="C309" s="103">
        <v>1298000</v>
      </c>
      <c r="D309" s="103">
        <v>1325042.9814690738</v>
      </c>
      <c r="E309" s="103">
        <v>1321250.3262371249</v>
      </c>
      <c r="G309" s="88">
        <v>5.65</v>
      </c>
      <c r="H309" s="71">
        <f>G309*(1+R309)</f>
        <v>7.3450000000000006</v>
      </c>
      <c r="I309" s="71">
        <f>H309*(1+S309)</f>
        <v>9.5485000000000007</v>
      </c>
      <c r="K309" s="105">
        <f>G309*C309</f>
        <v>7333700</v>
      </c>
      <c r="L309" s="105">
        <f>G309*D309</f>
        <v>7486492.8453002675</v>
      </c>
      <c r="M309" s="105">
        <f>G309*E309</f>
        <v>7465064.3432397563</v>
      </c>
      <c r="N309" s="105"/>
      <c r="O309" s="105">
        <f>H309*D309</f>
        <v>9732440.698890347</v>
      </c>
      <c r="P309" s="105">
        <f>I309*E309</f>
        <v>12615958.740075188</v>
      </c>
      <c r="R309" s="72">
        <v>0.3</v>
      </c>
      <c r="S309" s="72">
        <f>R309</f>
        <v>0.3</v>
      </c>
      <c r="T309" s="105"/>
      <c r="U309" s="102" t="s">
        <v>106</v>
      </c>
    </row>
    <row r="310" spans="1:21" hidden="1" outlineLevel="1" x14ac:dyDescent="0.2">
      <c r="A310" s="80">
        <f t="shared" si="15"/>
        <v>300</v>
      </c>
      <c r="B310" s="114"/>
      <c r="G310" s="112"/>
      <c r="K310" s="124"/>
    </row>
    <row r="311" spans="1:21" ht="12" hidden="1" outlineLevel="1" thickBot="1" x14ac:dyDescent="0.25">
      <c r="A311" s="80">
        <f t="shared" si="15"/>
        <v>301</v>
      </c>
      <c r="B311" s="79" t="s">
        <v>110</v>
      </c>
      <c r="G311" s="104"/>
      <c r="K311" s="134">
        <f>SUM(K309,K307)</f>
        <v>35025448.363894001</v>
      </c>
      <c r="L311" s="134">
        <f>SUM(L309,L307)</f>
        <v>34454358.002142519</v>
      </c>
      <c r="M311" s="134">
        <f>SUM(M309,M307)</f>
        <v>34435753.95762682</v>
      </c>
      <c r="N311" s="134"/>
      <c r="O311" s="134">
        <f>SUM(O309,O307)</f>
        <v>42889722.146926105</v>
      </c>
      <c r="P311" s="134">
        <f>SUM(P309,P307)</f>
        <v>46670437.208727852</v>
      </c>
      <c r="R311" s="119">
        <v>42889722.146926098</v>
      </c>
      <c r="S311" s="119">
        <v>46670437.208727852</v>
      </c>
    </row>
    <row r="312" spans="1:21" hidden="1" outlineLevel="1" x14ac:dyDescent="0.2">
      <c r="A312" s="80">
        <f t="shared" si="15"/>
        <v>302</v>
      </c>
      <c r="B312" s="102" t="s">
        <v>111</v>
      </c>
      <c r="C312" s="103"/>
      <c r="D312" s="103"/>
      <c r="E312" s="103"/>
      <c r="G312" s="104"/>
      <c r="K312" s="124"/>
      <c r="L312" s="124"/>
      <c r="M312" s="124"/>
      <c r="N312" s="124"/>
      <c r="O312" s="124"/>
      <c r="P312" s="124"/>
      <c r="R312" s="105">
        <f>R311-L311</f>
        <v>8435364.1447835788</v>
      </c>
      <c r="S312" s="105">
        <f>S311-M311-R312</f>
        <v>3799319.1063174531</v>
      </c>
      <c r="T312" s="105"/>
    </row>
    <row r="313" spans="1:21" hidden="1" outlineLevel="1" x14ac:dyDescent="0.2">
      <c r="A313" s="80">
        <f t="shared" si="15"/>
        <v>303</v>
      </c>
      <c r="B313" s="102" t="s">
        <v>112</v>
      </c>
      <c r="C313" s="103"/>
      <c r="D313" s="103"/>
      <c r="E313" s="103"/>
      <c r="G313" s="112"/>
      <c r="K313" s="124"/>
      <c r="L313" s="124"/>
      <c r="M313" s="124"/>
      <c r="N313" s="124"/>
      <c r="O313" s="124"/>
      <c r="P313" s="124"/>
      <c r="R313" s="76">
        <f>R312/L311</f>
        <v>0.24482720427584317</v>
      </c>
      <c r="S313" s="76">
        <f>S312/M311</f>
        <v>0.11033064967860189</v>
      </c>
      <c r="T313" s="105"/>
    </row>
    <row r="314" spans="1:21" hidden="1" outlineLevel="1" x14ac:dyDescent="0.2">
      <c r="A314" s="80">
        <f t="shared" si="15"/>
        <v>304</v>
      </c>
      <c r="B314" s="122" t="s">
        <v>113</v>
      </c>
      <c r="C314" s="103">
        <v>-0.57700002193450928</v>
      </c>
      <c r="D314" s="103"/>
      <c r="E314" s="103"/>
      <c r="K314" s="103">
        <v>-0.36389400064945221</v>
      </c>
      <c r="L314" s="105">
        <v>0</v>
      </c>
      <c r="M314" s="105">
        <v>0</v>
      </c>
      <c r="N314" s="105"/>
      <c r="O314" s="124"/>
      <c r="P314" s="124"/>
      <c r="R314" s="105">
        <f>R311-O311</f>
        <v>0</v>
      </c>
      <c r="S314" s="105">
        <f>S311-P311</f>
        <v>0</v>
      </c>
      <c r="T314" s="124"/>
    </row>
    <row r="315" spans="1:21" hidden="1" outlineLevel="1" x14ac:dyDescent="0.2">
      <c r="A315" s="80">
        <f t="shared" si="15"/>
        <v>305</v>
      </c>
      <c r="B315" s="125"/>
      <c r="C315" s="126"/>
      <c r="D315" s="126"/>
      <c r="E315" s="126"/>
      <c r="F315" s="126"/>
      <c r="G315" s="127"/>
      <c r="H315" s="127"/>
      <c r="I315" s="127"/>
      <c r="J315" s="126"/>
      <c r="K315" s="126"/>
      <c r="L315" s="126"/>
      <c r="M315" s="126"/>
      <c r="N315" s="126"/>
      <c r="O315" s="126"/>
      <c r="P315" s="126"/>
      <c r="Q315" s="126"/>
      <c r="R315" s="126"/>
      <c r="S315" s="126"/>
      <c r="T315" s="126"/>
      <c r="U315" s="126"/>
    </row>
    <row r="316" spans="1:21" hidden="1" outlineLevel="1" x14ac:dyDescent="0.2">
      <c r="A316" s="80">
        <f t="shared" si="15"/>
        <v>306</v>
      </c>
    </row>
    <row r="317" spans="1:21" hidden="1" outlineLevel="1" x14ac:dyDescent="0.2">
      <c r="A317" s="80">
        <f t="shared" si="15"/>
        <v>307</v>
      </c>
      <c r="B317" s="100" t="s">
        <v>213</v>
      </c>
    </row>
    <row r="318" spans="1:21" hidden="1" outlineLevel="1" x14ac:dyDescent="0.2">
      <c r="A318" s="80">
        <f t="shared" si="15"/>
        <v>308</v>
      </c>
      <c r="B318" s="102" t="s">
        <v>184</v>
      </c>
    </row>
    <row r="319" spans="1:21" hidden="1" outlineLevel="1" x14ac:dyDescent="0.2">
      <c r="A319" s="80">
        <f t="shared" si="15"/>
        <v>309</v>
      </c>
      <c r="B319" s="102" t="s">
        <v>185</v>
      </c>
      <c r="C319" s="103">
        <v>240</v>
      </c>
      <c r="D319" s="79">
        <v>240</v>
      </c>
      <c r="E319" s="79">
        <v>240</v>
      </c>
      <c r="G319" s="88">
        <v>1791</v>
      </c>
      <c r="H319" s="71">
        <v>3993.4524221229285</v>
      </c>
      <c r="I319" s="71">
        <f>H319</f>
        <v>3993.4524221229285</v>
      </c>
      <c r="K319" s="105">
        <f>G319*C319</f>
        <v>429840</v>
      </c>
      <c r="L319" s="105">
        <f>G319*D319</f>
        <v>429840</v>
      </c>
      <c r="M319" s="105">
        <f>G319*E319</f>
        <v>429840</v>
      </c>
      <c r="N319" s="105"/>
      <c r="O319" s="105">
        <f>H319*D319</f>
        <v>958428.58130950283</v>
      </c>
      <c r="P319" s="105">
        <f>I319*E319</f>
        <v>958428.58130950283</v>
      </c>
      <c r="R319" s="72">
        <f>(H319-G319)/G319</f>
        <v>1.2297333456856105</v>
      </c>
      <c r="S319" s="72">
        <f>(I319-H319)/H319</f>
        <v>0</v>
      </c>
      <c r="U319" s="102" t="s">
        <v>186</v>
      </c>
    </row>
    <row r="320" spans="1:21" hidden="1" outlineLevel="1" x14ac:dyDescent="0.2">
      <c r="A320" s="80">
        <f t="shared" si="15"/>
        <v>310</v>
      </c>
      <c r="B320" s="79" t="s">
        <v>147</v>
      </c>
      <c r="C320" s="103"/>
      <c r="G320" s="112"/>
      <c r="K320" s="124"/>
    </row>
    <row r="321" spans="1:21" hidden="1" outlineLevel="1" x14ac:dyDescent="0.2">
      <c r="A321" s="80">
        <f t="shared" si="15"/>
        <v>311</v>
      </c>
      <c r="B321" s="111" t="s">
        <v>99</v>
      </c>
      <c r="C321" s="103">
        <v>1952120354</v>
      </c>
      <c r="D321" s="103">
        <v>1967511960.3194919</v>
      </c>
      <c r="E321" s="103">
        <v>1964993565.6779518</v>
      </c>
      <c r="G321" s="112">
        <v>0</v>
      </c>
      <c r="H321" s="112">
        <v>0</v>
      </c>
      <c r="I321" s="112">
        <v>0</v>
      </c>
      <c r="K321" s="105">
        <f>G321*C321</f>
        <v>0</v>
      </c>
      <c r="L321" s="105">
        <f>G321*D321</f>
        <v>0</v>
      </c>
      <c r="M321" s="105">
        <f>G321*E321</f>
        <v>0</v>
      </c>
      <c r="N321" s="105"/>
      <c r="O321" s="105">
        <f t="shared" ref="O321:P324" si="16">H321*D321</f>
        <v>0</v>
      </c>
      <c r="P321" s="105">
        <f t="shared" si="16"/>
        <v>0</v>
      </c>
    </row>
    <row r="322" spans="1:21" hidden="1" outlineLevel="1" x14ac:dyDescent="0.2">
      <c r="A322" s="80">
        <f t="shared" si="15"/>
        <v>312</v>
      </c>
      <c r="B322" s="111" t="s">
        <v>101</v>
      </c>
      <c r="C322" s="103">
        <v>0</v>
      </c>
      <c r="D322" s="115" t="s">
        <v>102</v>
      </c>
      <c r="G322" s="73">
        <f>IFERROR(K322/C322,0)</f>
        <v>0</v>
      </c>
      <c r="H322" s="112">
        <v>0</v>
      </c>
      <c r="I322" s="112">
        <v>0</v>
      </c>
      <c r="K322" s="124">
        <v>0</v>
      </c>
      <c r="L322" s="105">
        <f>G322*D322</f>
        <v>0</v>
      </c>
      <c r="M322" s="105">
        <f>G322*E322</f>
        <v>0</v>
      </c>
      <c r="N322" s="105"/>
      <c r="O322" s="105">
        <f t="shared" si="16"/>
        <v>0</v>
      </c>
      <c r="P322" s="105">
        <f t="shared" si="16"/>
        <v>0</v>
      </c>
    </row>
    <row r="323" spans="1:21" hidden="1" outlineLevel="1" x14ac:dyDescent="0.2">
      <c r="A323" s="80">
        <f t="shared" si="15"/>
        <v>313</v>
      </c>
      <c r="B323" s="111" t="s">
        <v>172</v>
      </c>
      <c r="C323" s="103">
        <v>-4078452.1120000002</v>
      </c>
      <c r="D323" s="115" t="s">
        <v>102</v>
      </c>
      <c r="G323" s="73">
        <f>K323/C323</f>
        <v>1.3645294457732252E-2</v>
      </c>
      <c r="H323" s="112"/>
      <c r="I323" s="112"/>
      <c r="K323" s="124">
        <v>-55651.68</v>
      </c>
      <c r="L323" s="105">
        <f>G323*D323</f>
        <v>0</v>
      </c>
      <c r="M323" s="105">
        <f>G323*E323</f>
        <v>0</v>
      </c>
      <c r="N323" s="105"/>
      <c r="O323" s="105">
        <f t="shared" si="16"/>
        <v>0</v>
      </c>
      <c r="P323" s="105">
        <f t="shared" si="16"/>
        <v>0</v>
      </c>
    </row>
    <row r="324" spans="1:21" hidden="1" outlineLevel="1" x14ac:dyDescent="0.2">
      <c r="A324" s="80">
        <f t="shared" si="15"/>
        <v>314</v>
      </c>
      <c r="B324" s="114" t="s">
        <v>103</v>
      </c>
      <c r="C324" s="130">
        <v>-1818330</v>
      </c>
      <c r="D324" s="185" t="s">
        <v>102</v>
      </c>
      <c r="E324" s="126"/>
      <c r="G324" s="73">
        <f>K324/C324</f>
        <v>7.1310488195212088E-2</v>
      </c>
      <c r="K324" s="105">
        <v>-129666</v>
      </c>
      <c r="L324" s="105">
        <f>G324*D324</f>
        <v>0</v>
      </c>
      <c r="M324" s="105">
        <f>G324*E324</f>
        <v>0</v>
      </c>
      <c r="N324" s="105"/>
      <c r="O324" s="105">
        <f t="shared" si="16"/>
        <v>0</v>
      </c>
      <c r="P324" s="105">
        <f t="shared" si="16"/>
        <v>0</v>
      </c>
    </row>
    <row r="325" spans="1:21" hidden="1" outlineLevel="1" x14ac:dyDescent="0.2">
      <c r="A325" s="80">
        <f t="shared" si="15"/>
        <v>315</v>
      </c>
      <c r="B325" s="106" t="s">
        <v>74</v>
      </c>
      <c r="C325" s="103">
        <f>SUM(C321:C324)</f>
        <v>1946223571.888</v>
      </c>
      <c r="D325" s="103">
        <f>SUM(D321:D324)</f>
        <v>1967511960.3194919</v>
      </c>
      <c r="E325" s="103">
        <f>SUM(E321:E324)</f>
        <v>1964993565.6779518</v>
      </c>
      <c r="K325" s="186">
        <f>SUM(K321:K324)</f>
        <v>-185317.68</v>
      </c>
      <c r="L325" s="186">
        <f>SUM(L321:L324)</f>
        <v>0</v>
      </c>
      <c r="M325" s="186">
        <f>SUM(M321:M324)</f>
        <v>0</v>
      </c>
      <c r="O325" s="186">
        <f>SUM(O321:O324)</f>
        <v>0</v>
      </c>
      <c r="P325" s="186">
        <f>SUM(P321:P324)</f>
        <v>0</v>
      </c>
    </row>
    <row r="326" spans="1:21" hidden="1" outlineLevel="1" x14ac:dyDescent="0.2">
      <c r="A326" s="80">
        <f t="shared" si="15"/>
        <v>316</v>
      </c>
      <c r="B326" s="106"/>
      <c r="C326" s="103"/>
      <c r="K326" s="124"/>
    </row>
    <row r="327" spans="1:21" hidden="1" outlineLevel="1" x14ac:dyDescent="0.2">
      <c r="A327" s="80">
        <f t="shared" si="15"/>
        <v>317</v>
      </c>
      <c r="B327" s="79" t="s">
        <v>187</v>
      </c>
      <c r="C327" s="103">
        <v>3409722</v>
      </c>
      <c r="K327" s="105">
        <f>G327*C327</f>
        <v>0</v>
      </c>
      <c r="L327" s="105">
        <f>G327*D327</f>
        <v>0</v>
      </c>
      <c r="M327" s="105">
        <f>G327*E327</f>
        <v>0</v>
      </c>
      <c r="N327" s="105"/>
      <c r="O327" s="105">
        <f>H327*D327</f>
        <v>0</v>
      </c>
      <c r="P327" s="105">
        <f>I327*E327</f>
        <v>0</v>
      </c>
    </row>
    <row r="328" spans="1:21" hidden="1" outlineLevel="1" x14ac:dyDescent="0.2">
      <c r="A328" s="80">
        <f t="shared" si="15"/>
        <v>318</v>
      </c>
      <c r="K328" s="124"/>
    </row>
    <row r="329" spans="1:21" hidden="1" outlineLevel="1" x14ac:dyDescent="0.2">
      <c r="A329" s="80">
        <f t="shared" si="15"/>
        <v>319</v>
      </c>
      <c r="B329" s="102" t="s">
        <v>188</v>
      </c>
      <c r="K329" s="124">
        <v>13154883</v>
      </c>
      <c r="L329" s="124">
        <f>K329</f>
        <v>13154883</v>
      </c>
      <c r="M329" s="124">
        <f>L329</f>
        <v>13154883</v>
      </c>
      <c r="O329" s="124">
        <f>L329</f>
        <v>13154883</v>
      </c>
      <c r="P329" s="124">
        <f>M329</f>
        <v>13154883</v>
      </c>
    </row>
    <row r="330" spans="1:21" hidden="1" outlineLevel="1" x14ac:dyDescent="0.2">
      <c r="A330" s="80">
        <f t="shared" si="15"/>
        <v>320</v>
      </c>
      <c r="B330" s="114"/>
      <c r="K330" s="124"/>
    </row>
    <row r="331" spans="1:21" ht="12" hidden="1" outlineLevel="1" thickBot="1" x14ac:dyDescent="0.25">
      <c r="A331" s="80">
        <f t="shared" si="15"/>
        <v>321</v>
      </c>
      <c r="B331" s="79" t="s">
        <v>110</v>
      </c>
      <c r="K331" s="134">
        <f>SUM(K327,K325,K319,K329)</f>
        <v>13399405.32</v>
      </c>
      <c r="L331" s="134">
        <f>SUM(L327,L325,L319,L329)</f>
        <v>13584723</v>
      </c>
      <c r="M331" s="134">
        <f>SUM(M327,M325,M319,M329)</f>
        <v>13584723</v>
      </c>
      <c r="O331" s="134">
        <f>SUM(O327,O325,O319,O329)</f>
        <v>14113311.581309503</v>
      </c>
      <c r="P331" s="134">
        <f>SUM(P327,P325,P319,P329)</f>
        <v>14113311.581309503</v>
      </c>
      <c r="R331" s="119">
        <v>14113311.581309503</v>
      </c>
      <c r="S331" s="119">
        <v>14113311.581309503</v>
      </c>
    </row>
    <row r="332" spans="1:21" hidden="1" outlineLevel="1" x14ac:dyDescent="0.2">
      <c r="A332" s="80">
        <f t="shared" ref="A332:A394" si="17">A331+1</f>
        <v>322</v>
      </c>
      <c r="B332" s="102" t="s">
        <v>111</v>
      </c>
      <c r="R332" s="105">
        <f>R331-L331</f>
        <v>528588.58130950294</v>
      </c>
      <c r="S332" s="105">
        <f>S331-M331-R332</f>
        <v>0</v>
      </c>
    </row>
    <row r="333" spans="1:21" hidden="1" outlineLevel="1" x14ac:dyDescent="0.2">
      <c r="A333" s="80">
        <f t="shared" si="17"/>
        <v>323</v>
      </c>
      <c r="B333" s="102" t="s">
        <v>112</v>
      </c>
      <c r="R333" s="76">
        <f>R332/L331</f>
        <v>3.8910515975151126E-2</v>
      </c>
      <c r="S333" s="76">
        <f>S332/M331</f>
        <v>0</v>
      </c>
    </row>
    <row r="334" spans="1:21" hidden="1" outlineLevel="1" x14ac:dyDescent="0.2">
      <c r="A334" s="80">
        <f t="shared" si="17"/>
        <v>324</v>
      </c>
      <c r="B334" s="122" t="s">
        <v>113</v>
      </c>
      <c r="C334" s="103">
        <v>-0.31399959325790405</v>
      </c>
      <c r="K334" s="103">
        <v>0</v>
      </c>
      <c r="L334" s="105">
        <v>-0.13057444617152214</v>
      </c>
      <c r="M334" s="105">
        <v>-0.13563865423202515</v>
      </c>
      <c r="N334" s="105"/>
      <c r="O334" s="124"/>
      <c r="P334" s="124"/>
      <c r="R334" s="105">
        <f>R331-O331</f>
        <v>0</v>
      </c>
      <c r="S334" s="105">
        <f>S331-P331</f>
        <v>0</v>
      </c>
      <c r="T334" s="124"/>
    </row>
    <row r="335" spans="1:21" hidden="1" outlineLevel="1" x14ac:dyDescent="0.2">
      <c r="A335" s="80">
        <f t="shared" si="17"/>
        <v>325</v>
      </c>
      <c r="B335" s="125"/>
      <c r="C335" s="126"/>
      <c r="D335" s="126"/>
      <c r="E335" s="126"/>
      <c r="F335" s="126"/>
      <c r="G335" s="127"/>
      <c r="H335" s="127"/>
      <c r="I335" s="127"/>
      <c r="J335" s="126"/>
      <c r="K335" s="126"/>
      <c r="L335" s="126"/>
      <c r="M335" s="126"/>
      <c r="N335" s="126"/>
      <c r="O335" s="126"/>
      <c r="P335" s="126"/>
      <c r="Q335" s="126"/>
      <c r="R335" s="126"/>
      <c r="S335" s="126"/>
      <c r="T335" s="126"/>
      <c r="U335" s="126"/>
    </row>
    <row r="336" spans="1:21" hidden="1" outlineLevel="1" x14ac:dyDescent="0.2">
      <c r="A336" s="80">
        <f t="shared" si="17"/>
        <v>326</v>
      </c>
    </row>
    <row r="337" spans="1:21" hidden="1" outlineLevel="1" x14ac:dyDescent="0.2">
      <c r="A337" s="80">
        <f t="shared" si="17"/>
        <v>327</v>
      </c>
      <c r="B337" s="100" t="s">
        <v>214</v>
      </c>
    </row>
    <row r="338" spans="1:21" hidden="1" outlineLevel="1" x14ac:dyDescent="0.2">
      <c r="A338" s="80">
        <f t="shared" si="17"/>
        <v>328</v>
      </c>
      <c r="B338" s="106" t="s">
        <v>185</v>
      </c>
      <c r="C338" s="103">
        <v>1183</v>
      </c>
      <c r="D338" s="103">
        <v>1090.9765698219305</v>
      </c>
      <c r="E338" s="103">
        <v>1090.9765698219305</v>
      </c>
      <c r="G338" s="88">
        <v>307</v>
      </c>
      <c r="H338" s="71">
        <v>471.56162599833863</v>
      </c>
      <c r="I338" s="71">
        <f>H338</f>
        <v>471.56162599833863</v>
      </c>
      <c r="K338" s="105">
        <f>G338*C338</f>
        <v>363181</v>
      </c>
      <c r="L338" s="105">
        <f>G338*D338</f>
        <v>334929.80693533266</v>
      </c>
      <c r="M338" s="105">
        <f>G338*E338</f>
        <v>334929.80693533266</v>
      </c>
      <c r="N338" s="105"/>
      <c r="O338" s="105">
        <f>H338*D338</f>
        <v>514462.68519131956</v>
      </c>
      <c r="P338" s="105">
        <f>I338*E338</f>
        <v>514462.68519131956</v>
      </c>
      <c r="R338" s="72">
        <f>(H338-G338)/G338</f>
        <v>0.53603135504344834</v>
      </c>
      <c r="S338" s="72">
        <f>(I338-H338)/H338</f>
        <v>0</v>
      </c>
      <c r="U338" s="102" t="s">
        <v>186</v>
      </c>
    </row>
    <row r="339" spans="1:21" hidden="1" outlineLevel="1" x14ac:dyDescent="0.2">
      <c r="A339" s="80">
        <f t="shared" si="17"/>
        <v>329</v>
      </c>
      <c r="B339" s="106"/>
      <c r="C339" s="103"/>
      <c r="G339" s="88"/>
      <c r="K339" s="124"/>
    </row>
    <row r="340" spans="1:21" hidden="1" outlineLevel="1" x14ac:dyDescent="0.2">
      <c r="A340" s="80">
        <f t="shared" si="17"/>
        <v>330</v>
      </c>
      <c r="B340" s="106" t="s">
        <v>189</v>
      </c>
      <c r="C340" s="103">
        <v>795973</v>
      </c>
      <c r="D340" s="103">
        <v>698637.83258738962</v>
      </c>
      <c r="E340" s="103">
        <v>774721.53188225022</v>
      </c>
      <c r="G340" s="88">
        <f>K340/C340</f>
        <v>4.0568084595834284</v>
      </c>
      <c r="H340" s="88">
        <f>O340/D340</f>
        <v>10.894680648715472</v>
      </c>
      <c r="I340" s="88">
        <f>P340/E340</f>
        <v>10.894680648715472</v>
      </c>
      <c r="K340" s="105">
        <v>3229110</v>
      </c>
      <c r="L340" s="124">
        <v>2834240</v>
      </c>
      <c r="M340" s="124">
        <v>3142897</v>
      </c>
      <c r="N340" s="124"/>
      <c r="O340" s="124">
        <v>7611436.0751503529</v>
      </c>
      <c r="P340" s="124">
        <v>8440343.6815407574</v>
      </c>
      <c r="R340" s="72">
        <f>(H340-G340)/G340</f>
        <v>1.6855299571708611</v>
      </c>
      <c r="S340" s="72">
        <f>(I340-H340)/H340</f>
        <v>0</v>
      </c>
      <c r="U340" s="102" t="s">
        <v>190</v>
      </c>
    </row>
    <row r="341" spans="1:21" hidden="1" outlineLevel="1" x14ac:dyDescent="0.2">
      <c r="A341" s="80">
        <f t="shared" si="17"/>
        <v>331</v>
      </c>
      <c r="B341" s="106"/>
      <c r="C341" s="103"/>
      <c r="G341" s="88"/>
      <c r="K341" s="124"/>
    </row>
    <row r="342" spans="1:21" hidden="1" outlineLevel="1" x14ac:dyDescent="0.2">
      <c r="A342" s="80">
        <f t="shared" si="17"/>
        <v>332</v>
      </c>
      <c r="B342" s="79" t="s">
        <v>147</v>
      </c>
      <c r="C342" s="103"/>
      <c r="G342" s="112"/>
      <c r="K342" s="124"/>
    </row>
    <row r="343" spans="1:21" hidden="1" outlineLevel="1" x14ac:dyDescent="0.2">
      <c r="A343" s="80">
        <f t="shared" si="17"/>
        <v>333</v>
      </c>
      <c r="B343" s="111" t="s">
        <v>99</v>
      </c>
      <c r="C343" s="103">
        <v>314106328.37499994</v>
      </c>
      <c r="D343" s="103">
        <v>304773055.46200001</v>
      </c>
      <c r="E343" s="103">
        <v>304773055.46200001</v>
      </c>
      <c r="G343" s="112">
        <v>0</v>
      </c>
      <c r="H343" s="112">
        <v>0</v>
      </c>
      <c r="I343" s="112">
        <v>0</v>
      </c>
      <c r="K343" s="105">
        <f>G343*C343</f>
        <v>0</v>
      </c>
      <c r="L343" s="105">
        <f>G343*D343</f>
        <v>0</v>
      </c>
      <c r="M343" s="105">
        <f>G343*E343</f>
        <v>0</v>
      </c>
      <c r="N343" s="105"/>
      <c r="O343" s="105">
        <f t="shared" ref="O343:P345" si="18">H343*D343</f>
        <v>0</v>
      </c>
      <c r="P343" s="105">
        <f t="shared" si="18"/>
        <v>0</v>
      </c>
    </row>
    <row r="344" spans="1:21" hidden="1" outlineLevel="1" x14ac:dyDescent="0.2">
      <c r="A344" s="80">
        <f t="shared" si="17"/>
        <v>334</v>
      </c>
      <c r="B344" s="111" t="s">
        <v>101</v>
      </c>
      <c r="C344" s="103">
        <v>0</v>
      </c>
      <c r="D344" s="115" t="s">
        <v>102</v>
      </c>
      <c r="G344" s="112">
        <v>0</v>
      </c>
      <c r="H344" s="112">
        <v>0</v>
      </c>
      <c r="I344" s="112">
        <v>0</v>
      </c>
      <c r="K344" s="105">
        <f>G344*C344</f>
        <v>0</v>
      </c>
      <c r="L344" s="105">
        <f>G344*D344</f>
        <v>0</v>
      </c>
      <c r="M344" s="105">
        <f>G344*E344</f>
        <v>0</v>
      </c>
      <c r="N344" s="105"/>
      <c r="O344" s="105">
        <f t="shared" si="18"/>
        <v>0</v>
      </c>
      <c r="P344" s="105">
        <f t="shared" si="18"/>
        <v>0</v>
      </c>
    </row>
    <row r="345" spans="1:21" hidden="1" outlineLevel="1" x14ac:dyDescent="0.2">
      <c r="A345" s="80">
        <f t="shared" si="17"/>
        <v>335</v>
      </c>
      <c r="B345" s="114" t="s">
        <v>103</v>
      </c>
      <c r="C345" s="103">
        <v>2550576</v>
      </c>
      <c r="D345" s="115" t="s">
        <v>102</v>
      </c>
      <c r="G345" s="73">
        <f>K345/C345</f>
        <v>1.2422292062655651E-2</v>
      </c>
      <c r="K345" s="105">
        <v>31684</v>
      </c>
      <c r="L345" s="105">
        <f>G345*D345</f>
        <v>0</v>
      </c>
      <c r="M345" s="105">
        <f>G345*E345</f>
        <v>0</v>
      </c>
      <c r="N345" s="105"/>
      <c r="O345" s="105">
        <f t="shared" si="18"/>
        <v>0</v>
      </c>
      <c r="P345" s="105">
        <f t="shared" si="18"/>
        <v>0</v>
      </c>
    </row>
    <row r="346" spans="1:21" hidden="1" outlineLevel="1" x14ac:dyDescent="0.2">
      <c r="A346" s="80">
        <f t="shared" si="17"/>
        <v>336</v>
      </c>
      <c r="B346" s="106" t="s">
        <v>74</v>
      </c>
      <c r="C346" s="160">
        <f>SUM(C342:C345)</f>
        <v>316656904.37499994</v>
      </c>
      <c r="D346" s="160">
        <f>SUM(D342:D345)</f>
        <v>304773055.46200001</v>
      </c>
      <c r="E346" s="160">
        <f>SUM(E342:E345)</f>
        <v>304773055.46200001</v>
      </c>
      <c r="K346" s="186">
        <f>SUM(K343:K345)</f>
        <v>31684</v>
      </c>
      <c r="L346" s="186">
        <f>SUM(L343:L345)</f>
        <v>0</v>
      </c>
      <c r="M346" s="186">
        <f>SUM(M343:M345)</f>
        <v>0</v>
      </c>
      <c r="O346" s="186">
        <f>SUM(O343:O345)</f>
        <v>0</v>
      </c>
      <c r="P346" s="186">
        <f>SUM(P343:P345)</f>
        <v>0</v>
      </c>
    </row>
    <row r="347" spans="1:21" hidden="1" outlineLevel="1" x14ac:dyDescent="0.2">
      <c r="A347" s="80">
        <f t="shared" si="17"/>
        <v>337</v>
      </c>
      <c r="B347" s="106"/>
      <c r="K347" s="124"/>
    </row>
    <row r="348" spans="1:21" ht="12" hidden="1" outlineLevel="1" thickBot="1" x14ac:dyDescent="0.25">
      <c r="A348" s="80">
        <f t="shared" si="17"/>
        <v>338</v>
      </c>
      <c r="B348" s="79" t="s">
        <v>110</v>
      </c>
      <c r="K348" s="134">
        <f>SUM(K346,K340,K338)</f>
        <v>3623975</v>
      </c>
      <c r="L348" s="134">
        <f>SUM(L346,L340,L338)</f>
        <v>3169169.8069353327</v>
      </c>
      <c r="M348" s="134">
        <f>SUM(M346,M340,M338)</f>
        <v>3477826.8069353327</v>
      </c>
      <c r="O348" s="134">
        <f>SUM(O346,O340,O338)</f>
        <v>8125898.7603416722</v>
      </c>
      <c r="P348" s="134">
        <f>SUM(P346,P340,P338)</f>
        <v>8954806.3667320777</v>
      </c>
      <c r="R348" s="119">
        <v>8125898.7603416722</v>
      </c>
      <c r="S348" s="119">
        <v>8954806.3667320777</v>
      </c>
    </row>
    <row r="349" spans="1:21" hidden="1" outlineLevel="1" x14ac:dyDescent="0.2">
      <c r="A349" s="80">
        <f t="shared" si="17"/>
        <v>339</v>
      </c>
      <c r="B349" s="102" t="s">
        <v>111</v>
      </c>
      <c r="R349" s="105">
        <f>R348-L348</f>
        <v>4956728.9534063395</v>
      </c>
      <c r="S349" s="105">
        <f>S348-M348-R349</f>
        <v>520250.60639040545</v>
      </c>
    </row>
    <row r="350" spans="1:21" hidden="1" outlineLevel="1" x14ac:dyDescent="0.2">
      <c r="A350" s="80">
        <f t="shared" si="17"/>
        <v>340</v>
      </c>
      <c r="B350" s="102" t="s">
        <v>112</v>
      </c>
      <c r="M350" s="131"/>
      <c r="R350" s="76">
        <f>R349/L348</f>
        <v>1.5640465028283295</v>
      </c>
      <c r="S350" s="76">
        <f>S349/M348</f>
        <v>0.14959071721252595</v>
      </c>
    </row>
    <row r="351" spans="1:21" hidden="1" outlineLevel="1" x14ac:dyDescent="0.2">
      <c r="A351" s="80">
        <f t="shared" si="17"/>
        <v>341</v>
      </c>
      <c r="B351" s="122" t="s">
        <v>113</v>
      </c>
      <c r="K351" s="103">
        <v>0</v>
      </c>
      <c r="O351" s="124"/>
      <c r="P351" s="124"/>
      <c r="R351" s="105">
        <f>R348-O348</f>
        <v>0</v>
      </c>
      <c r="S351" s="105">
        <f>S348-P348</f>
        <v>0</v>
      </c>
    </row>
    <row r="352" spans="1:21" hidden="1" outlineLevel="1" x14ac:dyDescent="0.2">
      <c r="A352" s="80">
        <f t="shared" si="17"/>
        <v>342</v>
      </c>
      <c r="B352" s="125"/>
      <c r="C352" s="126"/>
      <c r="D352" s="126"/>
      <c r="E352" s="126"/>
      <c r="F352" s="126"/>
      <c r="G352" s="127"/>
      <c r="H352" s="127"/>
      <c r="I352" s="127"/>
      <c r="J352" s="126"/>
      <c r="K352" s="126"/>
      <c r="L352" s="126"/>
      <c r="M352" s="126"/>
      <c r="N352" s="126"/>
      <c r="O352" s="126"/>
      <c r="P352" s="126"/>
      <c r="Q352" s="126"/>
      <c r="R352" s="126"/>
      <c r="S352" s="126"/>
      <c r="T352" s="126"/>
      <c r="U352" s="126"/>
    </row>
    <row r="353" spans="1:21" hidden="1" outlineLevel="1" x14ac:dyDescent="0.2">
      <c r="A353" s="80">
        <f t="shared" si="17"/>
        <v>343</v>
      </c>
    </row>
    <row r="354" spans="1:21" hidden="1" outlineLevel="1" x14ac:dyDescent="0.2">
      <c r="A354" s="80">
        <f t="shared" si="17"/>
        <v>344</v>
      </c>
      <c r="B354" s="100" t="s">
        <v>191</v>
      </c>
    </row>
    <row r="355" spans="1:21" hidden="1" outlineLevel="1" x14ac:dyDescent="0.2">
      <c r="A355" s="80">
        <f t="shared" si="17"/>
        <v>345</v>
      </c>
      <c r="B355" s="100" t="s">
        <v>192</v>
      </c>
    </row>
    <row r="356" spans="1:21" hidden="1" outlineLevel="1" x14ac:dyDescent="0.2">
      <c r="A356" s="80">
        <f t="shared" si="17"/>
        <v>346</v>
      </c>
      <c r="B356" s="102" t="s">
        <v>179</v>
      </c>
      <c r="C356" s="103">
        <v>96</v>
      </c>
      <c r="D356" s="189">
        <v>96</v>
      </c>
      <c r="E356" s="189">
        <v>96</v>
      </c>
      <c r="G356" s="112"/>
      <c r="K356" s="105">
        <f>G356*C356</f>
        <v>0</v>
      </c>
      <c r="L356" s="105">
        <f>G356*D356</f>
        <v>0</v>
      </c>
      <c r="M356" s="105">
        <f>G356*E356</f>
        <v>0</v>
      </c>
      <c r="N356" s="105"/>
      <c r="O356" s="105">
        <f>H356*D356</f>
        <v>0</v>
      </c>
      <c r="P356" s="105">
        <f>I356*E356</f>
        <v>0</v>
      </c>
    </row>
    <row r="357" spans="1:21" hidden="1" outlineLevel="1" x14ac:dyDescent="0.2">
      <c r="A357" s="80">
        <f t="shared" si="17"/>
        <v>347</v>
      </c>
      <c r="B357" s="79" t="s">
        <v>147</v>
      </c>
      <c r="C357" s="103"/>
      <c r="G357" s="112"/>
    </row>
    <row r="358" spans="1:21" hidden="1" outlineLevel="1" x14ac:dyDescent="0.2">
      <c r="A358" s="80">
        <f t="shared" si="17"/>
        <v>348</v>
      </c>
      <c r="B358" s="111" t="s">
        <v>99</v>
      </c>
      <c r="C358" s="103">
        <v>7070140</v>
      </c>
      <c r="D358" s="103">
        <v>6714960.2368700616</v>
      </c>
      <c r="E358" s="103">
        <v>6710049.8818741431</v>
      </c>
      <c r="G358" s="73">
        <f>K358/C358</f>
        <v>3.5139756779922322E-2</v>
      </c>
      <c r="H358" s="112">
        <f t="shared" ref="H358:I360" si="19">G358+R358</f>
        <v>0.12915032876857874</v>
      </c>
      <c r="I358" s="112">
        <f t="shared" si="19"/>
        <v>0.12937531311662395</v>
      </c>
      <c r="K358" s="124">
        <v>248443</v>
      </c>
      <c r="L358" s="105">
        <f>G358*D358</f>
        <v>235962.06951046354</v>
      </c>
      <c r="M358" s="105">
        <f>G358*E358</f>
        <v>235789.5208302039</v>
      </c>
      <c r="N358" s="105"/>
      <c r="O358" s="105">
        <f t="shared" ref="O358:P360" si="20">H358*D358</f>
        <v>867239.32225970179</v>
      </c>
      <c r="P358" s="105">
        <f t="shared" si="20"/>
        <v>868114.80449563288</v>
      </c>
      <c r="R358" s="112">
        <f>(R370-(O356-L356)-(O363-L363)-(O365-L365))/D361</f>
        <v>9.4010571988656422E-2</v>
      </c>
      <c r="S358" s="112">
        <f>((S370+R370)-(P356-M356)-(P363-M363)-(P365-M365))/E361-R358</f>
        <v>2.2498434804521517E-4</v>
      </c>
      <c r="U358" s="102" t="s">
        <v>100</v>
      </c>
    </row>
    <row r="359" spans="1:21" hidden="1" outlineLevel="1" x14ac:dyDescent="0.2">
      <c r="A359" s="80">
        <f t="shared" si="17"/>
        <v>349</v>
      </c>
      <c r="B359" s="111" t="s">
        <v>101</v>
      </c>
      <c r="C359" s="103">
        <v>-182514.82154599993</v>
      </c>
      <c r="D359" s="115" t="s">
        <v>102</v>
      </c>
      <c r="G359" s="73">
        <f>K359/C359</f>
        <v>7.7834774620863356E-2</v>
      </c>
      <c r="H359" s="112">
        <f t="shared" si="19"/>
        <v>0.17184534660951978</v>
      </c>
      <c r="I359" s="112">
        <f t="shared" si="19"/>
        <v>0.17207033095756499</v>
      </c>
      <c r="K359" s="124">
        <v>-14206</v>
      </c>
      <c r="L359" s="105">
        <f>G359*D359</f>
        <v>0</v>
      </c>
      <c r="M359" s="105">
        <f>G359*E359</f>
        <v>0</v>
      </c>
      <c r="N359" s="105"/>
      <c r="O359" s="105">
        <f t="shared" si="20"/>
        <v>0</v>
      </c>
      <c r="P359" s="105">
        <f t="shared" si="20"/>
        <v>0</v>
      </c>
      <c r="R359" s="152">
        <f>R358</f>
        <v>9.4010571988656422E-2</v>
      </c>
      <c r="S359" s="152">
        <f>S358</f>
        <v>2.2498434804521517E-4</v>
      </c>
      <c r="U359" s="102" t="s">
        <v>100</v>
      </c>
    </row>
    <row r="360" spans="1:21" hidden="1" outlineLevel="1" x14ac:dyDescent="0.2">
      <c r="A360" s="80">
        <f t="shared" si="17"/>
        <v>350</v>
      </c>
      <c r="B360" s="114" t="s">
        <v>103</v>
      </c>
      <c r="C360" s="130">
        <v>-119780</v>
      </c>
      <c r="D360" s="185" t="s">
        <v>102</v>
      </c>
      <c r="E360" s="126"/>
      <c r="G360" s="73">
        <f>K360/C360</f>
        <v>7.3259308732676567E-2</v>
      </c>
      <c r="H360" s="112">
        <f t="shared" si="19"/>
        <v>0.16726988072133298</v>
      </c>
      <c r="I360" s="112">
        <f t="shared" si="19"/>
        <v>0.16749486506937819</v>
      </c>
      <c r="K360" s="190">
        <v>-8775</v>
      </c>
      <c r="L360" s="116">
        <f>G360*D360</f>
        <v>0</v>
      </c>
      <c r="M360" s="116">
        <f>G360*E360</f>
        <v>0</v>
      </c>
      <c r="N360" s="105"/>
      <c r="O360" s="116">
        <f t="shared" si="20"/>
        <v>0</v>
      </c>
      <c r="P360" s="116">
        <f t="shared" si="20"/>
        <v>0</v>
      </c>
      <c r="R360" s="152">
        <f>R359</f>
        <v>9.4010571988656422E-2</v>
      </c>
      <c r="S360" s="152">
        <f>S359</f>
        <v>2.2498434804521517E-4</v>
      </c>
      <c r="U360" s="102" t="s">
        <v>100</v>
      </c>
    </row>
    <row r="361" spans="1:21" hidden="1" outlineLevel="1" x14ac:dyDescent="0.2">
      <c r="A361" s="80">
        <f t="shared" si="17"/>
        <v>351</v>
      </c>
      <c r="B361" s="106" t="s">
        <v>74</v>
      </c>
      <c r="C361" s="103">
        <f>SUM(C358:C360)</f>
        <v>6767845.1784540005</v>
      </c>
      <c r="D361" s="103">
        <f>SUM(D358:D360)</f>
        <v>6714960.2368700616</v>
      </c>
      <c r="E361" s="103">
        <f>SUM(E358:E360)</f>
        <v>6710049.8818741431</v>
      </c>
      <c r="G361" s="112"/>
      <c r="K361" s="124">
        <f>SUM(K358:K360)</f>
        <v>225462</v>
      </c>
      <c r="L361" s="124">
        <f>SUM(L358:L360)</f>
        <v>235962.06951046354</v>
      </c>
      <c r="M361" s="124">
        <f>SUM(M358:M360)</f>
        <v>235789.5208302039</v>
      </c>
      <c r="O361" s="124">
        <f>SUM(O358:O360)</f>
        <v>867239.32225970179</v>
      </c>
      <c r="P361" s="124">
        <f>SUM(P358:P360)</f>
        <v>868114.80449563288</v>
      </c>
    </row>
    <row r="362" spans="1:21" hidden="1" outlineLevel="1" x14ac:dyDescent="0.2">
      <c r="A362" s="80">
        <f t="shared" si="17"/>
        <v>352</v>
      </c>
      <c r="B362" s="106"/>
      <c r="C362" s="103"/>
      <c r="G362" s="112"/>
      <c r="K362" s="124"/>
      <c r="L362" s="124"/>
      <c r="M362" s="124"/>
      <c r="O362" s="124"/>
      <c r="P362" s="124"/>
    </row>
    <row r="363" spans="1:21" hidden="1" outlineLevel="1" x14ac:dyDescent="0.2">
      <c r="A363" s="80">
        <f t="shared" si="17"/>
        <v>353</v>
      </c>
      <c r="B363" s="79" t="s">
        <v>193</v>
      </c>
      <c r="C363" s="103">
        <v>14047</v>
      </c>
      <c r="D363" s="103">
        <v>13394.355918136085</v>
      </c>
      <c r="E363" s="103">
        <v>13319.835934941628</v>
      </c>
      <c r="G363" s="191">
        <v>5.25</v>
      </c>
      <c r="H363" s="71">
        <f>G363*(1+R363)</f>
        <v>19.295501396937592</v>
      </c>
      <c r="I363" s="71">
        <f>H363*(1+S363)</f>
        <v>19.295501396937592</v>
      </c>
      <c r="K363" s="124">
        <v>73747</v>
      </c>
      <c r="L363" s="105">
        <f>G363*D363</f>
        <v>70320.368570214443</v>
      </c>
      <c r="M363" s="105">
        <f>G363*E363</f>
        <v>69929.138658443553</v>
      </c>
      <c r="N363" s="105"/>
      <c r="O363" s="105">
        <f>H363*D363</f>
        <v>258450.81332947413</v>
      </c>
      <c r="P363" s="105">
        <f>I363*E363</f>
        <v>257012.91288964573</v>
      </c>
      <c r="R363" s="72">
        <f>R371</f>
        <v>2.675333599416684</v>
      </c>
      <c r="S363" s="72">
        <f>S371</f>
        <v>0</v>
      </c>
      <c r="T363" s="105"/>
      <c r="U363" s="102" t="s">
        <v>106</v>
      </c>
    </row>
    <row r="364" spans="1:21" hidden="1" outlineLevel="1" x14ac:dyDescent="0.2">
      <c r="A364" s="80">
        <f t="shared" si="17"/>
        <v>354</v>
      </c>
      <c r="C364" s="103"/>
      <c r="D364" s="103"/>
      <c r="E364" s="103"/>
      <c r="G364" s="104"/>
      <c r="K364" s="124"/>
      <c r="L364" s="124"/>
      <c r="M364" s="124"/>
      <c r="O364" s="124"/>
      <c r="P364" s="124"/>
    </row>
    <row r="365" spans="1:21" hidden="1" outlineLevel="1" x14ac:dyDescent="0.2">
      <c r="A365" s="80">
        <f t="shared" si="17"/>
        <v>355</v>
      </c>
      <c r="B365" s="102" t="s">
        <v>194</v>
      </c>
      <c r="C365" s="103">
        <v>1785000</v>
      </c>
      <c r="D365" s="103">
        <v>1725954.2492423062</v>
      </c>
      <c r="E365" s="103">
        <v>1723920.2776531272</v>
      </c>
      <c r="G365" s="73">
        <v>2.5000000000000001E-4</v>
      </c>
      <c r="H365" s="75">
        <f>G365*(1+R365)</f>
        <v>9.1883339985417102E-4</v>
      </c>
      <c r="I365" s="75">
        <f>H365*(1+S365)</f>
        <v>9.1883339985417102E-4</v>
      </c>
      <c r="K365" s="124">
        <v>447</v>
      </c>
      <c r="L365" s="105">
        <f>G365*D365</f>
        <v>431.48856231057658</v>
      </c>
      <c r="M365" s="105">
        <f>G365*E365</f>
        <v>430.9800694132818</v>
      </c>
      <c r="N365" s="105"/>
      <c r="O365" s="105">
        <f>H365*D365</f>
        <v>1585.8644108240615</v>
      </c>
      <c r="P365" s="105">
        <f>I365*E365</f>
        <v>1583.9955297935694</v>
      </c>
      <c r="R365" s="72">
        <f>R363</f>
        <v>2.675333599416684</v>
      </c>
      <c r="S365" s="72">
        <f>S363</f>
        <v>0</v>
      </c>
      <c r="T365" s="105"/>
      <c r="U365" s="102" t="s">
        <v>109</v>
      </c>
    </row>
    <row r="366" spans="1:21" hidden="1" outlineLevel="1" x14ac:dyDescent="0.2">
      <c r="A366" s="80">
        <f t="shared" si="17"/>
        <v>356</v>
      </c>
      <c r="B366" s="102" t="s">
        <v>195</v>
      </c>
      <c r="D366" s="103"/>
      <c r="E366" s="103"/>
      <c r="K366" s="124">
        <v>134789</v>
      </c>
      <c r="L366" s="105">
        <f>G366*D366</f>
        <v>0</v>
      </c>
      <c r="M366" s="105">
        <f>G366*E366</f>
        <v>0</v>
      </c>
      <c r="N366" s="105"/>
      <c r="O366" s="105">
        <f>H366*D366</f>
        <v>0</v>
      </c>
      <c r="P366" s="105">
        <f>I366*E366</f>
        <v>0</v>
      </c>
    </row>
    <row r="367" spans="1:21" hidden="1" outlineLevel="1" x14ac:dyDescent="0.2">
      <c r="A367" s="80">
        <f t="shared" si="17"/>
        <v>357</v>
      </c>
      <c r="B367" s="102" t="s">
        <v>196</v>
      </c>
      <c r="K367" s="124"/>
      <c r="L367" s="124"/>
      <c r="M367" s="124"/>
      <c r="O367" s="124"/>
      <c r="P367" s="124"/>
    </row>
    <row r="368" spans="1:21" hidden="1" outlineLevel="1" x14ac:dyDescent="0.2">
      <c r="A368" s="80">
        <f t="shared" si="17"/>
        <v>358</v>
      </c>
      <c r="B368" s="114"/>
      <c r="K368" s="124"/>
      <c r="L368" s="124"/>
      <c r="M368" s="124"/>
      <c r="O368" s="124"/>
      <c r="P368" s="124"/>
    </row>
    <row r="369" spans="1:21" ht="12" hidden="1" outlineLevel="1" thickBot="1" x14ac:dyDescent="0.25">
      <c r="A369" s="80">
        <f t="shared" si="17"/>
        <v>359</v>
      </c>
      <c r="B369" s="79" t="s">
        <v>110</v>
      </c>
      <c r="K369" s="134">
        <f>SUM(K363,K361,K356,K365,K366)</f>
        <v>434445</v>
      </c>
      <c r="L369" s="134">
        <f>SUM(L363,L361,L356,L365,L366)</f>
        <v>306713.92664298858</v>
      </c>
      <c r="M369" s="134">
        <f>SUM(M363,M361,M356,M365,M366)</f>
        <v>306149.63955806073</v>
      </c>
      <c r="O369" s="134">
        <f>SUM(O363,O361,O356,O365,O366)</f>
        <v>1127276</v>
      </c>
      <c r="P369" s="134">
        <f>SUM(P363,P361,P356,P365,P366)</f>
        <v>1126711.7129150722</v>
      </c>
      <c r="R369" s="119">
        <v>1127276</v>
      </c>
      <c r="S369" s="119">
        <v>1126711.7129150722</v>
      </c>
    </row>
    <row r="370" spans="1:21" hidden="1" outlineLevel="1" x14ac:dyDescent="0.2">
      <c r="A370" s="80">
        <f t="shared" si="17"/>
        <v>360</v>
      </c>
      <c r="B370" s="102" t="s">
        <v>111</v>
      </c>
      <c r="R370" s="105">
        <f>R369-L369</f>
        <v>820562.07335701142</v>
      </c>
      <c r="S370" s="105">
        <f>S369-M369-R370</f>
        <v>0</v>
      </c>
    </row>
    <row r="371" spans="1:21" hidden="1" outlineLevel="1" x14ac:dyDescent="0.2">
      <c r="A371" s="80">
        <f t="shared" si="17"/>
        <v>361</v>
      </c>
      <c r="B371" s="102" t="s">
        <v>112</v>
      </c>
      <c r="R371" s="76">
        <f>R370/L369</f>
        <v>2.675333599416684</v>
      </c>
      <c r="S371" s="76">
        <f>S370/M369</f>
        <v>0</v>
      </c>
    </row>
    <row r="372" spans="1:21" hidden="1" outlineLevel="1" x14ac:dyDescent="0.2">
      <c r="A372" s="80">
        <f t="shared" si="17"/>
        <v>362</v>
      </c>
      <c r="B372" s="122" t="s">
        <v>113</v>
      </c>
      <c r="C372" s="103">
        <v>0</v>
      </c>
      <c r="K372" s="103">
        <v>0</v>
      </c>
      <c r="L372" s="103">
        <v>1.6332131503731944</v>
      </c>
      <c r="M372" s="103">
        <v>1.6320188534446061</v>
      </c>
      <c r="O372" s="124"/>
      <c r="P372" s="124"/>
      <c r="R372" s="105">
        <f>R369-O369</f>
        <v>0</v>
      </c>
      <c r="S372" s="105">
        <f>S369-P369</f>
        <v>0</v>
      </c>
    </row>
    <row r="373" spans="1:21" hidden="1" outlineLevel="1" x14ac:dyDescent="0.2">
      <c r="A373" s="80">
        <f t="shared" si="17"/>
        <v>363</v>
      </c>
      <c r="B373" s="125"/>
      <c r="C373" s="126"/>
      <c r="D373" s="126"/>
      <c r="E373" s="126"/>
      <c r="F373" s="126"/>
      <c r="G373" s="127"/>
      <c r="H373" s="127"/>
      <c r="I373" s="127"/>
      <c r="J373" s="126"/>
      <c r="K373" s="126"/>
      <c r="L373" s="126"/>
      <c r="M373" s="126"/>
      <c r="N373" s="126"/>
      <c r="O373" s="126"/>
      <c r="P373" s="126"/>
      <c r="Q373" s="126"/>
      <c r="R373" s="126"/>
      <c r="S373" s="126"/>
      <c r="T373" s="126"/>
      <c r="U373" s="126"/>
    </row>
    <row r="374" spans="1:21" hidden="1" outlineLevel="1" x14ac:dyDescent="0.2">
      <c r="A374" s="80">
        <f t="shared" si="17"/>
        <v>364</v>
      </c>
    </row>
    <row r="375" spans="1:21" hidden="1" outlineLevel="1" x14ac:dyDescent="0.2">
      <c r="A375" s="80">
        <f t="shared" si="17"/>
        <v>365</v>
      </c>
      <c r="B375" s="100" t="s">
        <v>197</v>
      </c>
    </row>
    <row r="376" spans="1:21" hidden="1" outlineLevel="1" x14ac:dyDescent="0.2">
      <c r="A376" s="80">
        <f t="shared" si="17"/>
        <v>366</v>
      </c>
      <c r="B376" s="100" t="s">
        <v>198</v>
      </c>
    </row>
    <row r="377" spans="1:21" hidden="1" outlineLevel="1" x14ac:dyDescent="0.2">
      <c r="A377" s="80">
        <f t="shared" si="17"/>
        <v>367</v>
      </c>
      <c r="B377" s="79" t="s">
        <v>147</v>
      </c>
      <c r="C377" s="103"/>
      <c r="G377" s="112" t="s">
        <v>199</v>
      </c>
      <c r="P377" s="105"/>
    </row>
    <row r="378" spans="1:21" hidden="1" outlineLevel="1" x14ac:dyDescent="0.2">
      <c r="A378" s="80">
        <f t="shared" si="17"/>
        <v>368</v>
      </c>
      <c r="B378" s="111" t="s">
        <v>99</v>
      </c>
      <c r="C378" s="103">
        <v>66303800.464439668</v>
      </c>
      <c r="D378" s="103">
        <v>67255417.982360825</v>
      </c>
      <c r="E378" s="103">
        <v>67027608.143863305</v>
      </c>
      <c r="G378" s="73">
        <v>0.24954457821507642</v>
      </c>
      <c r="H378" s="152">
        <f>R381/D378</f>
        <v>0.31727738722237253</v>
      </c>
      <c r="I378" s="152">
        <f>S381/E378</f>
        <v>0.34810792173485411</v>
      </c>
      <c r="K378" s="124">
        <v>15259023</v>
      </c>
      <c r="L378" s="105">
        <f>G378*D378</f>
        <v>16783224.913086899</v>
      </c>
      <c r="M378" s="105">
        <f>G378*E378</f>
        <v>16726376.20302579</v>
      </c>
      <c r="N378" s="105"/>
      <c r="O378" s="105">
        <f t="shared" ref="O378:P380" si="21">H378*D378</f>
        <v>21338623.293992013</v>
      </c>
      <c r="P378" s="105">
        <f t="shared" si="21"/>
        <v>23332841.369818438</v>
      </c>
      <c r="R378" s="72">
        <f>(H378-G378)/G378</f>
        <v>0.2714256887157005</v>
      </c>
      <c r="S378" s="72">
        <f>(I378-H378)/H378</f>
        <v>9.7172177262267845E-2</v>
      </c>
      <c r="U378" s="102" t="s">
        <v>100</v>
      </c>
    </row>
    <row r="379" spans="1:21" hidden="1" outlineLevel="1" x14ac:dyDescent="0.2">
      <c r="A379" s="80">
        <f t="shared" si="17"/>
        <v>369</v>
      </c>
      <c r="B379" s="111" t="s">
        <v>101</v>
      </c>
      <c r="C379" s="103">
        <v>0</v>
      </c>
      <c r="D379" s="115" t="s">
        <v>102</v>
      </c>
      <c r="E379" s="103"/>
      <c r="G379" s="73">
        <f>IFERROR(K379/C379,0)</f>
        <v>0</v>
      </c>
      <c r="I379" s="152"/>
      <c r="K379" s="124">
        <v>0</v>
      </c>
      <c r="L379" s="105">
        <f>G379*D379</f>
        <v>0</v>
      </c>
      <c r="M379" s="105">
        <f>G379*E379</f>
        <v>0</v>
      </c>
      <c r="N379" s="105"/>
      <c r="O379" s="105">
        <f t="shared" si="21"/>
        <v>0</v>
      </c>
      <c r="P379" s="105">
        <f t="shared" si="21"/>
        <v>0</v>
      </c>
    </row>
    <row r="380" spans="1:21" hidden="1" outlineLevel="1" x14ac:dyDescent="0.2">
      <c r="A380" s="80">
        <f t="shared" si="17"/>
        <v>370</v>
      </c>
      <c r="B380" s="114" t="s">
        <v>103</v>
      </c>
      <c r="C380" s="130">
        <v>441294</v>
      </c>
      <c r="D380" s="185" t="s">
        <v>102</v>
      </c>
      <c r="E380" s="130"/>
      <c r="G380" s="73">
        <f>K380/C380</f>
        <v>0.23013682488318446</v>
      </c>
      <c r="I380" s="152"/>
      <c r="K380" s="190">
        <v>101558</v>
      </c>
      <c r="L380" s="105">
        <f>G380*D380</f>
        <v>0</v>
      </c>
      <c r="M380" s="105">
        <f>G380*E380</f>
        <v>0</v>
      </c>
      <c r="N380" s="105"/>
      <c r="O380" s="105">
        <f t="shared" si="21"/>
        <v>0</v>
      </c>
      <c r="P380" s="105">
        <f t="shared" si="21"/>
        <v>0</v>
      </c>
    </row>
    <row r="381" spans="1:21" ht="12" hidden="1" outlineLevel="1" thickBot="1" x14ac:dyDescent="0.25">
      <c r="A381" s="80">
        <f t="shared" si="17"/>
        <v>371</v>
      </c>
      <c r="B381" s="106" t="s">
        <v>74</v>
      </c>
      <c r="C381" s="103">
        <f>SUM(C378:C380)</f>
        <v>66745094.464439668</v>
      </c>
      <c r="D381" s="103">
        <f>SUM(D378:D380)</f>
        <v>67255417.982360825</v>
      </c>
      <c r="E381" s="103">
        <f>SUM(E378:E380)</f>
        <v>67027608.143863305</v>
      </c>
      <c r="G381" s="112"/>
      <c r="K381" s="134">
        <f>SUM(K378:K380)</f>
        <v>15360581</v>
      </c>
      <c r="L381" s="134">
        <f>SUM(L378:L380)</f>
        <v>16783224.913086899</v>
      </c>
      <c r="M381" s="134">
        <f>SUM(M378:M380)</f>
        <v>16726376.20302579</v>
      </c>
      <c r="O381" s="134">
        <f>SUM(O378:O380)</f>
        <v>21338623.293992013</v>
      </c>
      <c r="P381" s="134">
        <f>SUM(P378:P380)</f>
        <v>23332841.369818438</v>
      </c>
      <c r="R381" s="119">
        <v>21338623.293992013</v>
      </c>
      <c r="S381" s="119">
        <v>23332841.369818438</v>
      </c>
    </row>
    <row r="382" spans="1:21" hidden="1" outlineLevel="1" x14ac:dyDescent="0.2">
      <c r="A382" s="80">
        <f t="shared" si="17"/>
        <v>372</v>
      </c>
      <c r="B382" s="79" t="s">
        <v>110</v>
      </c>
      <c r="R382" s="105">
        <f>R381-L381</f>
        <v>4555398.3809051141</v>
      </c>
      <c r="S382" s="105">
        <f>S381-M381-R382</f>
        <v>2051066.7858875338</v>
      </c>
    </row>
    <row r="383" spans="1:21" hidden="1" outlineLevel="1" x14ac:dyDescent="0.2">
      <c r="A383" s="80">
        <f t="shared" si="17"/>
        <v>373</v>
      </c>
      <c r="B383" s="102" t="s">
        <v>111</v>
      </c>
      <c r="M383" s="124"/>
      <c r="P383" s="71"/>
      <c r="R383" s="76">
        <f>R382/L381</f>
        <v>0.2714256887157005</v>
      </c>
      <c r="S383" s="76">
        <f>S382/M381</f>
        <v>0.12262469533098851</v>
      </c>
    </row>
    <row r="384" spans="1:21" hidden="1" outlineLevel="1" x14ac:dyDescent="0.2">
      <c r="A384" s="80">
        <f t="shared" si="17"/>
        <v>374</v>
      </c>
      <c r="B384" s="102" t="s">
        <v>112</v>
      </c>
      <c r="P384" s="192"/>
      <c r="R384" s="105">
        <f>R381-O381</f>
        <v>0</v>
      </c>
      <c r="S384" s="105">
        <f>S381-P381</f>
        <v>0</v>
      </c>
    </row>
    <row r="385" spans="1:19" hidden="1" outlineLevel="1" x14ac:dyDescent="0.2">
      <c r="A385" s="80">
        <f t="shared" si="17"/>
        <v>375</v>
      </c>
      <c r="B385" s="122" t="s">
        <v>113</v>
      </c>
      <c r="C385" s="103">
        <v>0</v>
      </c>
      <c r="K385" s="103">
        <v>0</v>
      </c>
      <c r="L385" s="103">
        <v>0</v>
      </c>
      <c r="M385" s="103">
        <v>0</v>
      </c>
    </row>
    <row r="386" spans="1:19" collapsed="1" x14ac:dyDescent="0.2">
      <c r="A386" s="80">
        <f t="shared" si="17"/>
        <v>376</v>
      </c>
    </row>
    <row r="387" spans="1:19" x14ac:dyDescent="0.2">
      <c r="A387" s="80">
        <f t="shared" si="17"/>
        <v>377</v>
      </c>
      <c r="B387" s="83" t="s">
        <v>200</v>
      </c>
      <c r="C387" s="193">
        <f>SUM(C23,C43,C61,C86,C135,C171,C195,C243,C267,C289,C307,C325,C346,C361,C381)</f>
        <v>23292161227.789402</v>
      </c>
      <c r="D387" s="193">
        <f>SUM(D23,D43,D61,D86,D135,D171,D195,D243,D267,D289,D307,D325,D346,D361,D381)</f>
        <v>23558158394.432896</v>
      </c>
      <c r="E387" s="193">
        <f>SUM(E23,E43,E61,E86,E135,E171,E195,E243,E267,E289,E307,E325,E346,E361,E381)</f>
        <v>23775605944.94062</v>
      </c>
      <c r="P387" s="194"/>
      <c r="R387" s="71"/>
    </row>
    <row r="388" spans="1:19" x14ac:dyDescent="0.2">
      <c r="A388" s="80">
        <f t="shared" si="17"/>
        <v>378</v>
      </c>
      <c r="B388" s="83" t="s">
        <v>201</v>
      </c>
      <c r="C388" s="193">
        <f>SUM(C65,C90,C107,C112,C139,C175,C199,C216,C221,C247,C270,C291,C309,C327,C363)</f>
        <v>18673135</v>
      </c>
      <c r="D388" s="193">
        <f>SUM(D65,D90,D107,D112,D139,D175,D199,D216,D221,D247,D270,D291,D309,D327,D363,D340)</f>
        <v>15931928.352352697</v>
      </c>
      <c r="E388" s="193">
        <f>SUM(E65,E90,E107,E112,E139,E175,E199,E216,E221,E247,E270,E291,E309,E327,E363,E340)</f>
        <v>16044017.391015278</v>
      </c>
      <c r="P388" s="194"/>
    </row>
    <row r="389" spans="1:19" x14ac:dyDescent="0.2">
      <c r="A389" s="80">
        <f t="shared" si="17"/>
        <v>379</v>
      </c>
      <c r="B389" s="83" t="s">
        <v>202</v>
      </c>
      <c r="C389" s="83"/>
      <c r="D389" s="83"/>
      <c r="E389" s="83"/>
      <c r="F389" s="83"/>
      <c r="G389" s="83"/>
      <c r="H389" s="83"/>
      <c r="I389" s="83"/>
      <c r="J389" s="83"/>
      <c r="K389" s="194">
        <f t="shared" ref="K389:P389" si="22">SUM(K24,K44,K69,K94,K114,K145,K179,K203,K223,K251,K276,K293,K311,K331,K348,K369,K381)</f>
        <v>2094679068.6664464</v>
      </c>
      <c r="L389" s="194">
        <f t="shared" si="22"/>
        <v>2118609636.1930223</v>
      </c>
      <c r="M389" s="194">
        <f t="shared" si="22"/>
        <v>2140998717.1875465</v>
      </c>
      <c r="N389" s="194">
        <f t="shared" si="22"/>
        <v>0</v>
      </c>
      <c r="O389" s="194">
        <f t="shared" si="22"/>
        <v>2702986394.1930223</v>
      </c>
      <c r="P389" s="194">
        <f t="shared" si="22"/>
        <v>2985277399.1875453</v>
      </c>
    </row>
    <row r="390" spans="1:19" x14ac:dyDescent="0.2">
      <c r="A390" s="80">
        <f t="shared" si="17"/>
        <v>380</v>
      </c>
      <c r="M390" s="80" t="s">
        <v>203</v>
      </c>
      <c r="O390" s="195">
        <v>2702986396.0946202</v>
      </c>
      <c r="P390" s="195">
        <v>2985277400.9672737</v>
      </c>
      <c r="S390" s="131"/>
    </row>
    <row r="391" spans="1:19" x14ac:dyDescent="0.2">
      <c r="A391" s="80">
        <f t="shared" si="17"/>
        <v>381</v>
      </c>
      <c r="B391" s="122" t="s">
        <v>113</v>
      </c>
      <c r="D391" s="103">
        <v>0</v>
      </c>
      <c r="E391" s="103">
        <v>0</v>
      </c>
      <c r="M391" s="122" t="s">
        <v>113</v>
      </c>
      <c r="O391" s="195">
        <f>O390-O389+O151</f>
        <v>1.9015979766845703</v>
      </c>
      <c r="P391" s="195">
        <f>P390-P389+P151</f>
        <v>1.7797284126281738</v>
      </c>
    </row>
    <row r="392" spans="1:19" x14ac:dyDescent="0.2">
      <c r="A392" s="80">
        <f t="shared" si="17"/>
        <v>382</v>
      </c>
      <c r="B392" s="122" t="s">
        <v>113</v>
      </c>
      <c r="D392" s="103">
        <v>0</v>
      </c>
      <c r="E392" s="103">
        <v>0</v>
      </c>
    </row>
    <row r="393" spans="1:19" x14ac:dyDescent="0.2">
      <c r="A393" s="80">
        <f t="shared" si="17"/>
        <v>383</v>
      </c>
      <c r="P393" s="124"/>
    </row>
    <row r="394" spans="1:19" x14ac:dyDescent="0.2">
      <c r="A394" s="80">
        <f t="shared" si="17"/>
        <v>384</v>
      </c>
      <c r="P394" s="131"/>
    </row>
    <row r="395" spans="1:19" x14ac:dyDescent="0.2">
      <c r="P395" s="124"/>
    </row>
    <row r="396" spans="1:19" x14ac:dyDescent="0.2">
      <c r="P396" s="131"/>
    </row>
  </sheetData>
  <mergeCells count="10">
    <mergeCell ref="A1:U1"/>
    <mergeCell ref="A2:U2"/>
    <mergeCell ref="A3:U3"/>
    <mergeCell ref="A4:U4"/>
    <mergeCell ref="A5:U5"/>
    <mergeCell ref="C8:E8"/>
    <mergeCell ref="G8:I8"/>
    <mergeCell ref="K8:M8"/>
    <mergeCell ref="O8:P8"/>
    <mergeCell ref="R8:S8"/>
  </mergeCells>
  <printOptions horizontalCentered="1"/>
  <pageMargins left="0.7" right="0.7" top="0.75" bottom="0.75" header="0.3" footer="0.3"/>
  <pageSetup scale="45" fitToHeight="0" orientation="landscape" r:id="rId1"/>
  <headerFooter alignWithMargins="0">
    <oddFooter>&amp;R&amp;F
&amp;A
&amp;P of &amp;N</oddFooter>
  </headerFooter>
  <rowBreaks count="3" manualBreakCount="3">
    <brk id="49" min="1" max="11" man="1"/>
    <brk id="76" min="1" max="11" man="1"/>
    <brk id="154" min="1" max="11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64414-C618-4346-8171-A253A68E17BD}">
  <sheetPr>
    <pageSetUpPr fitToPage="1"/>
  </sheetPr>
  <dimension ref="A1:T55"/>
  <sheetViews>
    <sheetView zoomScaleNormal="100" zoomScaleSheetLayoutView="100" workbookViewId="0">
      <pane ySplit="9" topLeftCell="A10" activePane="bottomLeft" state="frozen"/>
      <selection sqref="A1:XFD1048576"/>
      <selection pane="bottomLeft" activeCell="P25" sqref="P25"/>
    </sheetView>
  </sheetViews>
  <sheetFormatPr defaultColWidth="9.42578125" defaultRowHeight="11.25" x14ac:dyDescent="0.2"/>
  <cols>
    <col min="1" max="1" width="5.28515625" style="1" customWidth="1"/>
    <col min="2" max="2" width="11.42578125" style="1" customWidth="1"/>
    <col min="3" max="3" width="11.42578125" style="1" bestFit="1" customWidth="1"/>
    <col min="4" max="4" width="7.140625" style="1" bestFit="1" customWidth="1"/>
    <col min="5" max="5" width="1.140625" style="1" customWidth="1"/>
    <col min="6" max="6" width="11.7109375" style="1" bestFit="1" customWidth="1"/>
    <col min="7" max="8" width="13.28515625" style="1" bestFit="1" customWidth="1"/>
    <col min="9" max="9" width="1.140625" style="1" customWidth="1"/>
    <col min="10" max="11" width="9.28515625" style="1" bestFit="1" customWidth="1"/>
    <col min="12" max="12" width="1.28515625" style="1" customWidth="1"/>
    <col min="13" max="13" width="38.5703125" style="1" bestFit="1" customWidth="1"/>
    <col min="14" max="14" width="11.140625" style="1" bestFit="1" customWidth="1"/>
    <col min="15" max="15" width="1.140625" style="1" customWidth="1"/>
    <col min="16" max="17" width="11.140625" style="1" bestFit="1" customWidth="1"/>
    <col min="18" max="18" width="0.85546875" style="1" customWidth="1"/>
    <col min="19" max="19" width="11.140625" style="1" bestFit="1" customWidth="1"/>
    <col min="20" max="20" width="11.140625" style="1" customWidth="1"/>
    <col min="21" max="16384" width="9.42578125" style="1"/>
  </cols>
  <sheetData>
    <row r="1" spans="1:20" x14ac:dyDescent="0.2">
      <c r="A1" s="283" t="s">
        <v>0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</row>
    <row r="2" spans="1:20" x14ac:dyDescent="0.2">
      <c r="A2" s="283" t="s">
        <v>1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283"/>
      <c r="T2" s="283"/>
    </row>
    <row r="3" spans="1:20" ht="12.75" x14ac:dyDescent="0.2">
      <c r="A3" s="283" t="s">
        <v>2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</row>
    <row r="4" spans="1:20" ht="12.75" x14ac:dyDescent="0.2">
      <c r="A4" s="283" t="s">
        <v>3</v>
      </c>
      <c r="B4" s="284" t="s">
        <v>4</v>
      </c>
      <c r="C4" s="284"/>
      <c r="D4" s="284"/>
      <c r="E4" s="284"/>
      <c r="F4" s="284"/>
      <c r="G4" s="284"/>
      <c r="H4" s="284"/>
      <c r="I4" s="284"/>
      <c r="J4" s="284"/>
      <c r="K4" s="284"/>
      <c r="L4" s="284"/>
      <c r="M4" s="284"/>
      <c r="N4" s="284"/>
      <c r="O4" s="284"/>
      <c r="P4" s="284"/>
      <c r="Q4" s="284"/>
      <c r="R4" s="284"/>
      <c r="S4" s="284"/>
      <c r="T4" s="284"/>
    </row>
    <row r="5" spans="1:20" ht="12" thickBot="1" x14ac:dyDescent="0.25">
      <c r="B5" s="2"/>
      <c r="M5" s="3"/>
      <c r="N5" s="3"/>
      <c r="O5" s="3"/>
      <c r="P5" s="3"/>
      <c r="Q5" s="3"/>
      <c r="R5" s="3"/>
      <c r="S5" s="3"/>
      <c r="T5" s="3"/>
    </row>
    <row r="6" spans="1:20" ht="13.5" customHeight="1" thickBot="1" x14ac:dyDescent="0.25">
      <c r="B6" s="4"/>
      <c r="F6" s="285"/>
      <c r="G6" s="285"/>
      <c r="H6" s="285"/>
      <c r="M6" s="5"/>
      <c r="N6" s="5"/>
      <c r="P6" s="286" t="s">
        <v>5</v>
      </c>
      <c r="Q6" s="287"/>
      <c r="S6" s="286" t="s">
        <v>6</v>
      </c>
      <c r="T6" s="287"/>
    </row>
    <row r="7" spans="1:20" ht="12.75" x14ac:dyDescent="0.2">
      <c r="A7" s="5"/>
      <c r="B7" s="6"/>
      <c r="C7" s="6"/>
      <c r="D7" s="5"/>
      <c r="E7" s="5"/>
      <c r="F7" s="288" t="s">
        <v>7</v>
      </c>
      <c r="G7" s="289"/>
      <c r="H7" s="290"/>
      <c r="I7" s="5"/>
      <c r="J7" s="291" t="s">
        <v>8</v>
      </c>
      <c r="K7" s="290"/>
      <c r="L7" s="7"/>
      <c r="M7" s="8"/>
      <c r="N7" s="9"/>
      <c r="P7" s="10"/>
      <c r="Q7" s="9"/>
      <c r="S7" s="10"/>
      <c r="T7" s="9"/>
    </row>
    <row r="8" spans="1:20" ht="45" customHeight="1" x14ac:dyDescent="0.2">
      <c r="A8" s="11" t="s">
        <v>9</v>
      </c>
      <c r="B8" s="12" t="s">
        <v>10</v>
      </c>
      <c r="C8" s="12" t="s">
        <v>11</v>
      </c>
      <c r="D8" s="12" t="s">
        <v>12</v>
      </c>
      <c r="E8" s="5"/>
      <c r="F8" s="13" t="s">
        <v>13</v>
      </c>
      <c r="G8" s="13" t="s">
        <v>14</v>
      </c>
      <c r="H8" s="13" t="s">
        <v>15</v>
      </c>
      <c r="I8" s="5"/>
      <c r="J8" s="13" t="s">
        <v>16</v>
      </c>
      <c r="K8" s="13" t="s">
        <v>17</v>
      </c>
      <c r="L8" s="7"/>
      <c r="M8" s="14"/>
      <c r="N8" s="15" t="s">
        <v>18</v>
      </c>
      <c r="P8" s="16" t="s">
        <v>19</v>
      </c>
      <c r="Q8" s="15" t="s">
        <v>20</v>
      </c>
      <c r="S8" s="16" t="s">
        <v>19</v>
      </c>
      <c r="T8" s="15" t="s">
        <v>20</v>
      </c>
    </row>
    <row r="9" spans="1:20" x14ac:dyDescent="0.2">
      <c r="B9" s="4" t="s">
        <v>21</v>
      </c>
      <c r="C9" s="4" t="s">
        <v>22</v>
      </c>
      <c r="D9" s="4" t="s">
        <v>23</v>
      </c>
      <c r="E9" s="4"/>
      <c r="F9" s="4" t="s">
        <v>24</v>
      </c>
      <c r="G9" s="4" t="s">
        <v>25</v>
      </c>
      <c r="H9" s="4" t="s">
        <v>26</v>
      </c>
      <c r="I9" s="4"/>
      <c r="J9" s="4" t="s">
        <v>27</v>
      </c>
      <c r="K9" s="4" t="s">
        <v>28</v>
      </c>
      <c r="L9" s="4"/>
      <c r="M9" s="17" t="s">
        <v>29</v>
      </c>
      <c r="N9" s="18" t="s">
        <v>30</v>
      </c>
      <c r="O9" s="4"/>
      <c r="P9" s="17" t="s">
        <v>31</v>
      </c>
      <c r="Q9" s="18" t="s">
        <v>32</v>
      </c>
      <c r="R9" s="4"/>
      <c r="S9" s="17" t="s">
        <v>33</v>
      </c>
      <c r="T9" s="18" t="s">
        <v>34</v>
      </c>
    </row>
    <row r="10" spans="1:20" x14ac:dyDescent="0.2">
      <c r="A10" s="1">
        <v>1</v>
      </c>
      <c r="B10" s="1">
        <v>350</v>
      </c>
      <c r="C10" s="1">
        <v>300</v>
      </c>
      <c r="D10" s="19">
        <f>ROUND((B$10*C10),0)</f>
        <v>105000</v>
      </c>
      <c r="F10" s="20">
        <f>+N$10+$B10*N$16+$D10*N$12</f>
        <v>12229.253450000002</v>
      </c>
      <c r="G10" s="20">
        <f>+P$10+$B10*P$16+$D10*P$12</f>
        <v>13901.215558324151</v>
      </c>
      <c r="H10" s="20">
        <f>+S$10+$B10*S$16+$D10*S$12</f>
        <v>15488.685000372654</v>
      </c>
      <c r="J10" s="21">
        <f t="shared" ref="J10:K12" si="0">ROUND((+G10-F10)/F10,3)</f>
        <v>0.13700000000000001</v>
      </c>
      <c r="K10" s="21">
        <f t="shared" si="0"/>
        <v>0.114</v>
      </c>
      <c r="L10" s="21"/>
      <c r="M10" s="22" t="s">
        <v>35</v>
      </c>
      <c r="N10" s="23">
        <f>SUM(N21,)</f>
        <v>109.08</v>
      </c>
      <c r="O10" s="24"/>
      <c r="P10" s="25">
        <f>SUM(P21,)</f>
        <v>141.80000000000001</v>
      </c>
      <c r="Q10" s="26">
        <f>(P10-N10)/N10</f>
        <v>0.29996332966630007</v>
      </c>
      <c r="R10" s="24"/>
      <c r="S10" s="25">
        <f>SUM(S21,)</f>
        <v>184.35</v>
      </c>
      <c r="T10" s="26">
        <f>(S10-P10)/P10</f>
        <v>0.30007052186177702</v>
      </c>
    </row>
    <row r="11" spans="1:20" x14ac:dyDescent="0.2">
      <c r="A11" s="1">
        <f t="shared" ref="A11:A55" si="1">A10+1</f>
        <v>2</v>
      </c>
      <c r="B11" s="1">
        <f>+B10</f>
        <v>350</v>
      </c>
      <c r="C11" s="1">
        <v>500</v>
      </c>
      <c r="D11" s="19">
        <f>ROUND((B$10*C11),0)</f>
        <v>175000</v>
      </c>
      <c r="F11" s="20">
        <f>+N$10+$B11*N$16+$D11*N$12</f>
        <v>17939.993450000002</v>
      </c>
      <c r="G11" s="20">
        <f>+P$10+$B11*P$16+$D11*P$12</f>
        <v>19898.43589720692</v>
      </c>
      <c r="H11" s="20">
        <f>+S$10+$B11*S$16+$D11*S$12</f>
        <v>21489.184967287754</v>
      </c>
      <c r="J11" s="21">
        <f t="shared" si="0"/>
        <v>0.109</v>
      </c>
      <c r="K11" s="21">
        <f t="shared" si="0"/>
        <v>0.08</v>
      </c>
      <c r="L11" s="21"/>
      <c r="M11" s="22"/>
      <c r="N11" s="23"/>
      <c r="O11" s="24"/>
      <c r="P11" s="25"/>
      <c r="Q11" s="26"/>
      <c r="R11" s="24"/>
      <c r="S11" s="25"/>
      <c r="T11" s="26"/>
    </row>
    <row r="12" spans="1:20" x14ac:dyDescent="0.2">
      <c r="A12" s="1">
        <f t="shared" si="1"/>
        <v>3</v>
      </c>
      <c r="B12" s="1">
        <f>+B11</f>
        <v>350</v>
      </c>
      <c r="C12" s="1">
        <v>700</v>
      </c>
      <c r="D12" s="19">
        <f>ROUND((B$10*C12),0)</f>
        <v>245000</v>
      </c>
      <c r="F12" s="20">
        <f>+N$10+$B12*N$16+$D12*N$12</f>
        <v>23650.733450000003</v>
      </c>
      <c r="G12" s="20">
        <f>+P$10+$B12*P$16+$D12*P$12</f>
        <v>25895.65623608969</v>
      </c>
      <c r="H12" s="20">
        <f>+S$10+$B12*S$16+$D12*S$12</f>
        <v>27489.684934202854</v>
      </c>
      <c r="J12" s="21">
        <f t="shared" si="0"/>
        <v>9.5000000000000001E-2</v>
      </c>
      <c r="K12" s="21">
        <f t="shared" si="0"/>
        <v>6.2E-2</v>
      </c>
      <c r="L12" s="21"/>
      <c r="M12" s="27" t="s">
        <v>36</v>
      </c>
      <c r="N12" s="23">
        <f>SUM(N22,N28:N41,N43)</f>
        <v>8.1582000000000016E-2</v>
      </c>
      <c r="O12" s="24"/>
      <c r="P12" s="25">
        <f>SUM(P22,P28:P41,P43)</f>
        <v>8.5674576269753833E-2</v>
      </c>
      <c r="Q12" s="26">
        <f>(P12-N12)/N12</f>
        <v>5.0165186802895445E-2</v>
      </c>
      <c r="R12" s="24"/>
      <c r="S12" s="25">
        <f>SUM(S22,S28:S41,S43)</f>
        <v>8.5721428098787161E-2</v>
      </c>
      <c r="T12" s="26">
        <f>(S12-P12)/P12</f>
        <v>5.4685801871737986E-4</v>
      </c>
    </row>
    <row r="13" spans="1:20" x14ac:dyDescent="0.2">
      <c r="A13" s="1">
        <f t="shared" si="1"/>
        <v>4</v>
      </c>
      <c r="M13" s="27"/>
      <c r="N13" s="23"/>
      <c r="O13" s="24"/>
      <c r="P13" s="25"/>
      <c r="Q13" s="26"/>
      <c r="R13" s="24"/>
      <c r="S13" s="25"/>
      <c r="T13" s="26"/>
    </row>
    <row r="14" spans="1:20" x14ac:dyDescent="0.2">
      <c r="A14" s="1">
        <f t="shared" si="1"/>
        <v>5</v>
      </c>
      <c r="B14" s="1">
        <f>+B12+50</f>
        <v>400</v>
      </c>
      <c r="C14" s="1">
        <v>300</v>
      </c>
      <c r="D14" s="19">
        <f>ROUND((B$14*C14),0)</f>
        <v>120000</v>
      </c>
      <c r="F14" s="20">
        <f>+N$10+$B14*N$16+$D14*N$12</f>
        <v>13960.706800000004</v>
      </c>
      <c r="G14" s="20">
        <f>+P$10+$B14*P$16+$D14*P$12</f>
        <v>15866.846352370459</v>
      </c>
      <c r="H14" s="20">
        <f>+S$10+$B14*S$16+$D14*S$12</f>
        <v>17675.01857185446</v>
      </c>
      <c r="J14" s="21">
        <f t="shared" ref="J14:K16" si="2">ROUND((+G14-F14)/F14,3)</f>
        <v>0.13700000000000001</v>
      </c>
      <c r="K14" s="21">
        <f t="shared" si="2"/>
        <v>0.114</v>
      </c>
      <c r="L14" s="21"/>
      <c r="M14" s="27" t="s">
        <v>37</v>
      </c>
      <c r="N14" s="28">
        <f>SUM(N23,N42,N44)</f>
        <v>12.234467</v>
      </c>
      <c r="O14" s="24"/>
      <c r="P14" s="25">
        <f>SUM(P23,P42,P44)</f>
        <v>15.900243</v>
      </c>
      <c r="Q14" s="26">
        <f>(P14-N14)/N14</f>
        <v>0.29962694737743778</v>
      </c>
      <c r="R14" s="24"/>
      <c r="S14" s="25">
        <f>SUM(S23,S42,S44)</f>
        <v>20.670243000000003</v>
      </c>
      <c r="T14" s="26">
        <f>(S14-P14)/P14</f>
        <v>0.29999541516440997</v>
      </c>
    </row>
    <row r="15" spans="1:20" x14ac:dyDescent="0.2">
      <c r="A15" s="1">
        <f t="shared" si="1"/>
        <v>6</v>
      </c>
      <c r="B15" s="1">
        <f>+B14</f>
        <v>400</v>
      </c>
      <c r="C15" s="1">
        <v>500</v>
      </c>
      <c r="D15" s="19">
        <f>ROUND((B$14*C15),0)</f>
        <v>200000</v>
      </c>
      <c r="F15" s="20">
        <f>+N$10+$B15*N$16+$D15*N$12</f>
        <v>20487.266800000005</v>
      </c>
      <c r="G15" s="20">
        <f>+P$10+$B15*P$16+$D15*P$12</f>
        <v>22720.812453950766</v>
      </c>
      <c r="H15" s="20">
        <f>+S$10+$B15*S$16+$D15*S$12</f>
        <v>24532.732819757435</v>
      </c>
      <c r="J15" s="21">
        <f t="shared" si="2"/>
        <v>0.109</v>
      </c>
      <c r="K15" s="21">
        <f t="shared" si="2"/>
        <v>0.08</v>
      </c>
      <c r="L15" s="21"/>
      <c r="M15" s="22" t="s">
        <v>38</v>
      </c>
      <c r="N15" s="23">
        <f>SUM(N24,N42,N44)</f>
        <v>8.1544670000000004</v>
      </c>
      <c r="O15" s="24"/>
      <c r="P15" s="25">
        <f>SUM(P24,P42,P44)</f>
        <v>10.600242999999999</v>
      </c>
      <c r="Q15" s="26"/>
      <c r="R15" s="24"/>
      <c r="S15" s="25">
        <f>SUM(S24,S42,S44)</f>
        <v>13.770242999999999</v>
      </c>
      <c r="T15" s="26"/>
    </row>
    <row r="16" spans="1:20" x14ac:dyDescent="0.2">
      <c r="A16" s="1">
        <f t="shared" si="1"/>
        <v>7</v>
      </c>
      <c r="B16" s="1">
        <f>+B15</f>
        <v>400</v>
      </c>
      <c r="C16" s="1">
        <v>700</v>
      </c>
      <c r="D16" s="19">
        <f>ROUND((B$14*C16),0)</f>
        <v>280000</v>
      </c>
      <c r="F16" s="20">
        <f>+N$10+$B16*N$16+$D16*N$12</f>
        <v>27013.826800000003</v>
      </c>
      <c r="G16" s="20">
        <f>+P$10+$B16*P$16+$D16*P$12</f>
        <v>29574.778555531073</v>
      </c>
      <c r="H16" s="20">
        <f>+S$10+$B16*S$16+$D16*S$12</f>
        <v>31390.447067660407</v>
      </c>
      <c r="J16" s="21">
        <f t="shared" si="2"/>
        <v>9.5000000000000001E-2</v>
      </c>
      <c r="K16" s="21">
        <f t="shared" si="2"/>
        <v>6.0999999999999999E-2</v>
      </c>
      <c r="L16" s="21"/>
      <c r="M16" s="27" t="s">
        <v>39</v>
      </c>
      <c r="N16" s="23">
        <f>SUM(N25,N42,N44)</f>
        <v>10.154467</v>
      </c>
      <c r="O16" s="24"/>
      <c r="P16" s="25">
        <f>SUM(P25,P42,P44)</f>
        <v>13.610242999999999</v>
      </c>
      <c r="Q16" s="26">
        <f>(P16-N16)/N16</f>
        <v>0.34032076720521109</v>
      </c>
      <c r="R16" s="24"/>
      <c r="S16" s="25">
        <f>SUM(S25,S42,S44)</f>
        <v>18.010243000000003</v>
      </c>
      <c r="T16" s="26">
        <f>(S16-P16)/P16</f>
        <v>0.32328592516680299</v>
      </c>
    </row>
    <row r="17" spans="1:20" x14ac:dyDescent="0.2">
      <c r="A17" s="1">
        <f t="shared" si="1"/>
        <v>8</v>
      </c>
      <c r="F17" s="20"/>
      <c r="G17" s="20"/>
      <c r="H17" s="20"/>
      <c r="J17" s="24"/>
      <c r="K17" s="24"/>
      <c r="L17" s="24"/>
      <c r="M17" s="27"/>
      <c r="N17" s="23"/>
      <c r="O17" s="24"/>
      <c r="P17" s="25"/>
      <c r="Q17" s="26"/>
      <c r="R17" s="24"/>
      <c r="S17" s="25"/>
      <c r="T17" s="26"/>
    </row>
    <row r="18" spans="1:20" x14ac:dyDescent="0.2">
      <c r="A18" s="1">
        <f t="shared" si="1"/>
        <v>9</v>
      </c>
      <c r="B18" s="1">
        <f>+B16+100</f>
        <v>500</v>
      </c>
      <c r="C18" s="1">
        <v>300</v>
      </c>
      <c r="D18" s="19">
        <f>ROUND((B$18*C18),0)</f>
        <v>150000</v>
      </c>
      <c r="F18" s="20">
        <f>+N$10+$B18*N$16+$D18*N$12</f>
        <v>17423.613500000003</v>
      </c>
      <c r="G18" s="20">
        <f>+P$10+$B18*P$16+$D18*P$12</f>
        <v>19798.107940463073</v>
      </c>
      <c r="H18" s="20">
        <f>+S$10+$B18*S$16+$D18*S$12</f>
        <v>22047.685714818075</v>
      </c>
      <c r="J18" s="21">
        <f t="shared" ref="J18:K20" si="3">ROUND((+G18-F18)/F18,3)</f>
        <v>0.13600000000000001</v>
      </c>
      <c r="K18" s="21">
        <f t="shared" si="3"/>
        <v>0.114</v>
      </c>
      <c r="L18" s="21"/>
      <c r="M18" s="27" t="s">
        <v>40</v>
      </c>
      <c r="N18" s="23">
        <f>SUM(N26)</f>
        <v>1.2999999999999999E-3</v>
      </c>
      <c r="O18" s="24"/>
      <c r="P18" s="25">
        <f>SUM(P26)</f>
        <v>1.6900000000000001E-3</v>
      </c>
      <c r="Q18" s="26">
        <f>IFERROR((P18-N18)/N18,0)</f>
        <v>0.30000000000000016</v>
      </c>
      <c r="R18" s="24"/>
      <c r="S18" s="25">
        <f>SUM(S26)</f>
        <v>2.2000000000000001E-3</v>
      </c>
      <c r="T18" s="26">
        <f>IFERROR((S18-P18)/P18,0)</f>
        <v>0.30177514792899407</v>
      </c>
    </row>
    <row r="19" spans="1:20" x14ac:dyDescent="0.2">
      <c r="A19" s="1">
        <f t="shared" si="1"/>
        <v>10</v>
      </c>
      <c r="B19" s="1">
        <f>+B18</f>
        <v>500</v>
      </c>
      <c r="C19" s="1">
        <v>500</v>
      </c>
      <c r="D19" s="19">
        <f>ROUND((B$18*C19),0)</f>
        <v>250000</v>
      </c>
      <c r="F19" s="20">
        <f>+N$10+$B19*N$16+$D19*N$12</f>
        <v>25581.813500000004</v>
      </c>
      <c r="G19" s="20">
        <f>+P$10+$B19*P$16+$D19*P$12</f>
        <v>28365.565567438458</v>
      </c>
      <c r="H19" s="20">
        <f>+S$10+$B19*S$16+$D19*S$12</f>
        <v>30619.828524696793</v>
      </c>
      <c r="J19" s="21">
        <f t="shared" si="3"/>
        <v>0.109</v>
      </c>
      <c r="K19" s="21">
        <f t="shared" si="3"/>
        <v>7.9000000000000001E-2</v>
      </c>
      <c r="L19" s="21"/>
      <c r="M19" s="27" t="s">
        <v>41</v>
      </c>
      <c r="N19" s="23"/>
      <c r="O19" s="24"/>
      <c r="P19" s="25"/>
      <c r="Q19" s="26"/>
      <c r="R19" s="24"/>
      <c r="S19" s="25"/>
      <c r="T19" s="26"/>
    </row>
    <row r="20" spans="1:20" x14ac:dyDescent="0.2">
      <c r="A20" s="1">
        <f t="shared" si="1"/>
        <v>11</v>
      </c>
      <c r="B20" s="1">
        <f>+B19</f>
        <v>500</v>
      </c>
      <c r="C20" s="1">
        <v>700</v>
      </c>
      <c r="D20" s="19">
        <f>ROUND((B$18*C20),0)</f>
        <v>350000</v>
      </c>
      <c r="F20" s="20">
        <f>+N$10+$B20*N$16+$D20*N$12</f>
        <v>33740.013500000001</v>
      </c>
      <c r="G20" s="20">
        <f>+P$10+$B20*P$16+$D20*P$12</f>
        <v>36933.023194413843</v>
      </c>
      <c r="H20" s="20">
        <f>+S$10+$B20*S$16+$D20*S$12</f>
        <v>39191.971334575508</v>
      </c>
      <c r="J20" s="21">
        <f t="shared" si="3"/>
        <v>9.5000000000000001E-2</v>
      </c>
      <c r="K20" s="21">
        <f t="shared" si="3"/>
        <v>6.0999999999999999E-2</v>
      </c>
      <c r="L20" s="21"/>
      <c r="M20" s="27"/>
      <c r="N20" s="23"/>
      <c r="O20" s="24"/>
      <c r="P20" s="25"/>
      <c r="Q20" s="26"/>
      <c r="R20" s="24"/>
      <c r="S20" s="25"/>
      <c r="T20" s="26"/>
    </row>
    <row r="21" spans="1:20" x14ac:dyDescent="0.2">
      <c r="A21" s="1">
        <f t="shared" si="1"/>
        <v>12</v>
      </c>
      <c r="F21" s="20"/>
      <c r="G21" s="20"/>
      <c r="H21" s="20"/>
      <c r="J21" s="24"/>
      <c r="K21" s="24"/>
      <c r="L21" s="24"/>
      <c r="M21" s="27" t="s">
        <v>35</v>
      </c>
      <c r="N21" s="23">
        <v>109.08</v>
      </c>
      <c r="O21" s="24"/>
      <c r="P21" s="29">
        <v>141.80000000000001</v>
      </c>
      <c r="Q21" s="26">
        <f t="shared" ref="Q21:Q26" si="4">(P21-N21)/N21</f>
        <v>0.29996332966630007</v>
      </c>
      <c r="R21" s="24"/>
      <c r="S21" s="29">
        <v>184.35</v>
      </c>
      <c r="T21" s="26">
        <f t="shared" ref="T21:T26" si="5">(S21-P21)/P21</f>
        <v>0.30007052186177702</v>
      </c>
    </row>
    <row r="22" spans="1:20" x14ac:dyDescent="0.2">
      <c r="A22" s="1">
        <f t="shared" si="1"/>
        <v>13</v>
      </c>
      <c r="B22" s="1">
        <f>+B20+100</f>
        <v>600</v>
      </c>
      <c r="C22" s="1">
        <v>300</v>
      </c>
      <c r="D22" s="19">
        <f>ROUND((B$22*C22),0)</f>
        <v>180000</v>
      </c>
      <c r="F22" s="20">
        <f>+N$10+$B22*N$16+$D22*N$12</f>
        <v>20886.520200000003</v>
      </c>
      <c r="G22" s="20">
        <f>+P$10+$B22*P$16+$D22*P$12</f>
        <v>23729.36952855569</v>
      </c>
      <c r="H22" s="20">
        <f>+S$10+$B22*S$16+$D22*S$12</f>
        <v>26420.352857781691</v>
      </c>
      <c r="J22" s="21">
        <f t="shared" ref="J22:K24" si="6">ROUND((+G22-F22)/F22,3)</f>
        <v>0.13600000000000001</v>
      </c>
      <c r="K22" s="21">
        <f t="shared" si="6"/>
        <v>0.113</v>
      </c>
      <c r="L22" s="21"/>
      <c r="M22" s="27" t="s">
        <v>36</v>
      </c>
      <c r="N22" s="30">
        <v>5.7457000000000001E-2</v>
      </c>
      <c r="O22" s="24"/>
      <c r="P22" s="31">
        <v>7.2320999999999996E-2</v>
      </c>
      <c r="Q22" s="26">
        <f t="shared" si="4"/>
        <v>0.25869780879614312</v>
      </c>
      <c r="R22" s="24"/>
      <c r="S22" s="31">
        <v>7.2173000000000001E-2</v>
      </c>
      <c r="T22" s="26">
        <f t="shared" si="5"/>
        <v>-2.0464318800900894E-3</v>
      </c>
    </row>
    <row r="23" spans="1:20" x14ac:dyDescent="0.2">
      <c r="A23" s="1">
        <f t="shared" si="1"/>
        <v>14</v>
      </c>
      <c r="B23" s="1">
        <f>+B22</f>
        <v>600</v>
      </c>
      <c r="C23" s="1">
        <v>500</v>
      </c>
      <c r="D23" s="19">
        <f>ROUND((B$22*C23),0)</f>
        <v>300000</v>
      </c>
      <c r="F23" s="20">
        <f>+N$10+$B23*N$16+$D23*N$12</f>
        <v>30676.360200000006</v>
      </c>
      <c r="G23" s="20">
        <f>+P$10+$B23*P$16+$D23*P$12</f>
        <v>34010.318680926146</v>
      </c>
      <c r="H23" s="20">
        <f>+S$10+$B23*S$16+$D23*S$12</f>
        <v>36706.924229636148</v>
      </c>
      <c r="J23" s="21">
        <f t="shared" si="6"/>
        <v>0.109</v>
      </c>
      <c r="K23" s="21">
        <f t="shared" si="6"/>
        <v>7.9000000000000001E-2</v>
      </c>
      <c r="L23" s="21"/>
      <c r="M23" s="22" t="s">
        <v>37</v>
      </c>
      <c r="N23" s="23">
        <v>12.23</v>
      </c>
      <c r="O23" s="24"/>
      <c r="P23" s="29">
        <v>15.9</v>
      </c>
      <c r="Q23" s="26">
        <f t="shared" si="4"/>
        <v>0.30008176614881438</v>
      </c>
      <c r="R23" s="24"/>
      <c r="S23" s="29">
        <v>20.67</v>
      </c>
      <c r="T23" s="26">
        <f t="shared" si="5"/>
        <v>0.3000000000000001</v>
      </c>
    </row>
    <row r="24" spans="1:20" x14ac:dyDescent="0.2">
      <c r="A24" s="1">
        <f t="shared" si="1"/>
        <v>15</v>
      </c>
      <c r="B24" s="1">
        <f>+B23</f>
        <v>600</v>
      </c>
      <c r="C24" s="1">
        <v>700</v>
      </c>
      <c r="D24" s="19">
        <f>ROUND((B$22*C24),0)</f>
        <v>420000</v>
      </c>
      <c r="F24" s="20">
        <f>+N$10+$B24*N$16+$D24*N$12</f>
        <v>40466.200200000007</v>
      </c>
      <c r="G24" s="20">
        <f>+P$10+$B24*P$16+$D24*P$12</f>
        <v>44291.26783329661</v>
      </c>
      <c r="H24" s="20">
        <f>+S$10+$B24*S$16+$D24*S$12</f>
        <v>46993.495601490613</v>
      </c>
      <c r="J24" s="21">
        <f t="shared" si="6"/>
        <v>9.5000000000000001E-2</v>
      </c>
      <c r="K24" s="21">
        <f t="shared" si="6"/>
        <v>6.0999999999999999E-2</v>
      </c>
      <c r="L24" s="21"/>
      <c r="M24" s="22" t="s">
        <v>38</v>
      </c>
      <c r="N24" s="23">
        <v>8.15</v>
      </c>
      <c r="O24" s="24"/>
      <c r="P24" s="29">
        <v>10.6</v>
      </c>
      <c r="Q24" s="26">
        <f t="shared" si="4"/>
        <v>0.30061349693251521</v>
      </c>
      <c r="R24" s="24"/>
      <c r="S24" s="29">
        <v>13.77</v>
      </c>
      <c r="T24" s="26">
        <f t="shared" si="5"/>
        <v>0.29905660377358489</v>
      </c>
    </row>
    <row r="25" spans="1:20" x14ac:dyDescent="0.2">
      <c r="A25" s="1">
        <f t="shared" si="1"/>
        <v>16</v>
      </c>
      <c r="F25" s="20"/>
      <c r="G25" s="20"/>
      <c r="H25" s="20"/>
      <c r="J25" s="24"/>
      <c r="K25" s="24"/>
      <c r="L25" s="24"/>
      <c r="M25" s="22" t="s">
        <v>39</v>
      </c>
      <c r="N25" s="23">
        <v>10.15</v>
      </c>
      <c r="O25" s="24"/>
      <c r="P25" s="29">
        <v>13.61</v>
      </c>
      <c r="Q25" s="26">
        <f t="shared" si="4"/>
        <v>0.34088669950738903</v>
      </c>
      <c r="R25" s="24"/>
      <c r="S25" s="29">
        <v>18.010000000000002</v>
      </c>
      <c r="T25" s="26">
        <f t="shared" si="5"/>
        <v>0.32329169728141088</v>
      </c>
    </row>
    <row r="26" spans="1:20" x14ac:dyDescent="0.2">
      <c r="A26" s="1">
        <f t="shared" si="1"/>
        <v>17</v>
      </c>
      <c r="B26" s="1">
        <f>+B24+100</f>
        <v>700</v>
      </c>
      <c r="C26" s="1">
        <v>300</v>
      </c>
      <c r="D26" s="19">
        <f>ROUND((B$26*C26),0)</f>
        <v>210000</v>
      </c>
      <c r="F26" s="20">
        <f>+N$10+$B26*N$16+$D26*N$12</f>
        <v>24349.426900000006</v>
      </c>
      <c r="G26" s="20">
        <f>+P$10+$B26*P$16+$D26*P$12</f>
        <v>27660.631116648303</v>
      </c>
      <c r="H26" s="20">
        <f>+S$10+$B26*S$16+$D26*S$12</f>
        <v>30793.020000745306</v>
      </c>
      <c r="J26" s="21">
        <f t="shared" ref="J26:K28" si="7">ROUND((+G26-F26)/F26,3)</f>
        <v>0.13600000000000001</v>
      </c>
      <c r="K26" s="21">
        <f t="shared" si="7"/>
        <v>0.113</v>
      </c>
      <c r="L26" s="21"/>
      <c r="M26" s="22" t="s">
        <v>40</v>
      </c>
      <c r="N26" s="32">
        <v>1.2999999999999999E-3</v>
      </c>
      <c r="O26" s="33"/>
      <c r="P26" s="34">
        <v>1.6900000000000001E-3</v>
      </c>
      <c r="Q26" s="26">
        <f t="shared" si="4"/>
        <v>0.30000000000000016</v>
      </c>
      <c r="R26" s="33"/>
      <c r="S26" s="34">
        <v>2.2000000000000001E-3</v>
      </c>
      <c r="T26" s="26">
        <f t="shared" si="5"/>
        <v>0.30177514792899407</v>
      </c>
    </row>
    <row r="27" spans="1:20" x14ac:dyDescent="0.2">
      <c r="A27" s="1">
        <f t="shared" si="1"/>
        <v>18</v>
      </c>
      <c r="B27" s="1">
        <f>+B26</f>
        <v>700</v>
      </c>
      <c r="C27" s="1">
        <v>500</v>
      </c>
      <c r="D27" s="19">
        <f>ROUND((B$26*C27),0)</f>
        <v>350000</v>
      </c>
      <c r="F27" s="20">
        <f>+N$10+$B27*N$16+$D27*N$12</f>
        <v>35770.906900000002</v>
      </c>
      <c r="G27" s="20">
        <f>+P$10+$B27*P$16+$D27*P$12</f>
        <v>39655.071794413845</v>
      </c>
      <c r="H27" s="20">
        <f>+S$10+$B27*S$16+$D27*S$12</f>
        <v>42794.01993457551</v>
      </c>
      <c r="J27" s="21">
        <f t="shared" si="7"/>
        <v>0.109</v>
      </c>
      <c r="K27" s="21">
        <f t="shared" si="7"/>
        <v>7.9000000000000001E-2</v>
      </c>
      <c r="L27" s="21"/>
      <c r="M27" s="22"/>
      <c r="N27" s="35"/>
      <c r="P27" s="22"/>
      <c r="Q27" s="35"/>
      <c r="S27" s="22"/>
      <c r="T27" s="35"/>
    </row>
    <row r="28" spans="1:20" x14ac:dyDescent="0.2">
      <c r="A28" s="1">
        <f t="shared" si="1"/>
        <v>19</v>
      </c>
      <c r="B28" s="1">
        <f>+B27</f>
        <v>700</v>
      </c>
      <c r="C28" s="1">
        <v>700</v>
      </c>
      <c r="D28" s="19">
        <f>ROUND((B$26*C28),0)</f>
        <v>490000</v>
      </c>
      <c r="F28" s="20">
        <f>+N$10+$B28*N$16+$D28*N$12</f>
        <v>47192.386900000005</v>
      </c>
      <c r="G28" s="20">
        <f>+P$10+$B28*P$16+$D28*P$12</f>
        <v>51649.512472179376</v>
      </c>
      <c r="H28" s="20">
        <f>+S$10+$B28*S$16+$D28*S$12</f>
        <v>54795.01986840571</v>
      </c>
      <c r="J28" s="21">
        <f t="shared" si="7"/>
        <v>9.4E-2</v>
      </c>
      <c r="K28" s="21">
        <f t="shared" si="7"/>
        <v>6.0999999999999999E-2</v>
      </c>
      <c r="L28" s="21"/>
      <c r="M28" s="36" t="s">
        <v>47</v>
      </c>
      <c r="N28" s="30">
        <v>7.0130000000000001E-3</v>
      </c>
      <c r="O28" s="24"/>
      <c r="P28" s="31">
        <v>0</v>
      </c>
      <c r="Q28" s="26"/>
      <c r="R28" s="24"/>
      <c r="S28" s="31">
        <v>0</v>
      </c>
      <c r="T28" s="26"/>
    </row>
    <row r="29" spans="1:20" x14ac:dyDescent="0.2">
      <c r="A29" s="1">
        <f t="shared" si="1"/>
        <v>20</v>
      </c>
      <c r="F29" s="20"/>
      <c r="G29" s="20"/>
      <c r="H29" s="20"/>
      <c r="J29" s="24"/>
      <c r="K29" s="24"/>
      <c r="L29" s="24"/>
      <c r="M29" s="36" t="s">
        <v>48</v>
      </c>
      <c r="N29" s="30">
        <v>3.2260000000000001E-3</v>
      </c>
      <c r="O29" s="24"/>
      <c r="P29" s="31">
        <v>3.2260000000000001E-3</v>
      </c>
      <c r="Q29" s="26"/>
      <c r="R29" s="24"/>
      <c r="S29" s="31">
        <v>3.2260000000000001E-3</v>
      </c>
      <c r="T29" s="26"/>
    </row>
    <row r="30" spans="1:20" x14ac:dyDescent="0.2">
      <c r="A30" s="1">
        <f t="shared" si="1"/>
        <v>21</v>
      </c>
      <c r="B30" s="1">
        <f>+B28+100</f>
        <v>800</v>
      </c>
      <c r="C30" s="1">
        <v>300</v>
      </c>
      <c r="D30" s="19">
        <f>ROUND((B$30*C30),0)</f>
        <v>240000</v>
      </c>
      <c r="F30" s="20">
        <f>+N$10+$B30*N$16+$D30*N$12</f>
        <v>27812.333600000005</v>
      </c>
      <c r="G30" s="20">
        <f>+P$10+$B30*P$16+$D30*P$12</f>
        <v>31591.892704740916</v>
      </c>
      <c r="H30" s="20">
        <f>+S$10+$B30*S$16+$D30*S$12</f>
        <v>35165.687143708921</v>
      </c>
      <c r="J30" s="21">
        <f t="shared" ref="J30:K32" si="8">ROUND((+G30-F30)/F30,3)</f>
        <v>0.13600000000000001</v>
      </c>
      <c r="K30" s="21">
        <f t="shared" si="8"/>
        <v>0.113</v>
      </c>
      <c r="L30" s="21"/>
      <c r="M30" s="36" t="s">
        <v>49</v>
      </c>
      <c r="N30" s="30">
        <v>0</v>
      </c>
      <c r="O30" s="24"/>
      <c r="P30" s="31">
        <v>0</v>
      </c>
      <c r="Q30" s="26"/>
      <c r="R30" s="24"/>
      <c r="S30" s="31">
        <v>0</v>
      </c>
      <c r="T30" s="26"/>
    </row>
    <row r="31" spans="1:20" x14ac:dyDescent="0.2">
      <c r="A31" s="1">
        <f t="shared" si="1"/>
        <v>22</v>
      </c>
      <c r="B31" s="1">
        <f>+B30</f>
        <v>800</v>
      </c>
      <c r="C31" s="1">
        <v>500</v>
      </c>
      <c r="D31" s="19">
        <f>ROUND((B$30*C31),0)</f>
        <v>400000</v>
      </c>
      <c r="F31" s="20">
        <f>+N$10+$B31*N$16+$D31*N$12</f>
        <v>40865.453600000008</v>
      </c>
      <c r="G31" s="20">
        <f>+P$10+$B31*P$16+$D31*P$12</f>
        <v>45299.82490790153</v>
      </c>
      <c r="H31" s="20">
        <f>+S$10+$B31*S$16+$D31*S$12</f>
        <v>48881.115639514872</v>
      </c>
      <c r="J31" s="21">
        <f t="shared" si="8"/>
        <v>0.109</v>
      </c>
      <c r="K31" s="21">
        <f t="shared" si="8"/>
        <v>7.9000000000000001E-2</v>
      </c>
      <c r="L31" s="21"/>
      <c r="M31" s="36" t="s">
        <v>50</v>
      </c>
      <c r="N31" s="30">
        <v>3.9810000000000002E-3</v>
      </c>
      <c r="P31" s="31">
        <v>3.9810000000000002E-3</v>
      </c>
      <c r="Q31" s="35"/>
      <c r="S31" s="31">
        <v>3.9810000000000002E-3</v>
      </c>
      <c r="T31" s="35"/>
    </row>
    <row r="32" spans="1:20" x14ac:dyDescent="0.2">
      <c r="A32" s="1">
        <f t="shared" si="1"/>
        <v>23</v>
      </c>
      <c r="B32" s="1">
        <f>+B31</f>
        <v>800</v>
      </c>
      <c r="C32" s="1">
        <v>700</v>
      </c>
      <c r="D32" s="19">
        <f>ROUND((B$30*C32),0)</f>
        <v>560000</v>
      </c>
      <c r="F32" s="20">
        <f>+N$10+$B32*N$16+$D32*N$12</f>
        <v>53918.573600000003</v>
      </c>
      <c r="G32" s="20">
        <f>+P$10+$B32*P$16+$D32*P$12</f>
        <v>59007.757111062143</v>
      </c>
      <c r="H32" s="20">
        <f>+S$10+$B32*S$16+$D32*S$12</f>
        <v>62596.544135320815</v>
      </c>
      <c r="J32" s="21">
        <f t="shared" si="8"/>
        <v>9.4E-2</v>
      </c>
      <c r="K32" s="21">
        <f t="shared" si="8"/>
        <v>6.0999999999999999E-2</v>
      </c>
      <c r="L32" s="21"/>
      <c r="M32" s="36" t="s">
        <v>51</v>
      </c>
      <c r="N32" s="30">
        <v>1.1230000000000001E-3</v>
      </c>
      <c r="O32" s="24"/>
      <c r="P32" s="31">
        <v>1.1230000000000001E-3</v>
      </c>
      <c r="Q32" s="26"/>
      <c r="R32" s="24"/>
      <c r="S32" s="31">
        <v>1.1230000000000001E-3</v>
      </c>
      <c r="T32" s="26"/>
    </row>
    <row r="33" spans="1:20" x14ac:dyDescent="0.2">
      <c r="A33" s="1">
        <f t="shared" si="1"/>
        <v>24</v>
      </c>
      <c r="F33" s="20"/>
      <c r="G33" s="20"/>
      <c r="H33" s="20"/>
      <c r="J33" s="24"/>
      <c r="K33" s="24"/>
      <c r="L33" s="24"/>
      <c r="M33" s="36" t="s">
        <v>52</v>
      </c>
      <c r="N33" s="30">
        <v>4.7800000000000002E-4</v>
      </c>
      <c r="O33" s="24"/>
      <c r="P33" s="31">
        <v>4.7800000000000002E-4</v>
      </c>
      <c r="Q33" s="26"/>
      <c r="R33" s="24"/>
      <c r="S33" s="31">
        <v>4.7800000000000002E-4</v>
      </c>
      <c r="T33" s="26"/>
    </row>
    <row r="34" spans="1:20" x14ac:dyDescent="0.2">
      <c r="A34" s="1">
        <f t="shared" si="1"/>
        <v>25</v>
      </c>
      <c r="B34" s="1">
        <f>+B32+200</f>
        <v>1000</v>
      </c>
      <c r="C34" s="1">
        <v>300</v>
      </c>
      <c r="D34" s="19">
        <f>ROUND((B$34*C34),0)</f>
        <v>300000</v>
      </c>
      <c r="F34" s="20">
        <f>+N$10+$B34*N$16+$D34*N$12</f>
        <v>34738.147000000004</v>
      </c>
      <c r="G34" s="20">
        <f>+P$10+$B34*P$16+$D34*P$12</f>
        <v>39454.415880926143</v>
      </c>
      <c r="H34" s="20">
        <f>+S$10+$B34*S$16+$D34*S$12</f>
        <v>43911.021429636152</v>
      </c>
      <c r="J34" s="21">
        <f t="shared" ref="J34:K36" si="9">ROUND((+G34-F34)/F34,3)</f>
        <v>0.13600000000000001</v>
      </c>
      <c r="K34" s="21">
        <f t="shared" si="9"/>
        <v>0.113</v>
      </c>
      <c r="L34" s="21"/>
      <c r="M34" s="36" t="s">
        <v>53</v>
      </c>
      <c r="N34" s="30">
        <v>6.0000000000000002E-6</v>
      </c>
      <c r="O34" s="24"/>
      <c r="P34" s="31">
        <v>0</v>
      </c>
      <c r="Q34" s="26"/>
      <c r="R34" s="24"/>
      <c r="S34" s="31">
        <v>0</v>
      </c>
      <c r="T34" s="26"/>
    </row>
    <row r="35" spans="1:20" x14ac:dyDescent="0.2">
      <c r="A35" s="1">
        <f t="shared" si="1"/>
        <v>26</v>
      </c>
      <c r="B35" s="1">
        <f>+B34</f>
        <v>1000</v>
      </c>
      <c r="C35" s="1">
        <v>500</v>
      </c>
      <c r="D35" s="19">
        <f>ROUND((B$34*C35),0)</f>
        <v>500000</v>
      </c>
      <c r="F35" s="20">
        <f>+N$10+$B35*N$16+$D35*N$12</f>
        <v>51054.547000000006</v>
      </c>
      <c r="G35" s="20">
        <f>+P$10+$B35*P$16+$D35*P$12</f>
        <v>56589.331134876913</v>
      </c>
      <c r="H35" s="20">
        <f>+S$10+$B35*S$16+$D35*S$12</f>
        <v>61055.307049393581</v>
      </c>
      <c r="J35" s="21">
        <f t="shared" si="9"/>
        <v>0.108</v>
      </c>
      <c r="K35" s="21">
        <f t="shared" si="9"/>
        <v>7.9000000000000001E-2</v>
      </c>
      <c r="L35" s="21"/>
      <c r="M35" s="36" t="s">
        <v>54</v>
      </c>
      <c r="N35" s="30">
        <v>1.7149999999999999E-3</v>
      </c>
      <c r="O35" s="24"/>
      <c r="P35" s="31">
        <v>1.7149999999999999E-3</v>
      </c>
      <c r="Q35" s="26"/>
      <c r="R35" s="24"/>
      <c r="S35" s="31">
        <v>1.7149999999999999E-3</v>
      </c>
      <c r="T35" s="26"/>
    </row>
    <row r="36" spans="1:20" x14ac:dyDescent="0.2">
      <c r="A36" s="1">
        <f t="shared" si="1"/>
        <v>27</v>
      </c>
      <c r="B36" s="1">
        <f>+B35</f>
        <v>1000</v>
      </c>
      <c r="C36" s="1">
        <v>700</v>
      </c>
      <c r="D36" s="19">
        <f>ROUND((B$34*C36),0)</f>
        <v>700000</v>
      </c>
      <c r="F36" s="20">
        <f>+N$10+$B36*N$16+$D36*N$12</f>
        <v>67370.947000000015</v>
      </c>
      <c r="G36" s="20">
        <f>+P$10+$B36*P$16+$D36*P$12</f>
        <v>73724.246388827683</v>
      </c>
      <c r="H36" s="20">
        <f>+S$10+$B36*S$16+$D36*S$12</f>
        <v>78199.59266915101</v>
      </c>
      <c r="J36" s="21">
        <f t="shared" si="9"/>
        <v>9.4E-2</v>
      </c>
      <c r="K36" s="21">
        <f t="shared" si="9"/>
        <v>6.0999999999999999E-2</v>
      </c>
      <c r="L36" s="21"/>
      <c r="M36" s="36" t="s">
        <v>55</v>
      </c>
      <c r="N36" s="30">
        <v>0</v>
      </c>
      <c r="O36" s="24"/>
      <c r="P36" s="31">
        <v>0</v>
      </c>
      <c r="Q36" s="26"/>
      <c r="R36" s="24"/>
      <c r="S36" s="31">
        <v>0</v>
      </c>
      <c r="T36" s="26"/>
    </row>
    <row r="37" spans="1:20" x14ac:dyDescent="0.2">
      <c r="A37" s="1">
        <f t="shared" si="1"/>
        <v>28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M37" s="36" t="s">
        <v>56</v>
      </c>
      <c r="N37" s="30">
        <v>1.549E-3</v>
      </c>
      <c r="P37" s="31">
        <v>1.549E-3</v>
      </c>
      <c r="Q37" s="35"/>
      <c r="S37" s="31">
        <v>1.549E-3</v>
      </c>
      <c r="T37" s="35"/>
    </row>
    <row r="38" spans="1:20" x14ac:dyDescent="0.2">
      <c r="A38" s="1">
        <f t="shared" si="1"/>
        <v>29</v>
      </c>
      <c r="M38" s="36" t="s">
        <v>57</v>
      </c>
      <c r="N38" s="30">
        <v>6.02E-4</v>
      </c>
      <c r="O38" s="24"/>
      <c r="P38" s="31">
        <v>0</v>
      </c>
      <c r="Q38" s="26"/>
      <c r="R38" s="24"/>
      <c r="S38" s="31">
        <v>0</v>
      </c>
      <c r="T38" s="26"/>
    </row>
    <row r="39" spans="1:20" x14ac:dyDescent="0.2">
      <c r="A39" s="1">
        <f t="shared" si="1"/>
        <v>30</v>
      </c>
      <c r="M39" s="36" t="s">
        <v>58</v>
      </c>
      <c r="N39" s="30">
        <v>0</v>
      </c>
      <c r="O39" s="24"/>
      <c r="P39" s="31">
        <v>8.4571042049831472E-4</v>
      </c>
      <c r="Q39" s="26"/>
      <c r="R39" s="24"/>
      <c r="S39" s="31">
        <v>1.0409348891093082E-3</v>
      </c>
      <c r="T39" s="26"/>
    </row>
    <row r="40" spans="1:20" x14ac:dyDescent="0.2">
      <c r="A40" s="1">
        <f t="shared" si="1"/>
        <v>31</v>
      </c>
      <c r="B40" s="282"/>
      <c r="C40" s="282"/>
      <c r="D40" s="282"/>
      <c r="E40" s="282"/>
      <c r="F40" s="282"/>
      <c r="G40" s="282"/>
      <c r="H40" s="282"/>
      <c r="I40" s="282"/>
      <c r="J40" s="282"/>
      <c r="K40" s="38"/>
      <c r="L40" s="38"/>
      <c r="M40" s="36" t="s">
        <v>59</v>
      </c>
      <c r="N40" s="30">
        <v>0</v>
      </c>
      <c r="O40" s="24"/>
      <c r="P40" s="31">
        <v>1.7865849255524671E-5</v>
      </c>
      <c r="Q40" s="26"/>
      <c r="R40" s="24"/>
      <c r="S40" s="31">
        <v>1.7493209677852782E-5</v>
      </c>
      <c r="T40" s="26"/>
    </row>
    <row r="41" spans="1:20" x14ac:dyDescent="0.2">
      <c r="A41" s="1">
        <f t="shared" si="1"/>
        <v>32</v>
      </c>
      <c r="B41" s="282"/>
      <c r="C41" s="282"/>
      <c r="D41" s="282"/>
      <c r="E41" s="282"/>
      <c r="F41" s="282"/>
      <c r="G41" s="282"/>
      <c r="H41" s="282"/>
      <c r="I41" s="282"/>
      <c r="J41" s="282"/>
      <c r="K41" s="38"/>
      <c r="L41" s="38"/>
      <c r="M41" s="36" t="s">
        <v>60</v>
      </c>
      <c r="N41" s="30">
        <v>4.1800000000000002E-4</v>
      </c>
      <c r="P41" s="31">
        <v>4.1800000000000002E-4</v>
      </c>
      <c r="Q41" s="35"/>
      <c r="S41" s="31">
        <v>4.1800000000000002E-4</v>
      </c>
      <c r="T41" s="35"/>
    </row>
    <row r="42" spans="1:20" x14ac:dyDescent="0.2">
      <c r="A42" s="1">
        <f t="shared" si="1"/>
        <v>33</v>
      </c>
      <c r="B42" s="282"/>
      <c r="C42" s="282"/>
      <c r="D42" s="282"/>
      <c r="E42" s="282"/>
      <c r="F42" s="282"/>
      <c r="G42" s="282"/>
      <c r="H42" s="282"/>
      <c r="I42" s="282"/>
      <c r="J42" s="282"/>
      <c r="K42" s="38"/>
      <c r="L42" s="38"/>
      <c r="M42" s="36" t="s">
        <v>61</v>
      </c>
      <c r="N42" s="30">
        <v>4.2240000000000003E-3</v>
      </c>
      <c r="O42" s="24"/>
      <c r="P42" s="31">
        <v>0</v>
      </c>
      <c r="Q42" s="26"/>
      <c r="R42" s="24"/>
      <c r="S42" s="31">
        <v>0</v>
      </c>
      <c r="T42" s="26"/>
    </row>
    <row r="43" spans="1:20" x14ac:dyDescent="0.2">
      <c r="A43" s="1">
        <f t="shared" si="1"/>
        <v>34</v>
      </c>
      <c r="B43" s="282"/>
      <c r="C43" s="282"/>
      <c r="D43" s="282"/>
      <c r="E43" s="282"/>
      <c r="F43" s="282"/>
      <c r="G43" s="282"/>
      <c r="H43" s="282"/>
      <c r="I43" s="282"/>
      <c r="J43" s="282"/>
      <c r="K43" s="38"/>
      <c r="L43" s="38"/>
      <c r="M43" s="36" t="s">
        <v>62</v>
      </c>
      <c r="N43" s="30">
        <v>4.0140000000000002E-3</v>
      </c>
      <c r="O43" s="24"/>
      <c r="P43" s="31">
        <v>0</v>
      </c>
      <c r="Q43" s="26"/>
      <c r="R43" s="24"/>
      <c r="S43" s="31">
        <v>0</v>
      </c>
      <c r="T43" s="26"/>
    </row>
    <row r="44" spans="1:20" x14ac:dyDescent="0.2">
      <c r="A44" s="1">
        <f t="shared" si="1"/>
        <v>35</v>
      </c>
      <c r="M44" s="36" t="s">
        <v>63</v>
      </c>
      <c r="N44" s="30">
        <v>2.43E-4</v>
      </c>
      <c r="O44" s="24"/>
      <c r="P44" s="31">
        <v>2.43E-4</v>
      </c>
      <c r="Q44" s="26"/>
      <c r="R44" s="24"/>
      <c r="S44" s="31">
        <v>2.43E-4</v>
      </c>
      <c r="T44" s="26"/>
    </row>
    <row r="45" spans="1:20" x14ac:dyDescent="0.2">
      <c r="A45" s="1">
        <f t="shared" si="1"/>
        <v>36</v>
      </c>
      <c r="M45" s="36" t="s">
        <v>64</v>
      </c>
      <c r="N45" s="30">
        <v>0</v>
      </c>
      <c r="P45" s="31">
        <v>1.0480251758214365E-5</v>
      </c>
      <c r="Q45" s="35"/>
      <c r="S45" s="31">
        <v>1.2812059099364239E-5</v>
      </c>
      <c r="T45" s="35"/>
    </row>
    <row r="46" spans="1:20" x14ac:dyDescent="0.2">
      <c r="A46" s="1">
        <f t="shared" si="1"/>
        <v>37</v>
      </c>
      <c r="M46" s="36" t="s">
        <v>65</v>
      </c>
      <c r="N46" s="30">
        <v>0</v>
      </c>
      <c r="O46" s="38"/>
      <c r="P46" s="31">
        <v>0</v>
      </c>
      <c r="Q46" s="39"/>
      <c r="R46" s="38"/>
      <c r="S46" s="31">
        <v>0</v>
      </c>
      <c r="T46" s="39"/>
    </row>
    <row r="47" spans="1:20" x14ac:dyDescent="0.2">
      <c r="A47" s="1">
        <f t="shared" si="1"/>
        <v>38</v>
      </c>
      <c r="M47" s="36" t="s">
        <v>66</v>
      </c>
      <c r="N47" s="30">
        <v>0</v>
      </c>
      <c r="O47" s="38"/>
      <c r="P47" s="31">
        <v>0</v>
      </c>
      <c r="Q47" s="39"/>
      <c r="R47" s="38"/>
      <c r="S47" s="31">
        <v>0</v>
      </c>
      <c r="T47" s="39"/>
    </row>
    <row r="48" spans="1:20" x14ac:dyDescent="0.2">
      <c r="A48" s="1">
        <f t="shared" si="1"/>
        <v>39</v>
      </c>
      <c r="B48" s="40"/>
      <c r="M48" s="36" t="s">
        <v>67</v>
      </c>
      <c r="N48" s="30">
        <v>4.8200000000000001E-4</v>
      </c>
      <c r="O48" s="38"/>
      <c r="P48" s="31">
        <v>4.8200000000000001E-4</v>
      </c>
      <c r="Q48" s="39"/>
      <c r="R48" s="38"/>
      <c r="S48" s="31">
        <v>4.8200000000000001E-4</v>
      </c>
      <c r="T48" s="39"/>
    </row>
    <row r="49" spans="1:20" x14ac:dyDescent="0.2">
      <c r="A49" s="1">
        <f t="shared" si="1"/>
        <v>40</v>
      </c>
      <c r="M49" s="36" t="s">
        <v>68</v>
      </c>
      <c r="N49" s="30">
        <v>0</v>
      </c>
      <c r="O49" s="38"/>
      <c r="P49" s="31">
        <v>0</v>
      </c>
      <c r="Q49" s="39"/>
      <c r="R49" s="38"/>
      <c r="S49" s="31">
        <v>0</v>
      </c>
      <c r="T49" s="39"/>
    </row>
    <row r="50" spans="1:20" x14ac:dyDescent="0.2">
      <c r="A50" s="1">
        <f t="shared" si="1"/>
        <v>41</v>
      </c>
      <c r="M50" s="36" t="s">
        <v>69</v>
      </c>
      <c r="N50" s="41" t="s">
        <v>42</v>
      </c>
      <c r="O50" s="38"/>
      <c r="P50" s="31"/>
      <c r="Q50" s="39"/>
      <c r="R50" s="38"/>
      <c r="S50" s="31"/>
      <c r="T50" s="39"/>
    </row>
    <row r="51" spans="1:20" ht="12" thickBot="1" x14ac:dyDescent="0.25">
      <c r="A51" s="1">
        <f t="shared" si="1"/>
        <v>42</v>
      </c>
      <c r="M51" s="42" t="s">
        <v>43</v>
      </c>
      <c r="N51" s="43">
        <f>SUM(N28:N50)+N22</f>
        <v>8.6530999999999997E-2</v>
      </c>
      <c r="P51" s="44">
        <f>SUM(P28:P50)+P22</f>
        <v>8.6410056521512055E-2</v>
      </c>
      <c r="Q51" s="39"/>
      <c r="S51" s="44">
        <f>SUM(S28:S50)+S22</f>
        <v>8.645924015788653E-2</v>
      </c>
      <c r="T51" s="39"/>
    </row>
    <row r="52" spans="1:20" ht="12" thickTop="1" x14ac:dyDescent="0.2">
      <c r="A52" s="1">
        <f t="shared" si="1"/>
        <v>43</v>
      </c>
      <c r="M52" s="42"/>
      <c r="N52" s="45"/>
      <c r="P52" s="31"/>
      <c r="Q52" s="30"/>
      <c r="S52" s="31"/>
      <c r="T52" s="30"/>
    </row>
    <row r="53" spans="1:20" x14ac:dyDescent="0.2">
      <c r="A53" s="1">
        <f t="shared" si="1"/>
        <v>44</v>
      </c>
      <c r="M53" s="46" t="s">
        <v>44</v>
      </c>
      <c r="N53" s="47"/>
      <c r="P53" s="22"/>
      <c r="Q53" s="48">
        <v>0.1898196410159145</v>
      </c>
      <c r="S53" s="22"/>
      <c r="T53" s="48">
        <v>8.1844086033646971E-2</v>
      </c>
    </row>
    <row r="54" spans="1:20" x14ac:dyDescent="0.2">
      <c r="A54" s="1">
        <f t="shared" si="1"/>
        <v>45</v>
      </c>
      <c r="M54" s="46" t="s">
        <v>45</v>
      </c>
      <c r="N54" s="47"/>
      <c r="P54" s="22"/>
      <c r="Q54" s="48">
        <v>5.469144289009456E-2</v>
      </c>
      <c r="S54" s="22"/>
      <c r="T54" s="48">
        <v>8.9434898642828747E-2</v>
      </c>
    </row>
    <row r="55" spans="1:20" ht="12" thickBot="1" x14ac:dyDescent="0.25">
      <c r="A55" s="1">
        <f t="shared" si="1"/>
        <v>46</v>
      </c>
      <c r="M55" s="49" t="s">
        <v>46</v>
      </c>
      <c r="N55" s="50"/>
      <c r="P55" s="49"/>
      <c r="Q55" s="50"/>
      <c r="S55" s="49"/>
      <c r="T55" s="50"/>
    </row>
  </sheetData>
  <mergeCells count="13">
    <mergeCell ref="B43:J43"/>
    <mergeCell ref="A1:T1"/>
    <mergeCell ref="A2:T2"/>
    <mergeCell ref="A3:T3"/>
    <mergeCell ref="A4:T4"/>
    <mergeCell ref="F6:H6"/>
    <mergeCell ref="P6:Q6"/>
    <mergeCell ref="S6:T6"/>
    <mergeCell ref="F7:H7"/>
    <mergeCell ref="J7:K7"/>
    <mergeCell ref="B40:J40"/>
    <mergeCell ref="B41:J41"/>
    <mergeCell ref="B42:J42"/>
  </mergeCells>
  <pageMargins left="0.7" right="0.7" top="0.75" bottom="0.75" header="0.3" footer="0.3"/>
  <pageSetup scale="38" orientation="landscape" horizontalDpi="360" verticalDpi="360" r:id="rId1"/>
  <headerFooter>
    <oddFooter>&amp;R&amp;F
&amp;A
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DFD8B-C7CC-4228-9986-F6C83808F529}">
  <sheetPr>
    <pageSetUpPr fitToPage="1"/>
  </sheetPr>
  <dimension ref="A1:V55"/>
  <sheetViews>
    <sheetView zoomScaleNormal="100" zoomScaleSheetLayoutView="100" workbookViewId="0">
      <pane ySplit="9" topLeftCell="A10" activePane="bottomLeft" state="frozen"/>
      <selection sqref="A1:XFD1048576"/>
      <selection pane="bottomLeft" activeCell="G24" sqref="G24"/>
    </sheetView>
  </sheetViews>
  <sheetFormatPr defaultColWidth="9.42578125" defaultRowHeight="11.25" x14ac:dyDescent="0.2"/>
  <cols>
    <col min="1" max="1" width="5.28515625" style="1" customWidth="1"/>
    <col min="2" max="2" width="11.42578125" style="1" customWidth="1"/>
    <col min="3" max="3" width="11.42578125" style="1" bestFit="1" customWidth="1"/>
    <col min="4" max="4" width="7.140625" style="1" bestFit="1" customWidth="1"/>
    <col min="5" max="5" width="1.140625" style="1" customWidth="1"/>
    <col min="6" max="6" width="11.7109375" style="1" bestFit="1" customWidth="1"/>
    <col min="7" max="8" width="13.28515625" style="1" bestFit="1" customWidth="1"/>
    <col min="9" max="9" width="1.140625" style="1" customWidth="1"/>
    <col min="10" max="11" width="9.28515625" style="1" bestFit="1" customWidth="1"/>
    <col min="12" max="12" width="7.140625" style="1" customWidth="1"/>
    <col min="13" max="13" width="38.5703125" style="1" bestFit="1" customWidth="1"/>
    <col min="14" max="14" width="11.140625" style="1" bestFit="1" customWidth="1"/>
    <col min="15" max="15" width="1.140625" style="1" customWidth="1"/>
    <col min="16" max="17" width="11.140625" style="1" bestFit="1" customWidth="1"/>
    <col min="18" max="18" width="0.85546875" style="1" customWidth="1"/>
    <col min="19" max="19" width="11.140625" style="1" bestFit="1" customWidth="1"/>
    <col min="20" max="20" width="11.140625" style="1" customWidth="1"/>
    <col min="21" max="16384" width="9.42578125" style="1"/>
  </cols>
  <sheetData>
    <row r="1" spans="1:20" x14ac:dyDescent="0.2">
      <c r="A1" s="283" t="s">
        <v>0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</row>
    <row r="2" spans="1:20" x14ac:dyDescent="0.2">
      <c r="A2" s="283" t="s">
        <v>1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283"/>
      <c r="T2" s="283"/>
    </row>
    <row r="3" spans="1:20" ht="12.75" x14ac:dyDescent="0.2">
      <c r="A3" s="283" t="s">
        <v>2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</row>
    <row r="4" spans="1:20" ht="12.75" x14ac:dyDescent="0.2">
      <c r="A4" s="283" t="s">
        <v>3</v>
      </c>
      <c r="B4" s="284" t="s">
        <v>4</v>
      </c>
      <c r="C4" s="284"/>
      <c r="D4" s="284"/>
      <c r="E4" s="284"/>
      <c r="F4" s="284"/>
      <c r="G4" s="284"/>
      <c r="H4" s="284"/>
      <c r="I4" s="284"/>
      <c r="J4" s="284"/>
      <c r="K4" s="284"/>
      <c r="L4" s="284"/>
      <c r="M4" s="284"/>
      <c r="N4" s="284"/>
      <c r="O4" s="284"/>
      <c r="P4" s="284"/>
      <c r="Q4" s="284"/>
      <c r="R4" s="284"/>
      <c r="S4" s="284"/>
      <c r="T4" s="284"/>
    </row>
    <row r="5" spans="1:20" ht="12" thickBot="1" x14ac:dyDescent="0.25">
      <c r="B5" s="2"/>
      <c r="M5" s="3"/>
      <c r="N5" s="3"/>
      <c r="O5" s="3"/>
      <c r="P5" s="3"/>
      <c r="Q5" s="3"/>
      <c r="R5" s="3"/>
      <c r="S5" s="3"/>
      <c r="T5" s="3"/>
    </row>
    <row r="6" spans="1:20" ht="13.5" customHeight="1" thickBot="1" x14ac:dyDescent="0.25">
      <c r="B6" s="4"/>
      <c r="F6" s="285"/>
      <c r="G6" s="285"/>
      <c r="H6" s="285"/>
      <c r="M6" s="5"/>
      <c r="N6" s="5"/>
      <c r="P6" s="286" t="s">
        <v>5</v>
      </c>
      <c r="Q6" s="287"/>
      <c r="S6" s="286" t="s">
        <v>6</v>
      </c>
      <c r="T6" s="287"/>
    </row>
    <row r="7" spans="1:20" ht="12.75" x14ac:dyDescent="0.2">
      <c r="A7" s="5"/>
      <c r="B7" s="6"/>
      <c r="C7" s="6"/>
      <c r="D7" s="5"/>
      <c r="E7" s="5"/>
      <c r="F7" s="288" t="s">
        <v>7</v>
      </c>
      <c r="G7" s="289"/>
      <c r="H7" s="290"/>
      <c r="I7" s="5"/>
      <c r="J7" s="291" t="s">
        <v>8</v>
      </c>
      <c r="K7" s="290"/>
      <c r="L7" s="7"/>
      <c r="M7" s="8"/>
      <c r="N7" s="9"/>
      <c r="P7" s="10"/>
      <c r="Q7" s="9"/>
      <c r="S7" s="10"/>
      <c r="T7" s="9"/>
    </row>
    <row r="8" spans="1:20" ht="45" customHeight="1" x14ac:dyDescent="0.2">
      <c r="A8" s="11" t="s">
        <v>9</v>
      </c>
      <c r="B8" s="12" t="s">
        <v>10</v>
      </c>
      <c r="C8" s="12" t="s">
        <v>11</v>
      </c>
      <c r="D8" s="12" t="s">
        <v>12</v>
      </c>
      <c r="E8" s="5"/>
      <c r="F8" s="13" t="s">
        <v>13</v>
      </c>
      <c r="G8" s="13" t="s">
        <v>14</v>
      </c>
      <c r="H8" s="13" t="s">
        <v>15</v>
      </c>
      <c r="I8" s="5"/>
      <c r="J8" s="13" t="s">
        <v>16</v>
      </c>
      <c r="K8" s="13" t="s">
        <v>17</v>
      </c>
      <c r="L8" s="7"/>
      <c r="M8" s="14"/>
      <c r="N8" s="15" t="s">
        <v>18</v>
      </c>
      <c r="P8" s="16" t="s">
        <v>19</v>
      </c>
      <c r="Q8" s="15" t="s">
        <v>20</v>
      </c>
      <c r="S8" s="16" t="s">
        <v>19</v>
      </c>
      <c r="T8" s="15" t="s">
        <v>20</v>
      </c>
    </row>
    <row r="9" spans="1:20" x14ac:dyDescent="0.2">
      <c r="B9" s="4" t="s">
        <v>21</v>
      </c>
      <c r="C9" s="4" t="s">
        <v>22</v>
      </c>
      <c r="D9" s="4" t="s">
        <v>23</v>
      </c>
      <c r="E9" s="4"/>
      <c r="F9" s="4" t="s">
        <v>24</v>
      </c>
      <c r="G9" s="4" t="s">
        <v>25</v>
      </c>
      <c r="H9" s="4" t="s">
        <v>26</v>
      </c>
      <c r="I9" s="4"/>
      <c r="J9" s="4" t="s">
        <v>27</v>
      </c>
      <c r="K9" s="4" t="s">
        <v>28</v>
      </c>
      <c r="L9" s="4"/>
      <c r="M9" s="17" t="s">
        <v>29</v>
      </c>
      <c r="N9" s="18" t="s">
        <v>30</v>
      </c>
      <c r="O9" s="4"/>
      <c r="P9" s="17" t="s">
        <v>31</v>
      </c>
      <c r="Q9" s="18" t="s">
        <v>32</v>
      </c>
      <c r="R9" s="4"/>
      <c r="S9" s="17" t="s">
        <v>33</v>
      </c>
      <c r="T9" s="18" t="s">
        <v>34</v>
      </c>
    </row>
    <row r="10" spans="1:20" x14ac:dyDescent="0.2">
      <c r="A10" s="1">
        <v>1</v>
      </c>
      <c r="B10" s="1">
        <v>350</v>
      </c>
      <c r="C10" s="1">
        <v>300</v>
      </c>
      <c r="D10" s="19">
        <f>ROUND((B$10*C10),0)</f>
        <v>105000</v>
      </c>
      <c r="F10" s="20">
        <f>+N$10+$B10*N$16+$D10*N$12</f>
        <v>12229.253450000002</v>
      </c>
      <c r="G10" s="20">
        <f>+P$10+$B10*P$16+$D10*P$12</f>
        <v>13959.681516583627</v>
      </c>
      <c r="H10" s="20">
        <f>+S$10+$B10*S$16+$D10*S$12</f>
        <v>15644.788070422666</v>
      </c>
      <c r="J10" s="21">
        <f t="shared" ref="J10:K12" si="0">ROUND((+G10-F10)/F10,3)</f>
        <v>0.14099999999999999</v>
      </c>
      <c r="K10" s="21">
        <f t="shared" si="0"/>
        <v>0.121</v>
      </c>
      <c r="L10" s="51"/>
      <c r="M10" s="22" t="s">
        <v>35</v>
      </c>
      <c r="N10" s="23">
        <f>SUM(N21,)</f>
        <v>109.08</v>
      </c>
      <c r="O10" s="24"/>
      <c r="P10" s="25">
        <f>SUM(P21,)</f>
        <v>218.16</v>
      </c>
      <c r="Q10" s="26">
        <f>(P10-N10)/N10</f>
        <v>1</v>
      </c>
      <c r="R10" s="24"/>
      <c r="S10" s="25">
        <f>SUM(S21,)</f>
        <v>436.32</v>
      </c>
      <c r="T10" s="26">
        <f>(S10-P10)/P10</f>
        <v>1</v>
      </c>
    </row>
    <row r="11" spans="1:20" x14ac:dyDescent="0.2">
      <c r="A11" s="1">
        <f t="shared" ref="A11:A55" si="1">A10+1</f>
        <v>2</v>
      </c>
      <c r="B11" s="1">
        <f>+B10</f>
        <v>350</v>
      </c>
      <c r="C11" s="1">
        <v>500</v>
      </c>
      <c r="D11" s="19">
        <f>ROUND((B$10*C11),0)</f>
        <v>175000</v>
      </c>
      <c r="F11" s="20">
        <f>+N$10+$B11*N$16+$D11*N$12</f>
        <v>17939.993450000002</v>
      </c>
      <c r="G11" s="20">
        <f>+P$10+$B11*P$16+$D11*P$12</f>
        <v>19872.423490532463</v>
      </c>
      <c r="H11" s="20">
        <f>+S$10+$B11*S$16+$D11*S$12</f>
        <v>21384.904001246447</v>
      </c>
      <c r="J11" s="21">
        <f t="shared" si="0"/>
        <v>0.108</v>
      </c>
      <c r="K11" s="21">
        <f t="shared" si="0"/>
        <v>7.5999999999999998E-2</v>
      </c>
      <c r="L11" s="51"/>
      <c r="M11" s="22"/>
      <c r="N11" s="23"/>
      <c r="O11" s="24"/>
      <c r="P11" s="25"/>
      <c r="Q11" s="26"/>
      <c r="R11" s="24"/>
      <c r="S11" s="25"/>
      <c r="T11" s="26"/>
    </row>
    <row r="12" spans="1:20" x14ac:dyDescent="0.2">
      <c r="A12" s="1">
        <f t="shared" si="1"/>
        <v>3</v>
      </c>
      <c r="B12" s="1">
        <f>+B11</f>
        <v>350</v>
      </c>
      <c r="C12" s="1">
        <v>700</v>
      </c>
      <c r="D12" s="19">
        <f>ROUND((B$10*C12),0)</f>
        <v>245000</v>
      </c>
      <c r="F12" s="20">
        <f>+N$10+$B12*N$16+$D12*N$12</f>
        <v>23650.733450000003</v>
      </c>
      <c r="G12" s="20">
        <f>+P$10+$B12*P$16+$D12*P$12</f>
        <v>25785.165464481295</v>
      </c>
      <c r="H12" s="20">
        <f>+S$10+$B12*S$16+$D12*S$12</f>
        <v>27125.019932070227</v>
      </c>
      <c r="J12" s="21">
        <f t="shared" si="0"/>
        <v>0.09</v>
      </c>
      <c r="K12" s="21">
        <f t="shared" si="0"/>
        <v>5.1999999999999998E-2</v>
      </c>
      <c r="L12" s="51"/>
      <c r="M12" s="27" t="s">
        <v>36</v>
      </c>
      <c r="N12" s="23">
        <f>SUM(N22,N28:N41,N43)</f>
        <v>8.1582000000000016E-2</v>
      </c>
      <c r="O12" s="24"/>
      <c r="P12" s="25">
        <f>SUM(P22,P28:P41,P43)</f>
        <v>8.4467742484983344E-2</v>
      </c>
      <c r="Q12" s="26">
        <f>(P12-N12)/N12</f>
        <v>3.5372293949441393E-2</v>
      </c>
      <c r="R12" s="24"/>
      <c r="S12" s="25">
        <f>SUM(S22,S28:S41,S43)</f>
        <v>8.2001656154625444E-2</v>
      </c>
      <c r="T12" s="26">
        <f>(S12-P12)/P12</f>
        <v>-2.9195598909208687E-2</v>
      </c>
    </row>
    <row r="13" spans="1:20" x14ac:dyDescent="0.2">
      <c r="A13" s="1">
        <f t="shared" si="1"/>
        <v>4</v>
      </c>
      <c r="L13" s="52"/>
      <c r="M13" s="27"/>
      <c r="N13" s="23"/>
      <c r="O13" s="24"/>
      <c r="P13" s="25"/>
      <c r="Q13" s="26"/>
      <c r="R13" s="24"/>
      <c r="S13" s="25"/>
      <c r="T13" s="26"/>
    </row>
    <row r="14" spans="1:20" x14ac:dyDescent="0.2">
      <c r="A14" s="1">
        <f t="shared" si="1"/>
        <v>5</v>
      </c>
      <c r="B14" s="1">
        <f>+B12+50</f>
        <v>400</v>
      </c>
      <c r="C14" s="1">
        <v>300</v>
      </c>
      <c r="D14" s="19">
        <f>ROUND((B$14*C14),0)</f>
        <v>120000</v>
      </c>
      <c r="F14" s="20">
        <f>+N$10+$B14*N$16+$D14*N$12</f>
        <v>13960.706800000004</v>
      </c>
      <c r="G14" s="20">
        <f>+P$10+$B14*P$16+$D14*P$12</f>
        <v>15922.756018952718</v>
      </c>
      <c r="H14" s="20">
        <f>+S$10+$B14*S$16+$D14*S$12</f>
        <v>17817.426366197331</v>
      </c>
      <c r="J14" s="21">
        <f t="shared" ref="J14:K16" si="2">ROUND((+G14-F14)/F14,3)</f>
        <v>0.14099999999999999</v>
      </c>
      <c r="K14" s="21">
        <f t="shared" si="2"/>
        <v>0.11899999999999999</v>
      </c>
      <c r="L14" s="51"/>
      <c r="M14" s="27" t="s">
        <v>37</v>
      </c>
      <c r="N14" s="28">
        <f>SUM(N23,N42,N44)</f>
        <v>12.234467</v>
      </c>
      <c r="O14" s="24"/>
      <c r="P14" s="25">
        <f>SUM(P23,P42,P44)</f>
        <v>16.266143000000003</v>
      </c>
      <c r="Q14" s="26">
        <f>(P14-N14)/N14</f>
        <v>0.32953425760190475</v>
      </c>
      <c r="R14" s="24"/>
      <c r="S14" s="25">
        <f>SUM(S23,S42,S44)</f>
        <v>21.633890000000005</v>
      </c>
      <c r="T14" s="26">
        <f>(S14-P14)/P14</f>
        <v>0.32999507012817975</v>
      </c>
    </row>
    <row r="15" spans="1:20" x14ac:dyDescent="0.2">
      <c r="A15" s="1">
        <f t="shared" si="1"/>
        <v>6</v>
      </c>
      <c r="B15" s="1">
        <f>+B14</f>
        <v>400</v>
      </c>
      <c r="C15" s="1">
        <v>500</v>
      </c>
      <c r="D15" s="19">
        <f>ROUND((B$14*C15),0)</f>
        <v>200000</v>
      </c>
      <c r="F15" s="20">
        <f>+N$10+$B15*N$16+$D15*N$12</f>
        <v>20487.266800000005</v>
      </c>
      <c r="G15" s="20">
        <f>+P$10+$B15*P$16+$D15*P$12</f>
        <v>22680.175417751383</v>
      </c>
      <c r="H15" s="20">
        <f>+S$10+$B15*S$16+$D15*S$12</f>
        <v>24377.558858567369</v>
      </c>
      <c r="J15" s="21">
        <f t="shared" si="2"/>
        <v>0.107</v>
      </c>
      <c r="K15" s="21">
        <f t="shared" si="2"/>
        <v>7.4999999999999997E-2</v>
      </c>
      <c r="L15" s="51"/>
      <c r="M15" s="22" t="s">
        <v>38</v>
      </c>
      <c r="N15" s="23">
        <f>SUM(N24,N42,N44)</f>
        <v>8.1544670000000004</v>
      </c>
      <c r="O15" s="24"/>
      <c r="P15" s="25">
        <f>SUM(P24,P42,P44)</f>
        <v>10.839743</v>
      </c>
      <c r="Q15" s="26"/>
      <c r="R15" s="24"/>
      <c r="S15" s="25">
        <f>SUM(S24,S42,S44)</f>
        <v>14.416778000000001</v>
      </c>
      <c r="T15" s="26"/>
    </row>
    <row r="16" spans="1:20" x14ac:dyDescent="0.2">
      <c r="A16" s="1">
        <f t="shared" si="1"/>
        <v>7</v>
      </c>
      <c r="B16" s="1">
        <f>+B15</f>
        <v>400</v>
      </c>
      <c r="C16" s="1">
        <v>700</v>
      </c>
      <c r="D16" s="19">
        <f>ROUND((B$14*C16),0)</f>
        <v>280000</v>
      </c>
      <c r="F16" s="20">
        <f>+N$10+$B16*N$16+$D16*N$12</f>
        <v>27013.826800000003</v>
      </c>
      <c r="G16" s="20">
        <f>+P$10+$B16*P$16+$D16*P$12</f>
        <v>29437.594816550052</v>
      </c>
      <c r="H16" s="20">
        <f>+S$10+$B16*S$16+$D16*S$12</f>
        <v>30937.691350937403</v>
      </c>
      <c r="J16" s="21">
        <f t="shared" si="2"/>
        <v>0.09</v>
      </c>
      <c r="K16" s="21">
        <f t="shared" si="2"/>
        <v>5.0999999999999997E-2</v>
      </c>
      <c r="L16" s="51"/>
      <c r="M16" s="27" t="s">
        <v>39</v>
      </c>
      <c r="N16" s="23">
        <f>SUM(N25,N42,N44)</f>
        <v>10.154467</v>
      </c>
      <c r="O16" s="24"/>
      <c r="P16" s="25">
        <f>SUM(P25,P42,P44)</f>
        <v>13.921167301886792</v>
      </c>
      <c r="Q16" s="26">
        <f>(P16-N16)/N16</f>
        <v>0.37094022777234797</v>
      </c>
      <c r="R16" s="24"/>
      <c r="S16" s="25">
        <f>SUM(S25,S42,S44)</f>
        <v>18.852269069105699</v>
      </c>
      <c r="T16" s="26">
        <f>(S16-P16)/P16</f>
        <v>0.35421611279325516</v>
      </c>
    </row>
    <row r="17" spans="1:22" x14ac:dyDescent="0.2">
      <c r="A17" s="1">
        <f t="shared" si="1"/>
        <v>8</v>
      </c>
      <c r="F17" s="20"/>
      <c r="G17" s="20"/>
      <c r="H17" s="20"/>
      <c r="J17" s="24"/>
      <c r="K17" s="24"/>
      <c r="L17" s="53"/>
      <c r="M17" s="27"/>
      <c r="N17" s="23"/>
      <c r="O17" s="24"/>
      <c r="P17" s="25"/>
      <c r="Q17" s="26"/>
      <c r="R17" s="24"/>
      <c r="S17" s="25"/>
      <c r="T17" s="26"/>
    </row>
    <row r="18" spans="1:22" x14ac:dyDescent="0.2">
      <c r="A18" s="1">
        <f t="shared" si="1"/>
        <v>9</v>
      </c>
      <c r="B18" s="1">
        <f>+B16+100</f>
        <v>500</v>
      </c>
      <c r="C18" s="1">
        <v>300</v>
      </c>
      <c r="D18" s="19">
        <f>ROUND((B$18*C18),0)</f>
        <v>150000</v>
      </c>
      <c r="F18" s="20">
        <f>+N$10+$B18*N$16+$D18*N$12</f>
        <v>17423.613500000003</v>
      </c>
      <c r="G18" s="20">
        <f>+P$10+$B18*P$16+$D18*P$12</f>
        <v>19848.905023690895</v>
      </c>
      <c r="H18" s="20">
        <f>+S$10+$B18*S$16+$D18*S$12</f>
        <v>22162.702957746667</v>
      </c>
      <c r="J18" s="21">
        <f t="shared" ref="J18:K20" si="3">ROUND((+G18-F18)/F18,3)</f>
        <v>0.13900000000000001</v>
      </c>
      <c r="K18" s="21">
        <f t="shared" si="3"/>
        <v>0.11700000000000001</v>
      </c>
      <c r="L18" s="51"/>
      <c r="M18" s="27" t="s">
        <v>40</v>
      </c>
      <c r="N18" s="23">
        <f>SUM(N26)</f>
        <v>1.2999999999999999E-3</v>
      </c>
      <c r="O18" s="24"/>
      <c r="P18" s="25">
        <f>SUM(P26)</f>
        <v>1.6900000000000001E-3</v>
      </c>
      <c r="Q18" s="26">
        <f>IFERROR((P18-N18)/N18,0)</f>
        <v>0.30000000000000016</v>
      </c>
      <c r="R18" s="24"/>
      <c r="S18" s="25">
        <f>SUM(S26)</f>
        <v>2.2000000000000001E-3</v>
      </c>
      <c r="T18" s="26">
        <f>IFERROR((S18-P18)/P18,0)</f>
        <v>0.30177514792899407</v>
      </c>
    </row>
    <row r="19" spans="1:22" x14ac:dyDescent="0.2">
      <c r="A19" s="1">
        <f t="shared" si="1"/>
        <v>10</v>
      </c>
      <c r="B19" s="1">
        <f>+B18</f>
        <v>500</v>
      </c>
      <c r="C19" s="1">
        <v>500</v>
      </c>
      <c r="D19" s="19">
        <f>ROUND((B$18*C19),0)</f>
        <v>250000</v>
      </c>
      <c r="F19" s="20">
        <f>+N$10+$B19*N$16+$D19*N$12</f>
        <v>25581.813500000004</v>
      </c>
      <c r="G19" s="20">
        <f>+P$10+$B19*P$16+$D19*P$12</f>
        <v>28295.679272189234</v>
      </c>
      <c r="H19" s="20">
        <f>+S$10+$B19*S$16+$D19*S$12</f>
        <v>30362.868573209209</v>
      </c>
      <c r="J19" s="21">
        <f t="shared" si="3"/>
        <v>0.106</v>
      </c>
      <c r="K19" s="21">
        <f t="shared" si="3"/>
        <v>7.2999999999999995E-2</v>
      </c>
      <c r="L19" s="51"/>
      <c r="M19" s="27" t="s">
        <v>41</v>
      </c>
      <c r="N19" s="23"/>
      <c r="O19" s="24"/>
      <c r="P19" s="25"/>
      <c r="Q19" s="26"/>
      <c r="R19" s="24"/>
      <c r="S19" s="25"/>
      <c r="T19" s="26"/>
    </row>
    <row r="20" spans="1:22" x14ac:dyDescent="0.2">
      <c r="A20" s="1">
        <f t="shared" si="1"/>
        <v>11</v>
      </c>
      <c r="B20" s="1">
        <f>+B19</f>
        <v>500</v>
      </c>
      <c r="C20" s="1">
        <v>700</v>
      </c>
      <c r="D20" s="19">
        <f>ROUND((B$18*C20),0)</f>
        <v>350000</v>
      </c>
      <c r="F20" s="20">
        <f>+N$10+$B20*N$16+$D20*N$12</f>
        <v>33740.013500000001</v>
      </c>
      <c r="G20" s="20">
        <f>+P$10+$B20*P$16+$D20*P$12</f>
        <v>36742.453520687566</v>
      </c>
      <c r="H20" s="20">
        <f>+S$10+$B20*S$16+$D20*S$12</f>
        <v>38563.034188671751</v>
      </c>
      <c r="J20" s="21">
        <f t="shared" si="3"/>
        <v>8.8999999999999996E-2</v>
      </c>
      <c r="K20" s="21">
        <f t="shared" si="3"/>
        <v>0.05</v>
      </c>
      <c r="L20" s="51"/>
      <c r="M20" s="27"/>
      <c r="N20" s="23"/>
      <c r="O20" s="24"/>
      <c r="P20" s="25"/>
      <c r="Q20" s="26"/>
      <c r="R20" s="24"/>
      <c r="S20" s="25"/>
      <c r="T20" s="26"/>
    </row>
    <row r="21" spans="1:22" x14ac:dyDescent="0.2">
      <c r="A21" s="1">
        <f t="shared" si="1"/>
        <v>12</v>
      </c>
      <c r="F21" s="20"/>
      <c r="G21" s="20"/>
      <c r="H21" s="20"/>
      <c r="J21" s="24"/>
      <c r="K21" s="24"/>
      <c r="L21" s="53"/>
      <c r="M21" s="27" t="s">
        <v>35</v>
      </c>
      <c r="N21" s="23">
        <v>109.08</v>
      </c>
      <c r="O21" s="24"/>
      <c r="P21" s="54">
        <f>+'Rate Design (Kro)'!H80</f>
        <v>218.16</v>
      </c>
      <c r="Q21" s="26">
        <f t="shared" ref="Q21:Q26" si="4">(P21-N21)/N21</f>
        <v>1</v>
      </c>
      <c r="R21" s="24"/>
      <c r="S21" s="54">
        <f>+'Rate Design (Kro)'!I80</f>
        <v>436.32</v>
      </c>
      <c r="T21" s="26">
        <f t="shared" ref="T21:T26" si="5">(S21-P21)/P21</f>
        <v>1</v>
      </c>
    </row>
    <row r="22" spans="1:22" x14ac:dyDescent="0.2">
      <c r="A22" s="1">
        <f t="shared" si="1"/>
        <v>13</v>
      </c>
      <c r="B22" s="1">
        <f>+B20+100</f>
        <v>600</v>
      </c>
      <c r="C22" s="1">
        <v>300</v>
      </c>
      <c r="D22" s="19">
        <f>ROUND((B$22*C22),0)</f>
        <v>180000</v>
      </c>
      <c r="F22" s="20">
        <f>+N$10+$B22*N$16+$D22*N$12</f>
        <v>20886.520200000003</v>
      </c>
      <c r="G22" s="20">
        <f>+P$10+$B22*P$16+$D22*P$12</f>
        <v>23775.054028429076</v>
      </c>
      <c r="H22" s="20">
        <f>+S$10+$B22*S$16+$D22*S$12</f>
        <v>26507.979549295997</v>
      </c>
      <c r="J22" s="21">
        <f t="shared" ref="J22:K24" si="6">ROUND((+G22-F22)/F22,3)</f>
        <v>0.13800000000000001</v>
      </c>
      <c r="K22" s="21">
        <f t="shared" si="6"/>
        <v>0.115</v>
      </c>
      <c r="L22" s="51"/>
      <c r="M22" s="27" t="s">
        <v>36</v>
      </c>
      <c r="N22" s="30">
        <v>5.7457000000000001E-2</v>
      </c>
      <c r="O22" s="24"/>
      <c r="P22" s="55">
        <f>+'Rate Design (Kro)'!H82</f>
        <v>7.1114166215229507E-2</v>
      </c>
      <c r="Q22" s="26">
        <f t="shared" si="4"/>
        <v>0.23769368771828508</v>
      </c>
      <c r="R22" s="24"/>
      <c r="S22" s="55">
        <f>+'Rate Design (Kro)'!I82</f>
        <v>6.8453228055838283E-2</v>
      </c>
      <c r="T22" s="26">
        <f t="shared" si="5"/>
        <v>-3.7417835306369225E-2</v>
      </c>
    </row>
    <row r="23" spans="1:22" x14ac:dyDescent="0.2">
      <c r="A23" s="1">
        <f t="shared" si="1"/>
        <v>14</v>
      </c>
      <c r="B23" s="1">
        <f>+B22</f>
        <v>600</v>
      </c>
      <c r="C23" s="1">
        <v>500</v>
      </c>
      <c r="D23" s="19">
        <f>ROUND((B$22*C23),0)</f>
        <v>300000</v>
      </c>
      <c r="F23" s="20">
        <f>+N$10+$B23*N$16+$D23*N$12</f>
        <v>30676.360200000006</v>
      </c>
      <c r="G23" s="20">
        <f>+P$10+$B23*P$16+$D23*P$12</f>
        <v>33911.183126627075</v>
      </c>
      <c r="H23" s="20">
        <f>+S$10+$B23*S$16+$D23*S$12</f>
        <v>36348.178287851049</v>
      </c>
      <c r="J23" s="21">
        <f t="shared" si="6"/>
        <v>0.105</v>
      </c>
      <c r="K23" s="21">
        <f t="shared" si="6"/>
        <v>7.1999999999999995E-2</v>
      </c>
      <c r="L23" s="51"/>
      <c r="M23" s="22" t="s">
        <v>37</v>
      </c>
      <c r="N23" s="23">
        <v>12.23</v>
      </c>
      <c r="O23" s="24"/>
      <c r="P23" s="54">
        <f>+'Rate Design (Kro)'!H88</f>
        <v>16.265900000000002</v>
      </c>
      <c r="Q23" s="26">
        <f t="shared" si="4"/>
        <v>0.33000000000000013</v>
      </c>
      <c r="R23" s="24"/>
      <c r="S23" s="54">
        <f>+'Rate Design (Kro)'!I88</f>
        <v>21.633647000000003</v>
      </c>
      <c r="T23" s="26">
        <f t="shared" si="5"/>
        <v>0.33000000000000007</v>
      </c>
    </row>
    <row r="24" spans="1:22" x14ac:dyDescent="0.2">
      <c r="A24" s="1">
        <f t="shared" si="1"/>
        <v>15</v>
      </c>
      <c r="B24" s="1">
        <f>+B23</f>
        <v>600</v>
      </c>
      <c r="C24" s="1">
        <v>700</v>
      </c>
      <c r="D24" s="19">
        <f>ROUND((B$22*C24),0)</f>
        <v>420000</v>
      </c>
      <c r="F24" s="20">
        <f>+N$10+$B24*N$16+$D24*N$12</f>
        <v>40466.200200000007</v>
      </c>
      <c r="G24" s="20">
        <f>+P$10+$B24*P$16+$D24*P$12</f>
        <v>44047.312224825073</v>
      </c>
      <c r="H24" s="20">
        <f>+S$10+$B24*S$16+$D24*S$12</f>
        <v>46188.37702640611</v>
      </c>
      <c r="J24" s="21">
        <f t="shared" si="6"/>
        <v>8.7999999999999995E-2</v>
      </c>
      <c r="K24" s="21">
        <f t="shared" si="6"/>
        <v>4.9000000000000002E-2</v>
      </c>
      <c r="L24" s="51"/>
      <c r="M24" s="22" t="s">
        <v>38</v>
      </c>
      <c r="N24" s="23">
        <v>8.15</v>
      </c>
      <c r="O24" s="24"/>
      <c r="P24" s="54">
        <f>+'Rate Design (Kro)'!H89</f>
        <v>10.839500000000001</v>
      </c>
      <c r="Q24" s="26">
        <f t="shared" si="4"/>
        <v>0.33000000000000007</v>
      </c>
      <c r="R24" s="24"/>
      <c r="S24" s="54">
        <f>+'Rate Design (Kro)'!I89</f>
        <v>14.416535000000001</v>
      </c>
      <c r="T24" s="26">
        <f t="shared" si="5"/>
        <v>0.33</v>
      </c>
    </row>
    <row r="25" spans="1:22" x14ac:dyDescent="0.2">
      <c r="A25" s="1">
        <f t="shared" si="1"/>
        <v>16</v>
      </c>
      <c r="F25" s="20"/>
      <c r="G25" s="20"/>
      <c r="H25" s="20"/>
      <c r="J25" s="24"/>
      <c r="K25" s="24"/>
      <c r="L25" s="53"/>
      <c r="M25" s="22" t="s">
        <v>39</v>
      </c>
      <c r="N25" s="23">
        <v>10.15</v>
      </c>
      <c r="O25" s="24"/>
      <c r="P25" s="54">
        <f>AVERAGE(P23:P24)*'Sch 26 Bill Impact (PSE)'!P25/AVERAGE('Sch 26 Bill Impact (PSE)'!P23:P24)</f>
        <v>13.920924301886792</v>
      </c>
      <c r="Q25" s="26">
        <f t="shared" si="4"/>
        <v>0.37151963565387114</v>
      </c>
      <c r="R25" s="24"/>
      <c r="S25" s="54">
        <f>AVERAGE(S23:S24)*'Sch 26 Bill Impact (PSE)'!S25/AVERAGE('Sch 26 Bill Impact (PSE)'!S23:S24)</f>
        <v>18.852026069105698</v>
      </c>
      <c r="T25" s="26">
        <f t="shared" si="5"/>
        <v>0.35422229589672871</v>
      </c>
      <c r="U25" s="56"/>
      <c r="V25" s="56"/>
    </row>
    <row r="26" spans="1:22" x14ac:dyDescent="0.2">
      <c r="A26" s="1">
        <f t="shared" si="1"/>
        <v>17</v>
      </c>
      <c r="B26" s="1">
        <f>+B24+100</f>
        <v>700</v>
      </c>
      <c r="C26" s="1">
        <v>300</v>
      </c>
      <c r="D26" s="19">
        <f>ROUND((B$26*C26),0)</f>
        <v>210000</v>
      </c>
      <c r="F26" s="20">
        <f>+N$10+$B26*N$16+$D26*N$12</f>
        <v>24349.426900000006</v>
      </c>
      <c r="G26" s="20">
        <f>+P$10+$B26*P$16+$D26*P$12</f>
        <v>27701.203033167254</v>
      </c>
      <c r="H26" s="20">
        <f>+S$10+$B26*S$16+$D26*S$12</f>
        <v>30853.256140845333</v>
      </c>
      <c r="J26" s="21">
        <f t="shared" ref="J26:K28" si="7">ROUND((+G26-F26)/F26,3)</f>
        <v>0.13800000000000001</v>
      </c>
      <c r="K26" s="21">
        <f t="shared" si="7"/>
        <v>0.114</v>
      </c>
      <c r="L26" s="51"/>
      <c r="M26" s="22" t="s">
        <v>40</v>
      </c>
      <c r="N26" s="32">
        <v>1.2999999999999999E-3</v>
      </c>
      <c r="O26" s="33"/>
      <c r="P26" s="34">
        <v>1.6900000000000001E-3</v>
      </c>
      <c r="Q26" s="26">
        <f t="shared" si="4"/>
        <v>0.30000000000000016</v>
      </c>
      <c r="R26" s="33"/>
      <c r="S26" s="34">
        <v>2.2000000000000001E-3</v>
      </c>
      <c r="T26" s="26">
        <f t="shared" si="5"/>
        <v>0.30177514792899407</v>
      </c>
    </row>
    <row r="27" spans="1:22" x14ac:dyDescent="0.2">
      <c r="A27" s="1">
        <f t="shared" si="1"/>
        <v>18</v>
      </c>
      <c r="B27" s="1">
        <f>+B26</f>
        <v>700</v>
      </c>
      <c r="C27" s="1">
        <v>500</v>
      </c>
      <c r="D27" s="19">
        <f>ROUND((B$26*C27),0)</f>
        <v>350000</v>
      </c>
      <c r="F27" s="20">
        <f>+N$10+$B27*N$16+$D27*N$12</f>
        <v>35770.906900000002</v>
      </c>
      <c r="G27" s="20">
        <f>+P$10+$B27*P$16+$D27*P$12</f>
        <v>39526.686981064922</v>
      </c>
      <c r="H27" s="20">
        <f>+S$10+$B27*S$16+$D27*S$12</f>
        <v>42333.488002492893</v>
      </c>
      <c r="J27" s="21">
        <f t="shared" si="7"/>
        <v>0.105</v>
      </c>
      <c r="K27" s="21">
        <f t="shared" si="7"/>
        <v>7.0999999999999994E-2</v>
      </c>
      <c r="L27" s="51"/>
      <c r="M27" s="22"/>
      <c r="N27" s="35"/>
      <c r="P27" s="22"/>
      <c r="Q27" s="35"/>
      <c r="S27" s="22"/>
      <c r="T27" s="35"/>
    </row>
    <row r="28" spans="1:22" x14ac:dyDescent="0.2">
      <c r="A28" s="1">
        <f t="shared" si="1"/>
        <v>19</v>
      </c>
      <c r="B28" s="1">
        <f>+B27</f>
        <v>700</v>
      </c>
      <c r="C28" s="1">
        <v>700</v>
      </c>
      <c r="D28" s="19">
        <f>ROUND((B$26*C28),0)</f>
        <v>490000</v>
      </c>
      <c r="F28" s="20">
        <f>+N$10+$B28*N$16+$D28*N$12</f>
        <v>47192.386900000005</v>
      </c>
      <c r="G28" s="20">
        <f>+P$10+$B28*P$16+$D28*P$12</f>
        <v>51352.170928962594</v>
      </c>
      <c r="H28" s="20">
        <f>+S$10+$B28*S$16+$D28*S$12</f>
        <v>53813.719864140454</v>
      </c>
      <c r="J28" s="21">
        <f t="shared" si="7"/>
        <v>8.7999999999999995E-2</v>
      </c>
      <c r="K28" s="21">
        <f t="shared" si="7"/>
        <v>4.8000000000000001E-2</v>
      </c>
      <c r="L28" s="51"/>
      <c r="M28" s="36" t="s">
        <v>47</v>
      </c>
      <c r="N28" s="30">
        <v>7.0130000000000001E-3</v>
      </c>
      <c r="O28" s="24"/>
      <c r="P28" s="31">
        <v>0</v>
      </c>
      <c r="Q28" s="26"/>
      <c r="R28" s="24"/>
      <c r="S28" s="31">
        <v>0</v>
      </c>
      <c r="T28" s="26"/>
    </row>
    <row r="29" spans="1:22" x14ac:dyDescent="0.2">
      <c r="A29" s="1">
        <f t="shared" si="1"/>
        <v>20</v>
      </c>
      <c r="F29" s="20"/>
      <c r="G29" s="20"/>
      <c r="H29" s="20"/>
      <c r="J29" s="24"/>
      <c r="K29" s="24"/>
      <c r="L29" s="53"/>
      <c r="M29" s="36" t="s">
        <v>48</v>
      </c>
      <c r="N29" s="30">
        <v>3.2260000000000001E-3</v>
      </c>
      <c r="O29" s="24"/>
      <c r="P29" s="31">
        <v>3.2260000000000001E-3</v>
      </c>
      <c r="Q29" s="26"/>
      <c r="R29" s="24"/>
      <c r="S29" s="31">
        <v>3.2260000000000001E-3</v>
      </c>
      <c r="T29" s="26"/>
    </row>
    <row r="30" spans="1:22" x14ac:dyDescent="0.2">
      <c r="A30" s="1">
        <f t="shared" si="1"/>
        <v>21</v>
      </c>
      <c r="B30" s="1">
        <f>+B28+100</f>
        <v>800</v>
      </c>
      <c r="C30" s="1">
        <v>300</v>
      </c>
      <c r="D30" s="19">
        <f>ROUND((B$30*C30),0)</f>
        <v>240000</v>
      </c>
      <c r="F30" s="20">
        <f>+N$10+$B30*N$16+$D30*N$12</f>
        <v>27812.333600000005</v>
      </c>
      <c r="G30" s="20">
        <f>+P$10+$B30*P$16+$D30*P$12</f>
        <v>31627.352037905439</v>
      </c>
      <c r="H30" s="20">
        <f>+S$10+$B30*S$16+$D30*S$12</f>
        <v>35198.532732394662</v>
      </c>
      <c r="J30" s="21">
        <f t="shared" ref="J30:K32" si="8">ROUND((+G30-F30)/F30,3)</f>
        <v>0.13700000000000001</v>
      </c>
      <c r="K30" s="21">
        <f t="shared" si="8"/>
        <v>0.113</v>
      </c>
      <c r="L30" s="51"/>
      <c r="M30" s="36" t="s">
        <v>49</v>
      </c>
      <c r="N30" s="30">
        <v>0</v>
      </c>
      <c r="O30" s="24"/>
      <c r="P30" s="31">
        <v>0</v>
      </c>
      <c r="Q30" s="26"/>
      <c r="R30" s="24"/>
      <c r="S30" s="31">
        <v>0</v>
      </c>
      <c r="T30" s="26"/>
    </row>
    <row r="31" spans="1:22" x14ac:dyDescent="0.2">
      <c r="A31" s="1">
        <f t="shared" si="1"/>
        <v>22</v>
      </c>
      <c r="B31" s="1">
        <f>+B30</f>
        <v>800</v>
      </c>
      <c r="C31" s="1">
        <v>500</v>
      </c>
      <c r="D31" s="19">
        <f>ROUND((B$30*C31),0)</f>
        <v>400000</v>
      </c>
      <c r="F31" s="20">
        <f>+N$10+$B31*N$16+$D31*N$12</f>
        <v>40865.453600000008</v>
      </c>
      <c r="G31" s="20">
        <f>+P$10+$B31*P$16+$D31*P$12</f>
        <v>45142.19083550277</v>
      </c>
      <c r="H31" s="20">
        <f>+S$10+$B31*S$16+$D31*S$12</f>
        <v>48318.797717134737</v>
      </c>
      <c r="J31" s="21">
        <f t="shared" si="8"/>
        <v>0.105</v>
      </c>
      <c r="K31" s="21">
        <f t="shared" si="8"/>
        <v>7.0000000000000007E-2</v>
      </c>
      <c r="L31" s="51"/>
      <c r="M31" s="36" t="s">
        <v>50</v>
      </c>
      <c r="N31" s="30">
        <v>3.9810000000000002E-3</v>
      </c>
      <c r="P31" s="31">
        <v>3.9810000000000002E-3</v>
      </c>
      <c r="Q31" s="35"/>
      <c r="S31" s="31">
        <v>3.9810000000000002E-3</v>
      </c>
      <c r="T31" s="35"/>
    </row>
    <row r="32" spans="1:22" x14ac:dyDescent="0.2">
      <c r="A32" s="1">
        <f t="shared" si="1"/>
        <v>23</v>
      </c>
      <c r="B32" s="1">
        <f>+B31</f>
        <v>800</v>
      </c>
      <c r="C32" s="1">
        <v>700</v>
      </c>
      <c r="D32" s="19">
        <f>ROUND((B$30*C32),0)</f>
        <v>560000</v>
      </c>
      <c r="F32" s="20">
        <f>+N$10+$B32*N$16+$D32*N$12</f>
        <v>53918.573600000003</v>
      </c>
      <c r="G32" s="20">
        <f>+P$10+$B32*P$16+$D32*P$12</f>
        <v>58657.029633100108</v>
      </c>
      <c r="H32" s="20">
        <f>+S$10+$B32*S$16+$D32*S$12</f>
        <v>61439.062701874805</v>
      </c>
      <c r="J32" s="21">
        <f t="shared" si="8"/>
        <v>8.7999999999999995E-2</v>
      </c>
      <c r="K32" s="21">
        <f t="shared" si="8"/>
        <v>4.7E-2</v>
      </c>
      <c r="L32" s="51"/>
      <c r="M32" s="36" t="s">
        <v>51</v>
      </c>
      <c r="N32" s="30">
        <v>1.1230000000000001E-3</v>
      </c>
      <c r="O32" s="24"/>
      <c r="P32" s="31">
        <v>1.1230000000000001E-3</v>
      </c>
      <c r="Q32" s="26"/>
      <c r="R32" s="24"/>
      <c r="S32" s="31">
        <v>1.1230000000000001E-3</v>
      </c>
      <c r="T32" s="26"/>
    </row>
    <row r="33" spans="1:20" x14ac:dyDescent="0.2">
      <c r="A33" s="1">
        <f t="shared" si="1"/>
        <v>24</v>
      </c>
      <c r="F33" s="20"/>
      <c r="G33" s="20"/>
      <c r="H33" s="20"/>
      <c r="J33" s="24"/>
      <c r="K33" s="24"/>
      <c r="L33" s="53"/>
      <c r="M33" s="36" t="s">
        <v>52</v>
      </c>
      <c r="N33" s="30">
        <v>4.7800000000000002E-4</v>
      </c>
      <c r="O33" s="24"/>
      <c r="P33" s="31">
        <v>4.7800000000000002E-4</v>
      </c>
      <c r="Q33" s="26"/>
      <c r="R33" s="24"/>
      <c r="S33" s="31">
        <v>4.7800000000000002E-4</v>
      </c>
      <c r="T33" s="26"/>
    </row>
    <row r="34" spans="1:20" x14ac:dyDescent="0.2">
      <c r="A34" s="1">
        <f t="shared" si="1"/>
        <v>25</v>
      </c>
      <c r="B34" s="1">
        <f>+B32+200</f>
        <v>1000</v>
      </c>
      <c r="C34" s="1">
        <v>300</v>
      </c>
      <c r="D34" s="19">
        <f>ROUND((B$34*C34),0)</f>
        <v>300000</v>
      </c>
      <c r="F34" s="20">
        <f>+N$10+$B34*N$16+$D34*N$12</f>
        <v>34738.147000000004</v>
      </c>
      <c r="G34" s="20">
        <f>+P$10+$B34*P$16+$D34*P$12</f>
        <v>39479.650047381794</v>
      </c>
      <c r="H34" s="20">
        <f>+S$10+$B34*S$16+$D34*S$12</f>
        <v>43889.085915493328</v>
      </c>
      <c r="J34" s="21">
        <f t="shared" ref="J34:K36" si="9">ROUND((+G34-F34)/F34,3)</f>
        <v>0.13600000000000001</v>
      </c>
      <c r="K34" s="21">
        <f t="shared" si="9"/>
        <v>0.112</v>
      </c>
      <c r="L34" s="51"/>
      <c r="M34" s="36" t="s">
        <v>53</v>
      </c>
      <c r="N34" s="30">
        <v>6.0000000000000002E-6</v>
      </c>
      <c r="O34" s="24"/>
      <c r="P34" s="31">
        <v>0</v>
      </c>
      <c r="Q34" s="26"/>
      <c r="R34" s="24"/>
      <c r="S34" s="31">
        <v>0</v>
      </c>
      <c r="T34" s="26"/>
    </row>
    <row r="35" spans="1:20" x14ac:dyDescent="0.2">
      <c r="A35" s="1">
        <f t="shared" si="1"/>
        <v>26</v>
      </c>
      <c r="B35" s="1">
        <f>+B34</f>
        <v>1000</v>
      </c>
      <c r="C35" s="1">
        <v>500</v>
      </c>
      <c r="D35" s="19">
        <f>ROUND((B$34*C35),0)</f>
        <v>500000</v>
      </c>
      <c r="F35" s="20">
        <f>+N$10+$B35*N$16+$D35*N$12</f>
        <v>51054.547000000006</v>
      </c>
      <c r="G35" s="20">
        <f>+P$10+$B35*P$16+$D35*P$12</f>
        <v>56373.198544378465</v>
      </c>
      <c r="H35" s="20">
        <f>+S$10+$B35*S$16+$D35*S$12</f>
        <v>60289.417146418418</v>
      </c>
      <c r="J35" s="21">
        <f t="shared" si="9"/>
        <v>0.104</v>
      </c>
      <c r="K35" s="21">
        <f t="shared" si="9"/>
        <v>6.9000000000000006E-2</v>
      </c>
      <c r="L35" s="51"/>
      <c r="M35" s="36" t="s">
        <v>54</v>
      </c>
      <c r="N35" s="30">
        <v>1.7149999999999999E-3</v>
      </c>
      <c r="O35" s="24"/>
      <c r="P35" s="31">
        <v>1.7149999999999999E-3</v>
      </c>
      <c r="Q35" s="26"/>
      <c r="R35" s="24"/>
      <c r="S35" s="31">
        <v>1.7149999999999999E-3</v>
      </c>
      <c r="T35" s="26"/>
    </row>
    <row r="36" spans="1:20" x14ac:dyDescent="0.2">
      <c r="A36" s="1">
        <f t="shared" si="1"/>
        <v>27</v>
      </c>
      <c r="B36" s="1">
        <f>+B35</f>
        <v>1000</v>
      </c>
      <c r="C36" s="1">
        <v>700</v>
      </c>
      <c r="D36" s="19">
        <f>ROUND((B$34*C36),0)</f>
        <v>700000</v>
      </c>
      <c r="F36" s="20">
        <f>+N$10+$B36*N$16+$D36*N$12</f>
        <v>67370.947000000015</v>
      </c>
      <c r="G36" s="20">
        <f>+P$10+$B36*P$16+$D36*P$12</f>
        <v>73266.747041375129</v>
      </c>
      <c r="H36" s="20">
        <f>+S$10+$B36*S$16+$D36*S$12</f>
        <v>76689.748377343509</v>
      </c>
      <c r="J36" s="21">
        <f t="shared" si="9"/>
        <v>8.7999999999999995E-2</v>
      </c>
      <c r="K36" s="21">
        <f t="shared" si="9"/>
        <v>4.7E-2</v>
      </c>
      <c r="L36" s="51"/>
      <c r="M36" s="36" t="s">
        <v>55</v>
      </c>
      <c r="N36" s="30">
        <v>0</v>
      </c>
      <c r="O36" s="24"/>
      <c r="P36" s="31">
        <v>0</v>
      </c>
      <c r="Q36" s="26"/>
      <c r="R36" s="24"/>
      <c r="S36" s="31">
        <v>0</v>
      </c>
      <c r="T36" s="26"/>
    </row>
    <row r="37" spans="1:20" x14ac:dyDescent="0.2">
      <c r="A37" s="1">
        <f t="shared" si="1"/>
        <v>28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M37" s="36" t="s">
        <v>56</v>
      </c>
      <c r="N37" s="30">
        <v>1.549E-3</v>
      </c>
      <c r="P37" s="31">
        <v>1.549E-3</v>
      </c>
      <c r="Q37" s="35"/>
      <c r="S37" s="31">
        <v>1.549E-3</v>
      </c>
      <c r="T37" s="35"/>
    </row>
    <row r="38" spans="1:20" x14ac:dyDescent="0.2">
      <c r="A38" s="1">
        <f t="shared" si="1"/>
        <v>29</v>
      </c>
      <c r="M38" s="36" t="s">
        <v>57</v>
      </c>
      <c r="N38" s="30">
        <v>6.02E-4</v>
      </c>
      <c r="O38" s="24"/>
      <c r="P38" s="31">
        <v>0</v>
      </c>
      <c r="Q38" s="26"/>
      <c r="R38" s="24"/>
      <c r="S38" s="31">
        <v>0</v>
      </c>
      <c r="T38" s="26"/>
    </row>
    <row r="39" spans="1:20" x14ac:dyDescent="0.2">
      <c r="A39" s="1">
        <f t="shared" si="1"/>
        <v>30</v>
      </c>
      <c r="J39" s="21"/>
      <c r="K39" s="21"/>
      <c r="L39" s="21"/>
      <c r="M39" s="36" t="s">
        <v>58</v>
      </c>
      <c r="N39" s="30">
        <v>0</v>
      </c>
      <c r="O39" s="24"/>
      <c r="P39" s="31">
        <v>8.4571042049831472E-4</v>
      </c>
      <c r="Q39" s="26"/>
      <c r="R39" s="24"/>
      <c r="S39" s="31">
        <v>1.0409348891093082E-3</v>
      </c>
      <c r="T39" s="26"/>
    </row>
    <row r="40" spans="1:20" x14ac:dyDescent="0.2">
      <c r="A40" s="1">
        <f t="shared" si="1"/>
        <v>31</v>
      </c>
      <c r="B40" s="57"/>
      <c r="C40" s="57"/>
      <c r="D40" s="57"/>
      <c r="E40" s="57"/>
      <c r="F40" s="57"/>
      <c r="G40" s="57"/>
      <c r="H40" s="57"/>
      <c r="I40" s="57"/>
      <c r="J40" s="58"/>
      <c r="K40" s="59"/>
      <c r="L40" s="59"/>
      <c r="M40" s="36" t="s">
        <v>59</v>
      </c>
      <c r="N40" s="30">
        <v>0</v>
      </c>
      <c r="O40" s="24"/>
      <c r="P40" s="31">
        <v>1.7865849255524671E-5</v>
      </c>
      <c r="Q40" s="26"/>
      <c r="R40" s="24"/>
      <c r="S40" s="31">
        <v>1.7493209677852782E-5</v>
      </c>
      <c r="T40" s="26"/>
    </row>
    <row r="41" spans="1:20" x14ac:dyDescent="0.2">
      <c r="A41" s="1">
        <f t="shared" si="1"/>
        <v>32</v>
      </c>
      <c r="B41" s="282"/>
      <c r="C41" s="282"/>
      <c r="D41" s="282"/>
      <c r="E41" s="282"/>
      <c r="F41" s="282"/>
      <c r="G41" s="282"/>
      <c r="H41" s="282"/>
      <c r="I41" s="282"/>
      <c r="J41" s="282"/>
      <c r="K41" s="38"/>
      <c r="L41" s="38"/>
      <c r="M41" s="36" t="s">
        <v>60</v>
      </c>
      <c r="N41" s="30">
        <v>4.1800000000000002E-4</v>
      </c>
      <c r="P41" s="31">
        <v>4.1800000000000002E-4</v>
      </c>
      <c r="Q41" s="35"/>
      <c r="S41" s="31">
        <v>4.1800000000000002E-4</v>
      </c>
      <c r="T41" s="35"/>
    </row>
    <row r="42" spans="1:20" x14ac:dyDescent="0.2">
      <c r="A42" s="1">
        <f t="shared" si="1"/>
        <v>33</v>
      </c>
      <c r="B42" s="282"/>
      <c r="C42" s="282"/>
      <c r="D42" s="282"/>
      <c r="E42" s="282"/>
      <c r="F42" s="282"/>
      <c r="G42" s="282"/>
      <c r="H42" s="282"/>
      <c r="I42" s="282"/>
      <c r="J42" s="282"/>
      <c r="K42" s="38"/>
      <c r="L42" s="38"/>
      <c r="M42" s="36" t="s">
        <v>61</v>
      </c>
      <c r="N42" s="30">
        <v>4.2240000000000003E-3</v>
      </c>
      <c r="O42" s="24"/>
      <c r="P42" s="31">
        <v>0</v>
      </c>
      <c r="Q42" s="26"/>
      <c r="R42" s="24"/>
      <c r="S42" s="31">
        <v>0</v>
      </c>
      <c r="T42" s="26"/>
    </row>
    <row r="43" spans="1:20" x14ac:dyDescent="0.2">
      <c r="A43" s="1">
        <f t="shared" si="1"/>
        <v>34</v>
      </c>
      <c r="B43" s="282"/>
      <c r="C43" s="282"/>
      <c r="D43" s="282"/>
      <c r="E43" s="282"/>
      <c r="F43" s="282"/>
      <c r="G43" s="282"/>
      <c r="H43" s="282"/>
      <c r="I43" s="282"/>
      <c r="J43" s="282"/>
      <c r="K43" s="38"/>
      <c r="L43" s="38"/>
      <c r="M43" s="36" t="s">
        <v>62</v>
      </c>
      <c r="N43" s="30">
        <v>4.0140000000000002E-3</v>
      </c>
      <c r="O43" s="24"/>
      <c r="P43" s="31">
        <v>0</v>
      </c>
      <c r="Q43" s="26"/>
      <c r="R43" s="24"/>
      <c r="S43" s="31">
        <v>0</v>
      </c>
      <c r="T43" s="26"/>
    </row>
    <row r="44" spans="1:20" x14ac:dyDescent="0.2">
      <c r="A44" s="1">
        <f t="shared" si="1"/>
        <v>35</v>
      </c>
      <c r="M44" s="36" t="s">
        <v>63</v>
      </c>
      <c r="N44" s="30">
        <v>2.43E-4</v>
      </c>
      <c r="O44" s="24"/>
      <c r="P44" s="31">
        <v>2.43E-4</v>
      </c>
      <c r="Q44" s="26"/>
      <c r="R44" s="24"/>
      <c r="S44" s="31">
        <v>2.43E-4</v>
      </c>
      <c r="T44" s="26"/>
    </row>
    <row r="45" spans="1:20" x14ac:dyDescent="0.2">
      <c r="A45" s="1">
        <f t="shared" si="1"/>
        <v>36</v>
      </c>
      <c r="M45" s="36" t="s">
        <v>64</v>
      </c>
      <c r="N45" s="30">
        <v>0</v>
      </c>
      <c r="P45" s="31">
        <v>1.0480251758214365E-5</v>
      </c>
      <c r="Q45" s="35"/>
      <c r="S45" s="31">
        <v>1.2812059099364239E-5</v>
      </c>
      <c r="T45" s="35"/>
    </row>
    <row r="46" spans="1:20" x14ac:dyDescent="0.2">
      <c r="A46" s="1">
        <f t="shared" si="1"/>
        <v>37</v>
      </c>
      <c r="M46" s="36" t="s">
        <v>65</v>
      </c>
      <c r="N46" s="30">
        <v>0</v>
      </c>
      <c r="O46" s="38"/>
      <c r="P46" s="31">
        <v>0</v>
      </c>
      <c r="Q46" s="39"/>
      <c r="R46" s="38"/>
      <c r="S46" s="31">
        <v>0</v>
      </c>
      <c r="T46" s="39"/>
    </row>
    <row r="47" spans="1:20" x14ac:dyDescent="0.2">
      <c r="A47" s="1">
        <f t="shared" si="1"/>
        <v>38</v>
      </c>
      <c r="M47" s="36" t="s">
        <v>66</v>
      </c>
      <c r="N47" s="30">
        <v>0</v>
      </c>
      <c r="O47" s="38"/>
      <c r="P47" s="31">
        <v>0</v>
      </c>
      <c r="Q47" s="39"/>
      <c r="R47" s="38"/>
      <c r="S47" s="31">
        <v>0</v>
      </c>
      <c r="T47" s="39"/>
    </row>
    <row r="48" spans="1:20" x14ac:dyDescent="0.2">
      <c r="A48" s="1">
        <f t="shared" si="1"/>
        <v>39</v>
      </c>
      <c r="B48" s="40"/>
      <c r="M48" s="36" t="s">
        <v>67</v>
      </c>
      <c r="N48" s="30">
        <v>4.8200000000000001E-4</v>
      </c>
      <c r="O48" s="38"/>
      <c r="P48" s="31">
        <v>4.8200000000000001E-4</v>
      </c>
      <c r="Q48" s="39"/>
      <c r="R48" s="38"/>
      <c r="S48" s="31">
        <v>4.8200000000000001E-4</v>
      </c>
      <c r="T48" s="39"/>
    </row>
    <row r="49" spans="1:20" x14ac:dyDescent="0.2">
      <c r="A49" s="1">
        <f t="shared" si="1"/>
        <v>40</v>
      </c>
      <c r="M49" s="36" t="s">
        <v>68</v>
      </c>
      <c r="N49" s="30">
        <v>0</v>
      </c>
      <c r="O49" s="38"/>
      <c r="P49" s="31">
        <v>0</v>
      </c>
      <c r="Q49" s="39"/>
      <c r="R49" s="38"/>
      <c r="S49" s="31">
        <v>0</v>
      </c>
      <c r="T49" s="39"/>
    </row>
    <row r="50" spans="1:20" x14ac:dyDescent="0.2">
      <c r="A50" s="1">
        <f t="shared" si="1"/>
        <v>41</v>
      </c>
      <c r="M50" s="36" t="s">
        <v>69</v>
      </c>
      <c r="N50" s="41" t="s">
        <v>42</v>
      </c>
      <c r="O50" s="38"/>
      <c r="P50" s="31"/>
      <c r="Q50" s="39"/>
      <c r="R50" s="38"/>
      <c r="S50" s="31"/>
      <c r="T50" s="39"/>
    </row>
    <row r="51" spans="1:20" ht="12" thickBot="1" x14ac:dyDescent="0.25">
      <c r="A51" s="1">
        <f t="shared" si="1"/>
        <v>42</v>
      </c>
      <c r="M51" s="42" t="s">
        <v>43</v>
      </c>
      <c r="N51" s="43">
        <f>SUM(N28:N50)+N22</f>
        <v>8.6530999999999997E-2</v>
      </c>
      <c r="P51" s="44">
        <f>SUM(P28:P50)+P22</f>
        <v>8.5203222736741566E-2</v>
      </c>
      <c r="Q51" s="39"/>
      <c r="S51" s="44">
        <f>SUM(S28:S50)+S22</f>
        <v>8.2739468213724812E-2</v>
      </c>
      <c r="T51" s="39"/>
    </row>
    <row r="52" spans="1:20" ht="12" thickTop="1" x14ac:dyDescent="0.2">
      <c r="A52" s="1">
        <f t="shared" si="1"/>
        <v>43</v>
      </c>
      <c r="M52" s="42"/>
      <c r="N52" s="45"/>
      <c r="P52" s="31"/>
      <c r="Q52" s="30"/>
      <c r="S52" s="31"/>
      <c r="T52" s="30"/>
    </row>
    <row r="53" spans="1:20" x14ac:dyDescent="0.2">
      <c r="A53" s="1">
        <f t="shared" si="1"/>
        <v>44</v>
      </c>
      <c r="M53" s="46" t="s">
        <v>44</v>
      </c>
      <c r="N53" s="47"/>
      <c r="P53" s="22"/>
      <c r="Q53" s="48">
        <v>0.1898196410159145</v>
      </c>
      <c r="S53" s="22"/>
      <c r="T53" s="48">
        <v>8.1844086033646971E-2</v>
      </c>
    </row>
    <row r="54" spans="1:20" x14ac:dyDescent="0.2">
      <c r="A54" s="1">
        <f t="shared" si="1"/>
        <v>45</v>
      </c>
      <c r="M54" s="46" t="s">
        <v>45</v>
      </c>
      <c r="N54" s="47"/>
      <c r="P54" s="22"/>
      <c r="Q54" s="48">
        <v>5.469144289009456E-2</v>
      </c>
      <c r="S54" s="22"/>
      <c r="T54" s="48">
        <v>8.9434898642828747E-2</v>
      </c>
    </row>
    <row r="55" spans="1:20" ht="12" thickBot="1" x14ac:dyDescent="0.25">
      <c r="A55" s="1">
        <f t="shared" si="1"/>
        <v>46</v>
      </c>
      <c r="M55" s="49" t="s">
        <v>46</v>
      </c>
      <c r="N55" s="50"/>
      <c r="P55" s="49"/>
      <c r="Q55" s="50"/>
      <c r="S55" s="49"/>
      <c r="T55" s="50"/>
    </row>
  </sheetData>
  <mergeCells count="12">
    <mergeCell ref="F7:H7"/>
    <mergeCell ref="J7:K7"/>
    <mergeCell ref="B41:J41"/>
    <mergeCell ref="B42:J42"/>
    <mergeCell ref="B43:J43"/>
    <mergeCell ref="A1:T1"/>
    <mergeCell ref="A2:T2"/>
    <mergeCell ref="A3:T3"/>
    <mergeCell ref="A4:T4"/>
    <mergeCell ref="F6:H6"/>
    <mergeCell ref="P6:Q6"/>
    <mergeCell ref="S6:T6"/>
  </mergeCells>
  <pageMargins left="0.7" right="0.7" top="0.75" bottom="0.75" header="0.3" footer="0.3"/>
  <pageSetup scale="38" orientation="landscape" horizontalDpi="360" verticalDpi="360" r:id="rId1"/>
  <headerFooter>
    <oddFooter>&amp;R&amp;F
&amp;A
&amp;P of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2A6C4-88D9-40D6-824B-A588E5B8DF53}">
  <dimension ref="A1:G7"/>
  <sheetViews>
    <sheetView workbookViewId="0">
      <selection activeCell="A13" sqref="A13"/>
    </sheetView>
  </sheetViews>
  <sheetFormatPr defaultRowHeight="15.75" x14ac:dyDescent="0.25"/>
  <cols>
    <col min="1" max="1" width="20.7109375" style="205" customWidth="1"/>
    <col min="2" max="2" width="9.140625" style="206"/>
    <col min="3" max="5" width="15.7109375" style="206" customWidth="1"/>
    <col min="6" max="16384" width="9.140625" style="205"/>
  </cols>
  <sheetData>
    <row r="1" spans="1:7" x14ac:dyDescent="0.25">
      <c r="A1" s="205" t="s">
        <v>238</v>
      </c>
    </row>
    <row r="3" spans="1:7" x14ac:dyDescent="0.25">
      <c r="B3" s="207" t="s">
        <v>221</v>
      </c>
      <c r="C3" s="207" t="s">
        <v>163</v>
      </c>
      <c r="D3" s="207" t="s">
        <v>5</v>
      </c>
      <c r="E3" s="207" t="s">
        <v>6</v>
      </c>
    </row>
    <row r="4" spans="1:7" x14ac:dyDescent="0.25">
      <c r="A4" s="205" t="s">
        <v>35</v>
      </c>
      <c r="B4" s="206" t="s">
        <v>222</v>
      </c>
      <c r="C4" s="208">
        <f>+'Rate Design (PSE)'!G80</f>
        <v>109.08</v>
      </c>
      <c r="D4" s="208">
        <f>+'Rate Design (PSE)'!H80</f>
        <v>141.804</v>
      </c>
      <c r="E4" s="208">
        <f>+'Rate Design (PSE)'!I80</f>
        <v>184.34520000000001</v>
      </c>
    </row>
    <row r="5" spans="1:7" x14ac:dyDescent="0.25">
      <c r="A5" s="205" t="s">
        <v>147</v>
      </c>
      <c r="B5" s="206" t="s">
        <v>12</v>
      </c>
      <c r="C5" s="209">
        <f>+'Rate Design (PSE)'!G82</f>
        <v>5.7457000000000001E-2</v>
      </c>
      <c r="D5" s="209">
        <f>+'Rate Design (PSE)'!H82</f>
        <v>7.2321288221106006E-2</v>
      </c>
      <c r="E5" s="209">
        <f>+'Rate Design (PSE)'!I82</f>
        <v>7.2172529847459185E-2</v>
      </c>
      <c r="F5" s="266"/>
      <c r="G5" s="266"/>
    </row>
    <row r="6" spans="1:7" x14ac:dyDescent="0.25">
      <c r="A6" s="205" t="s">
        <v>219</v>
      </c>
      <c r="B6" s="206" t="s">
        <v>223</v>
      </c>
      <c r="C6" s="208">
        <f>+'Rate Design (PSE)'!G88</f>
        <v>12.23</v>
      </c>
      <c r="D6" s="208">
        <f>+'Rate Design (PSE)'!H88</f>
        <v>15.899000000000001</v>
      </c>
      <c r="E6" s="208">
        <f>+'Rate Design (PSE)'!I88</f>
        <v>20.668700000000001</v>
      </c>
    </row>
    <row r="7" spans="1:7" x14ac:dyDescent="0.25">
      <c r="A7" s="205" t="s">
        <v>220</v>
      </c>
      <c r="B7" s="206" t="s">
        <v>223</v>
      </c>
      <c r="C7" s="208">
        <f>+'Rate Design (PSE)'!G89</f>
        <v>8.15</v>
      </c>
      <c r="D7" s="208">
        <f>+'Rate Design (PSE)'!H89</f>
        <v>10.595000000000001</v>
      </c>
      <c r="E7" s="208">
        <f>+'Rate Design (PSE)'!I89</f>
        <v>13.773500000000002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E2C54-B6C5-4837-AE4B-5AF926F93FDC}">
  <dimension ref="A1:E8"/>
  <sheetViews>
    <sheetView workbookViewId="0">
      <selection activeCell="K15" sqref="K15:K16"/>
    </sheetView>
  </sheetViews>
  <sheetFormatPr defaultRowHeight="15.75" x14ac:dyDescent="0.25"/>
  <cols>
    <col min="1" max="1" width="15.7109375" style="205" customWidth="1"/>
    <col min="2" max="4" width="15.7109375" style="206" customWidth="1"/>
    <col min="5" max="5" width="10.7109375" style="206" customWidth="1"/>
    <col min="6" max="6" width="10.7109375" style="205" customWidth="1"/>
    <col min="7" max="16384" width="9.140625" style="205"/>
  </cols>
  <sheetData>
    <row r="1" spans="1:5" x14ac:dyDescent="0.25">
      <c r="A1" s="205" t="s">
        <v>240</v>
      </c>
    </row>
    <row r="3" spans="1:5" x14ac:dyDescent="0.25">
      <c r="B3" s="205"/>
      <c r="C3" s="205"/>
      <c r="D3" s="205"/>
      <c r="E3" s="205"/>
    </row>
    <row r="4" spans="1:5" x14ac:dyDescent="0.25">
      <c r="A4" s="269"/>
      <c r="B4" s="207" t="s">
        <v>235</v>
      </c>
      <c r="C4" s="269" t="s">
        <v>5</v>
      </c>
      <c r="D4" s="269" t="s">
        <v>6</v>
      </c>
      <c r="E4" s="205"/>
    </row>
    <row r="5" spans="1:5" x14ac:dyDescent="0.25">
      <c r="A5" s="268" t="s">
        <v>73</v>
      </c>
      <c r="B5" s="210">
        <f>+'COS Class of Rev'!F26</f>
        <v>7.8929069198169902E-2</v>
      </c>
      <c r="C5" s="210">
        <f>+'Rate Design (PSE)'!X80</f>
        <v>8.6707951337581541E-3</v>
      </c>
      <c r="D5" s="210">
        <f>+'Rate Design (PSE)'!Z80</f>
        <v>1.174342989422995E-2</v>
      </c>
      <c r="E5" s="205"/>
    </row>
    <row r="6" spans="1:5" x14ac:dyDescent="0.25">
      <c r="A6" s="268" t="s">
        <v>72</v>
      </c>
      <c r="B6" s="210">
        <f>+'COS Class of Rev'!F25</f>
        <v>0.54245062208631811</v>
      </c>
      <c r="C6" s="210">
        <f>+'Rate Design (PSE)'!X81</f>
        <v>0.68890330451773607</v>
      </c>
      <c r="D6" s="210">
        <f>+'Rate Design (PSE)'!Z81</f>
        <v>0.62950616557194439</v>
      </c>
      <c r="E6" s="205"/>
    </row>
    <row r="7" spans="1:5" x14ac:dyDescent="0.25">
      <c r="A7" s="268" t="s">
        <v>71</v>
      </c>
      <c r="B7" s="210">
        <f>+'COS Class of Rev'!F24</f>
        <v>0.378620308715512</v>
      </c>
      <c r="C7" s="210">
        <f>+'Rate Design (PSE)'!X82</f>
        <v>0.30242590034850581</v>
      </c>
      <c r="D7" s="210">
        <f>+'Rate Design (PSE)'!Z82</f>
        <v>0.35875040453382573</v>
      </c>
      <c r="E7" s="205"/>
    </row>
    <row r="8" spans="1:5" x14ac:dyDescent="0.25">
      <c r="A8" s="268" t="s">
        <v>75</v>
      </c>
      <c r="B8" s="270">
        <f>SUM(B5:B7)</f>
        <v>1</v>
      </c>
      <c r="C8" s="270">
        <f t="shared" ref="C8:D8" si="0">SUM(C5:C7)</f>
        <v>1</v>
      </c>
      <c r="D8" s="270">
        <f t="shared" si="0"/>
        <v>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68D6B-F2E3-4317-9A5F-2CBECEFA569D}">
  <dimension ref="A1:G8"/>
  <sheetViews>
    <sheetView workbookViewId="0">
      <selection activeCell="E28" sqref="E28"/>
    </sheetView>
  </sheetViews>
  <sheetFormatPr defaultRowHeight="15.75" x14ac:dyDescent="0.25"/>
  <cols>
    <col min="1" max="1" width="17.42578125" style="205" customWidth="1"/>
    <col min="2" max="2" width="6" style="206" bestFit="1" customWidth="1"/>
    <col min="3" max="3" width="10.7109375" style="206" bestFit="1" customWidth="1"/>
    <col min="4" max="5" width="12.85546875" style="206" bestFit="1" customWidth="1"/>
    <col min="6" max="7" width="12.85546875" style="205" bestFit="1" customWidth="1"/>
    <col min="8" max="16384" width="9.140625" style="205"/>
  </cols>
  <sheetData>
    <row r="1" spans="1:7" x14ac:dyDescent="0.25">
      <c r="A1" s="205" t="s">
        <v>239</v>
      </c>
    </row>
    <row r="3" spans="1:7" x14ac:dyDescent="0.25">
      <c r="D3" s="292" t="s">
        <v>224</v>
      </c>
      <c r="E3" s="293"/>
      <c r="F3" s="292" t="s">
        <v>225</v>
      </c>
      <c r="G3" s="293"/>
    </row>
    <row r="4" spans="1:7" x14ac:dyDescent="0.25">
      <c r="B4" s="207" t="s">
        <v>221</v>
      </c>
      <c r="C4" s="207" t="s">
        <v>163</v>
      </c>
      <c r="D4" s="207" t="s">
        <v>5</v>
      </c>
      <c r="E4" s="207" t="s">
        <v>6</v>
      </c>
      <c r="F4" s="207" t="s">
        <v>5</v>
      </c>
      <c r="G4" s="207" t="s">
        <v>6</v>
      </c>
    </row>
    <row r="5" spans="1:7" x14ac:dyDescent="0.25">
      <c r="A5" s="205" t="s">
        <v>35</v>
      </c>
      <c r="B5" s="206" t="s">
        <v>222</v>
      </c>
      <c r="C5" s="208">
        <f>+'Rate Design (PSE)'!G80</f>
        <v>109.08</v>
      </c>
      <c r="D5" s="208">
        <f>+'Rate Design (PSE)'!H80</f>
        <v>141.804</v>
      </c>
      <c r="E5" s="208">
        <f>+'Rate Design (PSE)'!I80</f>
        <v>184.34520000000001</v>
      </c>
      <c r="F5" s="208">
        <f>+'Rate Design (Kro)'!H80</f>
        <v>218.16</v>
      </c>
      <c r="G5" s="208">
        <f>+'Rate Design (Kro)'!I80</f>
        <v>436.32</v>
      </c>
    </row>
    <row r="6" spans="1:7" x14ac:dyDescent="0.25">
      <c r="A6" s="205" t="s">
        <v>147</v>
      </c>
      <c r="B6" s="206" t="s">
        <v>12</v>
      </c>
      <c r="C6" s="209">
        <f>+'Rate Design (PSE)'!G82</f>
        <v>5.7457000000000001E-2</v>
      </c>
      <c r="D6" s="209">
        <f>+'Rate Design (PSE)'!H82</f>
        <v>7.2321288221106006E-2</v>
      </c>
      <c r="E6" s="209">
        <f>+'Rate Design (PSE)'!I82</f>
        <v>7.2172529847459185E-2</v>
      </c>
      <c r="F6" s="209">
        <f>+'Rate Design (Kro)'!H82</f>
        <v>7.1114166215229507E-2</v>
      </c>
      <c r="G6" s="209">
        <f>+'Rate Design (Kro)'!I82</f>
        <v>6.8453228055838283E-2</v>
      </c>
    </row>
    <row r="7" spans="1:7" x14ac:dyDescent="0.25">
      <c r="A7" s="205" t="s">
        <v>219</v>
      </c>
      <c r="B7" s="206" t="s">
        <v>223</v>
      </c>
      <c r="C7" s="208">
        <f>+'Rate Design (PSE)'!G88</f>
        <v>12.23</v>
      </c>
      <c r="D7" s="208">
        <f>+'Rate Design (PSE)'!H88</f>
        <v>15.899000000000001</v>
      </c>
      <c r="E7" s="208">
        <f>+'Rate Design (PSE)'!I88</f>
        <v>20.668700000000001</v>
      </c>
      <c r="F7" s="208">
        <f>+'Rate Design (Kro)'!H88</f>
        <v>16.265900000000002</v>
      </c>
      <c r="G7" s="208">
        <f>+'Rate Design (Kro)'!I88</f>
        <v>21.633647000000003</v>
      </c>
    </row>
    <row r="8" spans="1:7" x14ac:dyDescent="0.25">
      <c r="A8" s="205" t="s">
        <v>220</v>
      </c>
      <c r="B8" s="206" t="s">
        <v>223</v>
      </c>
      <c r="C8" s="208">
        <f>+'Rate Design (PSE)'!G89</f>
        <v>8.15</v>
      </c>
      <c r="D8" s="208">
        <f>+'Rate Design (PSE)'!H89</f>
        <v>10.595000000000001</v>
      </c>
      <c r="E8" s="208">
        <f>+'Rate Design (PSE)'!I89</f>
        <v>13.773500000000002</v>
      </c>
      <c r="F8" s="208">
        <f>+'Rate Design (Kro)'!H89</f>
        <v>10.839500000000001</v>
      </c>
      <c r="G8" s="208">
        <f>+'Rate Design (Kro)'!I89</f>
        <v>14.416535000000001</v>
      </c>
    </row>
  </sheetData>
  <mergeCells count="2">
    <mergeCell ref="D3:E3"/>
    <mergeCell ref="F3:G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83B7C-FA1F-444F-94C4-E4652411A931}">
  <dimension ref="A1:D7"/>
  <sheetViews>
    <sheetView workbookViewId="0">
      <selection activeCell="A2" sqref="A2"/>
    </sheetView>
  </sheetViews>
  <sheetFormatPr defaultRowHeight="15.75" x14ac:dyDescent="0.25"/>
  <cols>
    <col min="1" max="1" width="15.7109375" style="205" customWidth="1"/>
    <col min="2" max="3" width="15.7109375" style="206" customWidth="1"/>
    <col min="4" max="4" width="15.7109375" style="205" customWidth="1"/>
    <col min="5" max="16384" width="9.140625" style="205"/>
  </cols>
  <sheetData>
    <row r="1" spans="1:4" x14ac:dyDescent="0.25">
      <c r="A1" s="205" t="s">
        <v>241</v>
      </c>
    </row>
    <row r="3" spans="1:4" x14ac:dyDescent="0.25">
      <c r="A3" s="269"/>
      <c r="B3" s="207" t="s">
        <v>235</v>
      </c>
      <c r="C3" s="269" t="s">
        <v>5</v>
      </c>
      <c r="D3" s="269" t="s">
        <v>6</v>
      </c>
    </row>
    <row r="4" spans="1:4" x14ac:dyDescent="0.25">
      <c r="A4" s="268" t="s">
        <v>73</v>
      </c>
      <c r="B4" s="210">
        <f>+'COS Class of Rev'!F26</f>
        <v>7.8929069198169902E-2</v>
      </c>
      <c r="C4" s="210">
        <f>+'Rate Design (Kro)'!X80</f>
        <v>1.3339684821166391E-2</v>
      </c>
      <c r="D4" s="210">
        <f>+'Rate Design (Kro)'!Z80</f>
        <v>2.7795100341372662E-2</v>
      </c>
    </row>
    <row r="5" spans="1:4" x14ac:dyDescent="0.25">
      <c r="A5" s="268" t="s">
        <v>72</v>
      </c>
      <c r="B5" s="210">
        <f>+'COS Class of Rev'!F25</f>
        <v>0.54245062208631811</v>
      </c>
      <c r="C5" s="210">
        <f>+'Rate Design (Kro)'!X81</f>
        <v>0.67740336838696502</v>
      </c>
      <c r="D5" s="210">
        <f>+'Rate Design (Kro)'!Z81</f>
        <v>0.59706161723764051</v>
      </c>
    </row>
    <row r="6" spans="1:4" x14ac:dyDescent="0.25">
      <c r="A6" s="268" t="s">
        <v>71</v>
      </c>
      <c r="B6" s="210">
        <f>+'COS Class of Rev'!F24</f>
        <v>0.378620308715512</v>
      </c>
      <c r="C6" s="210">
        <f>+'Rate Design (Kro)'!X82</f>
        <v>0.30925694679186855</v>
      </c>
      <c r="D6" s="210">
        <f>+'Rate Design (Kro)'!Z82</f>
        <v>0.37514328242098677</v>
      </c>
    </row>
    <row r="7" spans="1:4" x14ac:dyDescent="0.25">
      <c r="A7" s="268" t="s">
        <v>75</v>
      </c>
      <c r="B7" s="270">
        <f>SUM(B4:B6)</f>
        <v>1</v>
      </c>
      <c r="C7" s="270">
        <f t="shared" ref="C7:D7" si="0">SUM(C4:C6)</f>
        <v>1</v>
      </c>
      <c r="D7" s="270">
        <f t="shared" si="0"/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44296BEEBC83648A45074ADE4018599" ma:contentTypeVersion="16" ma:contentTypeDescription="" ma:contentTypeScope="" ma:versionID="4de26053a15b46baefefaeaf1997b2d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2024-08-06T07:00:00+00:00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240004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57328730-759C-4320-8538-0C85D420B32A}"/>
</file>

<file path=customXml/itemProps2.xml><?xml version="1.0" encoding="utf-8"?>
<ds:datastoreItem xmlns:ds="http://schemas.openxmlformats.org/officeDocument/2006/customXml" ds:itemID="{52AD3711-21EA-4881-AB9C-8FBD9102ECA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910468-3DD5-44AE-8AF1-69F6A964DC67}">
  <ds:schemaRefs>
    <ds:schemaRef ds:uri="http://schemas.microsoft.com/office/2006/metadata/properties"/>
    <ds:schemaRef ds:uri="http://schemas.microsoft.com/office/infopath/2007/PartnerControls"/>
    <ds:schemaRef ds:uri="8ca45114-2a7e-4dc6-89cd-247b8ea980b4"/>
    <ds:schemaRef ds:uri="9dc5a1b9-da23-4eb9-9e08-5e6b905bb79d"/>
  </ds:schemaRefs>
</ds:datastoreItem>
</file>

<file path=customXml/itemProps4.xml><?xml version="1.0" encoding="utf-8"?>
<ds:datastoreItem xmlns:ds="http://schemas.openxmlformats.org/officeDocument/2006/customXml" ds:itemID="{04193B36-6634-4418-B7B4-53C2152B59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7</vt:i4>
      </vt:variant>
    </vt:vector>
  </HeadingPairs>
  <TitlesOfParts>
    <vt:vector size="19" baseType="lpstr">
      <vt:lpstr>COS Class of Rev</vt:lpstr>
      <vt:lpstr>Rate Design (PSE)</vt:lpstr>
      <vt:lpstr>Rate Design (Kro)</vt:lpstr>
      <vt:lpstr>Sch 26 Bill Impact (PSE)</vt:lpstr>
      <vt:lpstr>Sch 26 Bill Impact (Kro)</vt:lpstr>
      <vt:lpstr>Table JB-1</vt:lpstr>
      <vt:lpstr>Table JB-2</vt:lpstr>
      <vt:lpstr>Table JB-3</vt:lpstr>
      <vt:lpstr>Table JB-4</vt:lpstr>
      <vt:lpstr>Table JB-5</vt:lpstr>
      <vt:lpstr>Exhibit JB-2</vt:lpstr>
      <vt:lpstr>Exhibit JB-3</vt:lpstr>
      <vt:lpstr>'Exhibit JB-2'!Print_Area</vt:lpstr>
      <vt:lpstr>'Exhibit JB-3'!Print_Area</vt:lpstr>
      <vt:lpstr>'Rate Design (Kro)'!Print_Area</vt:lpstr>
      <vt:lpstr>'Rate Design (PSE)'!Print_Area</vt:lpstr>
      <vt:lpstr>'Exhibit JB-2'!Print_Titles</vt:lpstr>
      <vt:lpstr>'Rate Design (Kro)'!Print_Titles</vt:lpstr>
      <vt:lpstr>'Rate Design (PSE)'!Print_Titles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 Bieber</dc:creator>
  <cp:lastModifiedBy>Kim Walton</cp:lastModifiedBy>
  <cp:lastPrinted>2024-08-06T14:35:49Z</cp:lastPrinted>
  <dcterms:created xsi:type="dcterms:W3CDTF">2024-08-05T14:41:31Z</dcterms:created>
  <dcterms:modified xsi:type="dcterms:W3CDTF">2024-08-06T18:21:18Z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0x0101006E56B4D1795A2E4DB2F0B01679ED314A00E44296BEEBC83648A45074ADE4018599</vt:lpwstr>
  </property>
  <property fmtid="{D5CDD505-2E9C-101B-9397-08002B2CF9AE}" pid="3" name="MediaServiceImageTags">
    <vt:lpwstr/>
  </property>
  <property fmtid="{D5CDD505-2E9C-101B-9397-08002B2CF9AE}" pid="4" name="_docset_NoMedatataSyncRequired">
    <vt:lpwstr>False</vt:lpwstr>
  </property>
</Properties>
</file>