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8505"/>
  </bookViews>
  <sheets>
    <sheet name="Sheet3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42" i="3" l="1"/>
  <c r="K45" i="3" l="1"/>
  <c r="K44" i="3"/>
  <c r="R20" i="3"/>
  <c r="S20" i="3" s="1"/>
  <c r="Q20" i="3"/>
  <c r="P20" i="3"/>
  <c r="S19" i="3"/>
  <c r="R19" i="3"/>
  <c r="T19" i="3" s="1"/>
  <c r="Q19" i="3"/>
  <c r="P19" i="3"/>
  <c r="R18" i="3"/>
  <c r="S18" i="3" s="1"/>
  <c r="P18" i="3"/>
  <c r="M18" i="3"/>
  <c r="N18" i="3" s="1"/>
  <c r="L18" i="3"/>
  <c r="K18" i="3"/>
  <c r="J18" i="3"/>
  <c r="I18" i="3"/>
  <c r="H18" i="3"/>
  <c r="G18" i="3"/>
  <c r="D18" i="3"/>
  <c r="Q18" i="3" s="1"/>
  <c r="R17" i="3"/>
  <c r="S17" i="3" s="1"/>
  <c r="Q17" i="3"/>
  <c r="P17" i="3"/>
  <c r="R16" i="3"/>
  <c r="T16" i="3" s="1"/>
  <c r="Q16" i="3"/>
  <c r="P16" i="3"/>
  <c r="R15" i="3"/>
  <c r="S15" i="3" s="1"/>
  <c r="Q15" i="3"/>
  <c r="P15" i="3"/>
  <c r="S14" i="3"/>
  <c r="R14" i="3"/>
  <c r="T14" i="3" s="1"/>
  <c r="Q14" i="3"/>
  <c r="P14" i="3"/>
  <c r="R13" i="3"/>
  <c r="R24" i="3" s="1"/>
  <c r="Q13" i="3"/>
  <c r="P13" i="3"/>
  <c r="K46" i="3" l="1"/>
  <c r="K50" i="3" s="1"/>
  <c r="K51" i="3" s="1"/>
  <c r="K54" i="3"/>
  <c r="K55" i="3" s="1"/>
  <c r="K58" i="3"/>
  <c r="K59" i="3" s="1"/>
  <c r="S16" i="3"/>
  <c r="T24" i="3"/>
  <c r="S24" i="3"/>
  <c r="T13" i="3"/>
  <c r="T15" i="3"/>
  <c r="T17" i="3"/>
  <c r="T18" i="3"/>
  <c r="T20" i="3"/>
  <c r="S13" i="3"/>
</calcChain>
</file>

<file path=xl/sharedStrings.xml><?xml version="1.0" encoding="utf-8"?>
<sst xmlns="http://schemas.openxmlformats.org/spreadsheetml/2006/main" count="136" uniqueCount="102">
  <si>
    <t>Line</t>
  </si>
  <si>
    <t>Description</t>
  </si>
  <si>
    <t>Total</t>
  </si>
  <si>
    <t xml:space="preserve"> </t>
  </si>
  <si>
    <t>Proposed</t>
  </si>
  <si>
    <t>Base</t>
  </si>
  <si>
    <t>Increase</t>
  </si>
  <si>
    <t>No.</t>
  </si>
  <si>
    <t>COS</t>
  </si>
  <si>
    <t>Residential</t>
  </si>
  <si>
    <t>Large General Service &lt;1,000 kW</t>
  </si>
  <si>
    <t>Agricultural Pumping Service</t>
  </si>
  <si>
    <t>40</t>
  </si>
  <si>
    <t>PacifiCorp</t>
  </si>
  <si>
    <t>Cost Of Service By Rate Schedule</t>
  </si>
  <si>
    <t>State of Washington</t>
  </si>
  <si>
    <t>12 Months Ending June 2012</t>
  </si>
  <si>
    <t>WCA Method - (100 Summer, 100 Winter Hours) - 38%D / 62%E</t>
  </si>
  <si>
    <t>7.80% = Target Return on Rate Base</t>
  </si>
  <si>
    <t>Earned</t>
  </si>
  <si>
    <t>Target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</si>
  <si>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</si>
  <si>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</si>
  <si>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</si>
  <si>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</si>
  <si>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</si>
  <si>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</si>
  <si>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</si>
  <si>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</si>
  <si>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</si>
  <si>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</si>
  <si>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</si>
  <si>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</si>
  <si>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</si>
  <si>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Current </t>
  </si>
  <si>
    <t>Return on</t>
  </si>
  <si>
    <t>Rate of</t>
  </si>
  <si>
    <t>Generation</t>
  </si>
  <si>
    <t xml:space="preserve">Transmission </t>
  </si>
  <si>
    <t>Distribution</t>
  </si>
  <si>
    <t xml:space="preserve">Retail </t>
  </si>
  <si>
    <t>Misc</t>
  </si>
  <si>
    <t>Percentage</t>
  </si>
  <si>
    <t xml:space="preserve">% of </t>
  </si>
  <si>
    <t>Schedule</t>
  </si>
  <si>
    <t>Annual</t>
  </si>
  <si>
    <t>Rate</t>
  </si>
  <si>
    <t>Return</t>
  </si>
  <si>
    <t>Cost of</t>
  </si>
  <si>
    <t>(Decrease)</t>
  </si>
  <si>
    <t>Change from</t>
  </si>
  <si>
    <t>Revenue</t>
  </si>
  <si>
    <t>Index</t>
  </si>
  <si>
    <t>Service</t>
  </si>
  <si>
    <t>to = ROR</t>
  </si>
  <si>
    <t>Current Revenues</t>
  </si>
  <si>
    <t>$</t>
  </si>
  <si>
    <t>16</t>
  </si>
  <si>
    <t>24</t>
  </si>
  <si>
    <t xml:space="preserve">Small General Service </t>
  </si>
  <si>
    <t>36</t>
  </si>
  <si>
    <t>48T</t>
  </si>
  <si>
    <t>Large General Service &gt;1,000 kW</t>
  </si>
  <si>
    <t>Dedicated Facilities</t>
  </si>
  <si>
    <t>15,52,54,57</t>
  </si>
  <si>
    <t>Street Lighting</t>
  </si>
  <si>
    <t>Total Washington Jurisdiction</t>
  </si>
  <si>
    <t>Footnotes :</t>
  </si>
  <si>
    <t>Column C :</t>
  </si>
  <si>
    <t>Annual revenues based on July 2011 through June 2012 usage priced at current Washington Tariff.</t>
  </si>
  <si>
    <t xml:space="preserve">Column D :  </t>
  </si>
  <si>
    <t xml:space="preserve">Calculated Return on Ratebase per July 2011 through June 2012 Embedded Cost of Service Study </t>
  </si>
  <si>
    <t xml:space="preserve">Column E : </t>
  </si>
  <si>
    <t>Rate of Return Index. Rate of return by rate schedule, divided by Washington Jurisdiction's normalized rate of return.</t>
  </si>
  <si>
    <t xml:space="preserve">Column F : </t>
  </si>
  <si>
    <t>Calculated Full Cost of Service at Jurisdictional Rate of Return per the July 2011 through June 2012 Embedded COS Study</t>
  </si>
  <si>
    <t xml:space="preserve">Column G : </t>
  </si>
  <si>
    <t>Calculated Generation Cost of Service at Jurisdictional Rate of Return per July 2011 through June 2012 Embedded COS Study.</t>
  </si>
  <si>
    <t xml:space="preserve">Column H : </t>
  </si>
  <si>
    <t>Calculated Transmission Cost of Service at Jurisdictional Rate of Return per July 2011 through June 2012 Embedded COS Study.</t>
  </si>
  <si>
    <t xml:space="preserve">Column I : </t>
  </si>
  <si>
    <t>Calculated Distribution Cost of Service at Jurisdictional Rate of Return per the July 2011 through June 2012 Embedded COS Study.</t>
  </si>
  <si>
    <t xml:space="preserve">Column J :  </t>
  </si>
  <si>
    <t>Calculated Retail Cost of Service at Jurisdictional Rate of Return per the July 2011 through June 2012 Embedded COS Study.</t>
  </si>
  <si>
    <t xml:space="preserve">Column K : </t>
  </si>
  <si>
    <t>Calculated Miscellaneous Cost of Service at Jurisdictional Rate of Return per the July 2011 through June 2012 Embedded COS Study.</t>
  </si>
  <si>
    <t xml:space="preserve">Column L :  </t>
  </si>
  <si>
    <t>Increase or Decrease Required to Move From Annual Revenue to Full Cost of Service dollars.</t>
  </si>
  <si>
    <t xml:space="preserve">Column M : </t>
  </si>
  <si>
    <t>Increase or Decrease Required to Move From Annual Revenue to Full Cost of Service percent.</t>
  </si>
  <si>
    <t>Avg. Residential customer using 1,300 KwH</t>
  </si>
  <si>
    <t>Allocator</t>
  </si>
  <si>
    <t>REC Revenue</t>
  </si>
  <si>
    <t>Residential Portion of REC Revenue</t>
  </si>
  <si>
    <t>$/kWh</t>
  </si>
  <si>
    <t>Avg. Residential Montly Load</t>
  </si>
  <si>
    <t>Total Residential Load</t>
  </si>
  <si>
    <t>Yearly Credit</t>
  </si>
  <si>
    <t>Monthly Credit</t>
  </si>
  <si>
    <t>3-YR</t>
  </si>
  <si>
    <t>5-YR</t>
  </si>
  <si>
    <t>1-YR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</si>
</sst>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  <numFmt numFmtId="168" formatCode="0_)"/>
    <numFmt numFmtId="169" formatCode="_(&quot;$&quot;* #,##0.00000_);_(&quot;$&quot;* \(#,##0.000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Swiss"/>
      <family val="2"/>
    </font>
    <font>
      <sz val="10"/>
      <color indexed="8"/>
      <name val="Arial"/>
      <family val="2"/>
    </font>
    <font>
      <sz val="10"/>
      <name val="Swiss"/>
      <family val="2"/>
    </font>
    <font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6" applyFont="1" applyFill="1" applyAlignment="1">
      <alignment horizontal="centerContinuous"/>
    </xf>
    <xf numFmtId="0" fontId="1" fillId="0" borderId="0" xfId="6"/>
    <xf numFmtId="37" fontId="4" fillId="0" borderId="0" xfId="6" applyNumberFormat="1" applyFont="1" applyFill="1" applyAlignment="1" applyProtection="1">
      <alignment horizontal="centerContinuous"/>
      <protection locked="0"/>
    </xf>
    <xf numFmtId="1" fontId="4" fillId="0" borderId="0" xfId="6" applyNumberFormat="1" applyFont="1" applyFill="1" applyAlignment="1">
      <alignment horizontal="centerContinuous"/>
    </xf>
    <xf numFmtId="166" fontId="4" fillId="0" borderId="0" xfId="6" applyNumberFormat="1" applyFont="1" applyFill="1" applyAlignment="1" applyProtection="1">
      <alignment horizontal="centerContinuous"/>
    </xf>
    <xf numFmtId="0" fontId="4" fillId="0" borderId="0" xfId="6" applyFont="1" applyFill="1" applyAlignment="1" applyProtection="1">
      <alignment horizontal="centerContinuous"/>
      <protection locked="0"/>
    </xf>
    <xf numFmtId="167" fontId="5" fillId="0" borderId="0" xfId="7" quotePrefix="1" applyNumberFormat="1" applyFont="1" applyFill="1" applyAlignment="1">
      <alignment horizontal="centerContinuous"/>
    </xf>
    <xf numFmtId="1" fontId="5" fillId="0" borderId="0" xfId="6" quotePrefix="1" applyNumberFormat="1" applyFont="1" applyFill="1" applyAlignment="1">
      <alignment horizontal="centerContinuous"/>
    </xf>
    <xf numFmtId="0" fontId="6" fillId="0" borderId="0" xfId="6" applyFont="1" applyFill="1" applyProtection="1">
      <protection locked="0"/>
    </xf>
    <xf numFmtId="0" fontId="6" fillId="0" borderId="0" xfId="6" applyFont="1" applyFill="1" applyAlignment="1" applyProtection="1">
      <alignment horizontal="center"/>
      <protection locked="0"/>
    </xf>
    <xf numFmtId="0" fontId="1" fillId="0" borderId="0" xfId="6" applyAlignment="1">
      <alignment horizontal="center"/>
    </xf>
    <xf numFmtId="41" fontId="6" fillId="0" borderId="2" xfId="8" applyFont="1" applyFill="1" applyBorder="1" applyProtection="1">
      <protection locked="0"/>
    </xf>
    <xf numFmtId="41" fontId="6" fillId="0" borderId="2" xfId="8" applyFont="1" applyFill="1" applyBorder="1" applyAlignment="1" applyProtection="1">
      <alignment horizontal="center"/>
      <protection locked="0"/>
    </xf>
    <xf numFmtId="41" fontId="6" fillId="0" borderId="6" xfId="8" applyFont="1" applyFill="1" applyBorder="1" applyAlignment="1" applyProtection="1">
      <alignment horizontal="center"/>
      <protection locked="0"/>
    </xf>
    <xf numFmtId="41" fontId="6" fillId="0" borderId="6" xfId="8" applyFont="1" applyFill="1" applyBorder="1" applyProtection="1">
      <protection locked="0"/>
    </xf>
    <xf numFmtId="168" fontId="6" fillId="0" borderId="7" xfId="8" applyNumberFormat="1" applyFont="1" applyFill="1" applyBorder="1" applyAlignment="1" applyProtection="1">
      <alignment horizontal="center"/>
      <protection locked="0"/>
    </xf>
    <xf numFmtId="41" fontId="6" fillId="0" borderId="7" xfId="8" quotePrefix="1" applyFont="1" applyFill="1" applyBorder="1" applyAlignment="1" applyProtection="1">
      <alignment horizontal="center"/>
      <protection locked="0"/>
    </xf>
    <xf numFmtId="41" fontId="6" fillId="0" borderId="7" xfId="8" applyFont="1" applyFill="1" applyBorder="1" applyProtection="1">
      <protection locked="0"/>
    </xf>
    <xf numFmtId="37" fontId="6" fillId="0" borderId="7" xfId="8" applyNumberFormat="1" applyFont="1" applyFill="1" applyBorder="1" applyAlignment="1" applyProtection="1">
      <alignment horizontal="center"/>
      <protection locked="0"/>
    </xf>
    <xf numFmtId="10" fontId="6" fillId="0" borderId="7" xfId="8" applyNumberFormat="1" applyFont="1" applyFill="1" applyBorder="1" applyAlignment="1" applyProtection="1">
      <alignment horizontal="center"/>
      <protection locked="0"/>
    </xf>
    <xf numFmtId="39" fontId="6" fillId="0" borderId="7" xfId="8" applyNumberFormat="1" applyFont="1" applyFill="1" applyBorder="1" applyAlignment="1" applyProtection="1">
      <alignment horizontal="center"/>
      <protection locked="0"/>
    </xf>
    <xf numFmtId="10" fontId="6" fillId="0" borderId="7" xfId="8" applyNumberFormat="1" applyFont="1" applyFill="1" applyBorder="1" applyProtection="1">
      <protection locked="0"/>
    </xf>
    <xf numFmtId="37" fontId="6" fillId="0" borderId="8" xfId="8" applyNumberFormat="1" applyFont="1" applyFill="1" applyBorder="1" applyAlignment="1" applyProtection="1">
      <alignment horizontal="center"/>
      <protection locked="0"/>
    </xf>
    <xf numFmtId="41" fontId="6" fillId="0" borderId="8" xfId="8" quotePrefix="1" applyFont="1" applyFill="1" applyBorder="1" applyAlignment="1" applyProtection="1">
      <alignment horizontal="center"/>
      <protection locked="0"/>
    </xf>
    <xf numFmtId="41" fontId="6" fillId="0" borderId="8" xfId="8" applyFont="1" applyFill="1" applyBorder="1" applyProtection="1">
      <protection locked="0"/>
    </xf>
    <xf numFmtId="37" fontId="6" fillId="0" borderId="8" xfId="8" applyNumberFormat="1" applyFont="1" applyFill="1" applyBorder="1" applyProtection="1">
      <protection locked="0"/>
    </xf>
    <xf numFmtId="10" fontId="6" fillId="0" borderId="8" xfId="8" applyNumberFormat="1" applyFont="1" applyFill="1" applyBorder="1" applyProtection="1">
      <protection locked="0"/>
    </xf>
    <xf numFmtId="39" fontId="6" fillId="0" borderId="8" xfId="8" applyNumberFormat="1" applyFont="1" applyFill="1" applyBorder="1" applyProtection="1">
      <protection locked="0"/>
    </xf>
    <xf numFmtId="37" fontId="6" fillId="0" borderId="9" xfId="8" applyNumberFormat="1" applyFont="1" applyFill="1" applyBorder="1" applyProtection="1">
      <protection locked="0"/>
    </xf>
    <xf numFmtId="165" fontId="6" fillId="0" borderId="8" xfId="8" applyNumberFormat="1" applyFont="1" applyFill="1" applyBorder="1" applyProtection="1">
      <protection locked="0"/>
    </xf>
    <xf numFmtId="41" fontId="6" fillId="0" borderId="8" xfId="8" applyFont="1" applyFill="1" applyBorder="1" applyAlignment="1" applyProtection="1">
      <alignment horizontal="center"/>
      <protection locked="0"/>
    </xf>
    <xf numFmtId="37" fontId="6" fillId="0" borderId="6" xfId="8" applyNumberFormat="1" applyFont="1" applyFill="1" applyBorder="1" applyAlignment="1" applyProtection="1">
      <alignment horizontal="center"/>
      <protection locked="0"/>
    </xf>
    <xf numFmtId="37" fontId="6" fillId="0" borderId="6" xfId="8" applyNumberFormat="1" applyFont="1" applyFill="1" applyBorder="1" applyProtection="1">
      <protection locked="0"/>
    </xf>
    <xf numFmtId="39" fontId="6" fillId="0" borderId="6" xfId="8" applyNumberFormat="1" applyFont="1" applyFill="1" applyBorder="1" applyProtection="1">
      <protection locked="0"/>
    </xf>
    <xf numFmtId="10" fontId="6" fillId="0" borderId="6" xfId="8" applyNumberFormat="1" applyFont="1" applyFill="1" applyBorder="1" applyProtection="1">
      <protection locked="0"/>
    </xf>
    <xf numFmtId="41" fontId="6" fillId="0" borderId="10" xfId="8" applyFont="1" applyFill="1" applyBorder="1" applyProtection="1">
      <protection locked="0"/>
    </xf>
    <xf numFmtId="165" fontId="6" fillId="0" borderId="6" xfId="8" applyNumberFormat="1" applyFont="1" applyFill="1" applyBorder="1" applyProtection="1">
      <protection locked="0"/>
    </xf>
    <xf numFmtId="10" fontId="6" fillId="0" borderId="6" xfId="7" applyNumberFormat="1" applyFont="1" applyFill="1" applyBorder="1" applyProtection="1">
      <protection locked="0"/>
    </xf>
    <xf numFmtId="5" fontId="6" fillId="0" borderId="7" xfId="8" applyNumberFormat="1" applyFont="1" applyFill="1" applyBorder="1" applyProtection="1">
      <protection locked="0"/>
    </xf>
    <xf numFmtId="39" fontId="6" fillId="0" borderId="7" xfId="8" applyNumberFormat="1" applyFont="1" applyFill="1" applyBorder="1" applyProtection="1">
      <protection locked="0"/>
    </xf>
    <xf numFmtId="37" fontId="6" fillId="0" borderId="7" xfId="8" applyNumberFormat="1" applyFont="1" applyFill="1" applyBorder="1" applyProtection="1">
      <protection locked="0"/>
    </xf>
    <xf numFmtId="10" fontId="6" fillId="0" borderId="7" xfId="7" applyNumberFormat="1" applyFont="1" applyFill="1" applyBorder="1" applyProtection="1">
      <protection locked="0"/>
    </xf>
    <xf numFmtId="37" fontId="6" fillId="0" borderId="11" xfId="8" applyNumberFormat="1" applyFont="1" applyFill="1" applyBorder="1" applyProtection="1">
      <protection locked="0"/>
    </xf>
    <xf numFmtId="165" fontId="6" fillId="0" borderId="7" xfId="8" applyNumberFormat="1" applyFont="1" applyFill="1" applyBorder="1" applyProtection="1">
      <protection locked="0"/>
    </xf>
    <xf numFmtId="0" fontId="6" fillId="0" borderId="0" xfId="6" applyFont="1" applyFill="1"/>
    <xf numFmtId="37" fontId="6" fillId="0" borderId="0" xfId="6" applyNumberFormat="1" applyFont="1" applyFill="1"/>
    <xf numFmtId="0" fontId="1" fillId="0" borderId="0" xfId="6" applyFont="1"/>
    <xf numFmtId="0" fontId="8" fillId="0" borderId="0" xfId="6" applyFont="1" applyFill="1" applyProtection="1">
      <protection locked="0"/>
    </xf>
    <xf numFmtId="37" fontId="6" fillId="0" borderId="0" xfId="6" applyNumberFormat="1" applyFont="1" applyFill="1" applyProtection="1">
      <protection locked="0"/>
    </xf>
    <xf numFmtId="37" fontId="1" fillId="0" borderId="0" xfId="6" applyNumberFormat="1"/>
    <xf numFmtId="44" fontId="1" fillId="0" borderId="0" xfId="1"/>
    <xf numFmtId="9" fontId="1" fillId="0" borderId="0" xfId="2"/>
    <xf numFmtId="10" fontId="1" fillId="0" borderId="0" xfId="2" applyNumberFormat="1"/>
    <xf numFmtId="164" fontId="1" fillId="0" borderId="0" xfId="1" applyNumberFormat="1"/>
    <xf numFmtId="169" fontId="1" fillId="0" borderId="0" xfId="1" applyNumberFormat="1"/>
    <xf numFmtId="166" fontId="1" fillId="0" borderId="0" xfId="4" applyNumberFormat="1"/>
    <xf numFmtId="44" fontId="1" fillId="0" borderId="0" xfId="6" applyNumberFormat="1"/>
    <xf numFmtId="10" fontId="6" fillId="0" borderId="0" xfId="2" applyNumberFormat="1" applyFont="1" applyFill="1"/>
    <xf numFmtId="0" fontId="1" fillId="0" borderId="1" xfId="6" applyBorder="1" applyAlignment="1">
      <alignment horizontal="center"/>
    </xf>
    <xf numFmtId="0" fontId="2" fillId="0" borderId="0" xfId="6" applyFont="1" applyAlignment="1">
      <alignment horizontal="center"/>
    </xf>
    <xf numFmtId="41" fontId="6" fillId="0" borderId="3" xfId="8" applyFont="1" applyFill="1" applyBorder="1" applyAlignment="1" applyProtection="1">
      <alignment horizontal="center"/>
      <protection locked="0"/>
    </xf>
    <xf numFmtId="41" fontId="6" fillId="0" borderId="4" xfId="8" applyFont="1" applyFill="1" applyBorder="1" applyAlignment="1" applyProtection="1">
      <alignment horizontal="center"/>
      <protection locked="0"/>
    </xf>
    <xf numFmtId="41" fontId="6" fillId="0" borderId="5" xfId="8" applyFont="1" applyFill="1" applyBorder="1" applyAlignment="1" applyProtection="1">
      <alignment horizontal="center"/>
      <protection locked="0"/>
    </xf>
  </cellXfs>
  <cellStyles count="9">
    <cellStyle name="Comma" xfId="4" builtinId="3"/>
    <cellStyle name="Currency" xfId="1" builtinId="4"/>
    <cellStyle name="Normal" xfId="0" builtinId="0"/>
    <cellStyle name="Normal 23 2" xfId="3"/>
    <cellStyle name="Normal 7" xfId="5"/>
    <cellStyle name="Normal 9" xfId="6"/>
    <cellStyle name="Normal_Ut98 COS Study 5 Function" xfId="8"/>
    <cellStyle name="Percent" xfId="2" builtinId="5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gross\Local%20Settings\Temporary%20Internet%20Files\Content.Outlook\5RN9QOC6\JRS-1T%20Table%201%20Workpaper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pread in between"/>
      <sheetName val="Rate Spread"/>
      <sheetName val="% of COS"/>
      <sheetName val="Earned"/>
      <sheetName val="Table 1"/>
    </sheetNames>
    <sheetDataSet>
      <sheetData sheetId="0"/>
      <sheetData sheetId="1">
        <row r="16">
          <cell r="L16">
            <v>1601807.788900645</v>
          </cell>
          <cell r="U16">
            <v>20171.624328133341</v>
          </cell>
        </row>
        <row r="22">
          <cell r="U22">
            <v>5415.4702076718031</v>
          </cell>
        </row>
        <row r="24">
          <cell r="U24">
            <v>8628.2235024689962</v>
          </cell>
        </row>
        <row r="25">
          <cell r="U25">
            <v>1471.6037261883503</v>
          </cell>
        </row>
        <row r="26">
          <cell r="U26">
            <v>43.553700143716661</v>
          </cell>
        </row>
        <row r="27">
          <cell r="U27">
            <v>3247.2630410668594</v>
          </cell>
        </row>
        <row r="28">
          <cell r="U28">
            <v>3756.1154480869518</v>
          </cell>
        </row>
        <row r="29">
          <cell r="U29">
            <v>0.98902477759968843</v>
          </cell>
        </row>
        <row r="42">
          <cell r="U42">
            <v>65.830044579900402</v>
          </cell>
        </row>
      </sheetData>
      <sheetData sheetId="2"/>
      <sheetData sheetId="3">
        <row r="13">
          <cell r="D13">
            <v>134571287.30000001</v>
          </cell>
          <cell r="G13">
            <v>139266511.66717687</v>
          </cell>
        </row>
        <row r="14">
          <cell r="D14">
            <v>45261337.330470175</v>
          </cell>
          <cell r="G14">
            <v>41360461.814219043</v>
          </cell>
        </row>
        <row r="15">
          <cell r="D15">
            <v>61297410.543473966</v>
          </cell>
          <cell r="G15">
            <v>59909802.472995952</v>
          </cell>
        </row>
        <row r="16">
          <cell r="D16">
            <v>23069501.570523299</v>
          </cell>
          <cell r="G16">
            <v>23432657.01511417</v>
          </cell>
        </row>
        <row r="17">
          <cell r="D17">
            <v>25058234.385966681</v>
          </cell>
          <cell r="G17">
            <v>26781574.575081903</v>
          </cell>
        </row>
        <row r="18">
          <cell r="D18">
            <v>12299348</v>
          </cell>
          <cell r="G18">
            <v>11071541.690791562</v>
          </cell>
        </row>
        <row r="19">
          <cell r="D19">
            <v>1670476.7339375024</v>
          </cell>
          <cell r="G19">
            <v>1405046.6289922437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view="pageLayout" topLeftCell="A5" zoomScaleNormal="90" workbookViewId="0"/>
  </sheetViews>
  <sheetFormatPr defaultRowHeight="15"/>
  <cols>
    <col min="1" max="1" width="10.5703125" style="2" bestFit="1" customWidth="1"/>
    <col min="2" max="2" width="11.85546875" style="2" bestFit="1" customWidth="1"/>
    <col min="3" max="3" width="27.7109375" style="2" customWidth="1"/>
    <col min="4" max="4" width="14.7109375" style="2" customWidth="1"/>
    <col min="5" max="5" width="10.28515625" style="2" bestFit="1" customWidth="1"/>
    <col min="6" max="6" width="8.28515625" style="2" bestFit="1" customWidth="1"/>
    <col min="7" max="7" width="14.7109375" style="2" customWidth="1"/>
    <col min="8" max="8" width="15.140625" style="2" customWidth="1"/>
    <col min="9" max="9" width="13.85546875" style="2" bestFit="1" customWidth="1"/>
    <col min="10" max="10" width="12.5703125" style="2" customWidth="1"/>
    <col min="11" max="11" width="13.28515625" style="2" customWidth="1"/>
    <col min="12" max="12" width="15.28515625" style="2" bestFit="1" customWidth="1"/>
    <col min="13" max="13" width="12.28515625" style="2" customWidth="1"/>
    <col min="14" max="14" width="15.7109375" style="2" bestFit="1" customWidth="1"/>
    <col min="15" max="15" width="3.28515625" style="2" customWidth="1"/>
    <col min="16" max="16" width="9.140625" style="2"/>
    <col min="17" max="17" width="9.85546875" style="2" bestFit="1" customWidth="1"/>
    <col min="18" max="18" width="12.140625" style="2" bestFit="1" customWidth="1"/>
    <col min="19" max="19" width="15.7109375" style="2" bestFit="1" customWidth="1"/>
    <col min="20" max="20" width="10.42578125" style="2" bestFit="1" customWidth="1"/>
    <col min="21" max="16384" width="9.140625" style="2"/>
  </cols>
  <sheetData>
    <row r="1" spans="1:20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0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20">
      <c r="A5" s="5" t="s">
        <v>17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>
      <c r="A6" s="6" t="s">
        <v>18</v>
      </c>
      <c r="B6" s="6"/>
      <c r="C6" s="6"/>
      <c r="D6" s="6"/>
      <c r="E6" s="6"/>
      <c r="F6" s="6"/>
      <c r="G6" s="7"/>
      <c r="H6" s="8"/>
      <c r="I6" s="6"/>
      <c r="J6" s="6"/>
      <c r="K6" s="6"/>
      <c r="L6" s="6"/>
      <c r="M6" s="6"/>
      <c r="N6" s="6"/>
    </row>
    <row r="7" spans="1:2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0" ht="15.75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P8" s="11" t="s">
        <v>19</v>
      </c>
      <c r="Q8" s="11" t="s">
        <v>20</v>
      </c>
    </row>
    <row r="9" spans="1:20" ht="15.75" customHeight="1">
      <c r="A9" s="12"/>
      <c r="B9" s="13" t="s">
        <v>21</v>
      </c>
      <c r="C9" s="13" t="s">
        <v>22</v>
      </c>
      <c r="D9" s="13" t="s">
        <v>23</v>
      </c>
      <c r="E9" s="13" t="s">
        <v>24</v>
      </c>
      <c r="F9" s="13" t="s">
        <v>25</v>
      </c>
      <c r="G9" s="13" t="s">
        <v>26</v>
      </c>
      <c r="H9" s="13" t="s">
        <v>27</v>
      </c>
      <c r="I9" s="13" t="s">
        <v>28</v>
      </c>
      <c r="J9" s="13" t="s">
        <v>29</v>
      </c>
      <c r="K9" s="13" t="s">
        <v>30</v>
      </c>
      <c r="L9" s="13" t="s">
        <v>31</v>
      </c>
      <c r="M9" s="13" t="s">
        <v>32</v>
      </c>
      <c r="N9" s="13" t="s">
        <v>33</v>
      </c>
      <c r="P9" s="61" t="s">
        <v>34</v>
      </c>
      <c r="Q9" s="62"/>
      <c r="R9" s="61" t="s">
        <v>4</v>
      </c>
      <c r="S9" s="63"/>
      <c r="T9" s="62"/>
    </row>
    <row r="10" spans="1:20">
      <c r="A10" s="14"/>
      <c r="B10" s="14"/>
      <c r="C10" s="14"/>
      <c r="D10" s="14"/>
      <c r="E10" s="14" t="s">
        <v>35</v>
      </c>
      <c r="F10" s="14" t="s">
        <v>36</v>
      </c>
      <c r="G10" s="14" t="s">
        <v>2</v>
      </c>
      <c r="H10" s="14" t="s">
        <v>37</v>
      </c>
      <c r="I10" s="14" t="s">
        <v>38</v>
      </c>
      <c r="J10" s="14" t="s">
        <v>39</v>
      </c>
      <c r="K10" s="14" t="s">
        <v>40</v>
      </c>
      <c r="L10" s="14" t="s">
        <v>41</v>
      </c>
      <c r="M10" s="14" t="s">
        <v>6</v>
      </c>
      <c r="N10" s="14" t="s">
        <v>42</v>
      </c>
      <c r="P10" s="14" t="s">
        <v>43</v>
      </c>
      <c r="Q10" s="14" t="s">
        <v>43</v>
      </c>
      <c r="R10" s="14" t="s">
        <v>6</v>
      </c>
      <c r="S10" s="14" t="s">
        <v>42</v>
      </c>
      <c r="T10" s="14" t="s">
        <v>43</v>
      </c>
    </row>
    <row r="11" spans="1:20">
      <c r="A11" s="14" t="s">
        <v>0</v>
      </c>
      <c r="B11" s="14" t="s">
        <v>44</v>
      </c>
      <c r="C11" s="15" t="s">
        <v>1</v>
      </c>
      <c r="D11" s="14" t="s">
        <v>45</v>
      </c>
      <c r="E11" s="14" t="s">
        <v>46</v>
      </c>
      <c r="F11" s="14" t="s">
        <v>47</v>
      </c>
      <c r="G11" s="14" t="s">
        <v>48</v>
      </c>
      <c r="H11" s="14" t="s">
        <v>48</v>
      </c>
      <c r="I11" s="14" t="s">
        <v>48</v>
      </c>
      <c r="J11" s="14" t="s">
        <v>48</v>
      </c>
      <c r="K11" s="14" t="s">
        <v>48</v>
      </c>
      <c r="L11" s="14" t="s">
        <v>48</v>
      </c>
      <c r="M11" s="14" t="s">
        <v>49</v>
      </c>
      <c r="N11" s="14" t="s">
        <v>50</v>
      </c>
      <c r="P11" s="14" t="s">
        <v>8</v>
      </c>
      <c r="Q11" s="14" t="s">
        <v>8</v>
      </c>
      <c r="R11" s="14" t="s">
        <v>49</v>
      </c>
      <c r="S11" s="14" t="s">
        <v>50</v>
      </c>
      <c r="T11" s="14" t="s">
        <v>8</v>
      </c>
    </row>
    <row r="12" spans="1:20" ht="15.75" thickBot="1">
      <c r="A12" s="16" t="s">
        <v>7</v>
      </c>
      <c r="B12" s="17" t="s">
        <v>7</v>
      </c>
      <c r="C12" s="18"/>
      <c r="D12" s="19" t="s">
        <v>51</v>
      </c>
      <c r="E12" s="20" t="s">
        <v>5</v>
      </c>
      <c r="F12" s="21" t="s">
        <v>52</v>
      </c>
      <c r="G12" s="19" t="s">
        <v>53</v>
      </c>
      <c r="H12" s="19" t="s">
        <v>53</v>
      </c>
      <c r="I12" s="19" t="s">
        <v>53</v>
      </c>
      <c r="J12" s="19" t="s">
        <v>53</v>
      </c>
      <c r="K12" s="19" t="s">
        <v>53</v>
      </c>
      <c r="L12" s="19" t="s">
        <v>53</v>
      </c>
      <c r="M12" s="19" t="s">
        <v>54</v>
      </c>
      <c r="N12" s="20" t="s">
        <v>55</v>
      </c>
      <c r="P12" s="22"/>
      <c r="Q12" s="22"/>
      <c r="R12" s="20" t="s">
        <v>56</v>
      </c>
      <c r="S12" s="20" t="s">
        <v>55</v>
      </c>
      <c r="T12" s="22"/>
    </row>
    <row r="13" spans="1:20">
      <c r="A13" s="23">
        <v>1</v>
      </c>
      <c r="B13" s="24" t="s">
        <v>57</v>
      </c>
      <c r="C13" s="25" t="s">
        <v>9</v>
      </c>
      <c r="D13" s="26">
        <v>134571287.30000001</v>
      </c>
      <c r="E13" s="27">
        <v>3.3804192175316952E-2</v>
      </c>
      <c r="F13" s="28">
        <v>0.73440668517989716</v>
      </c>
      <c r="G13" s="26">
        <v>159109207.37552729</v>
      </c>
      <c r="H13" s="26">
        <v>94981319.714012802</v>
      </c>
      <c r="I13" s="26">
        <v>23664031.677903924</v>
      </c>
      <c r="J13" s="26">
        <v>31481652.331893574</v>
      </c>
      <c r="K13" s="26">
        <v>6843598.4818482306</v>
      </c>
      <c r="L13" s="26">
        <v>2138605.1698687668</v>
      </c>
      <c r="M13" s="26">
        <v>24537920.075527281</v>
      </c>
      <c r="N13" s="27">
        <v>0.18234142340352899</v>
      </c>
      <c r="P13" s="27">
        <f>[1]Earned!D13/[1]Earned!G13</f>
        <v>0.96628604887873082</v>
      </c>
      <c r="Q13" s="27">
        <f>D13/G13</f>
        <v>0.84577938335389213</v>
      </c>
      <c r="R13" s="29">
        <f>'[1]Rate Spread'!U16*1000</f>
        <v>20171624.328133341</v>
      </c>
      <c r="S13" s="30">
        <f>R13/D13</f>
        <v>0.1498954549135337</v>
      </c>
      <c r="T13" s="27">
        <f>(D13+R13)/G13</f>
        <v>0.97255786877821182</v>
      </c>
    </row>
    <row r="14" spans="1:20">
      <c r="A14" s="23">
        <v>2</v>
      </c>
      <c r="B14" s="24" t="s">
        <v>58</v>
      </c>
      <c r="C14" s="25" t="s">
        <v>59</v>
      </c>
      <c r="D14" s="26">
        <v>45261337.330470175</v>
      </c>
      <c r="E14" s="27">
        <v>7.9942191773102231E-2</v>
      </c>
      <c r="F14" s="28">
        <v>1.7367692078430561</v>
      </c>
      <c r="G14" s="26">
        <v>47303275.104309745</v>
      </c>
      <c r="H14" s="26">
        <v>30244198.379535548</v>
      </c>
      <c r="I14" s="26">
        <v>7533502.8299022494</v>
      </c>
      <c r="J14" s="26">
        <v>7884488.1551375668</v>
      </c>
      <c r="K14" s="26">
        <v>946340.41539110185</v>
      </c>
      <c r="L14" s="26">
        <v>694745.32434327772</v>
      </c>
      <c r="M14" s="26">
        <v>2041937.7738395706</v>
      </c>
      <c r="N14" s="27">
        <v>4.5114393305054359E-2</v>
      </c>
      <c r="P14" s="27">
        <f>[1]Earned!D14/[1]Earned!G14</f>
        <v>1.0943141189712267</v>
      </c>
      <c r="Q14" s="27">
        <f t="shared" ref="Q14:Q20" si="0">D14/G14</f>
        <v>0.95683305713321465</v>
      </c>
      <c r="R14" s="29">
        <f>'[1]Rate Spread'!U22*1000</f>
        <v>5415470.2076718034</v>
      </c>
      <c r="S14" s="30">
        <f t="shared" ref="S14:S20" si="1">R14/D14</f>
        <v>0.1196489217305137</v>
      </c>
      <c r="T14" s="27">
        <f t="shared" ref="T14:T20" si="2">(D14+R14)/G14</f>
        <v>1.0713171006953148</v>
      </c>
    </row>
    <row r="15" spans="1:20">
      <c r="A15" s="23">
        <v>3</v>
      </c>
      <c r="B15" s="24" t="s">
        <v>60</v>
      </c>
      <c r="C15" s="25" t="s">
        <v>10</v>
      </c>
      <c r="D15" s="26">
        <v>61297410.543473966</v>
      </c>
      <c r="E15" s="27">
        <v>5.4555505514040675E-2</v>
      </c>
      <c r="F15" s="28">
        <v>1.1852354807086749</v>
      </c>
      <c r="G15" s="26">
        <v>68318023.156041741</v>
      </c>
      <c r="H15" s="26">
        <v>47960531.952593938</v>
      </c>
      <c r="I15" s="26">
        <v>11929076.71833723</v>
      </c>
      <c r="J15" s="26">
        <v>7268107.4982558703</v>
      </c>
      <c r="K15" s="26">
        <v>119063.96659609405</v>
      </c>
      <c r="L15" s="26">
        <v>1041243.0202586004</v>
      </c>
      <c r="M15" s="26">
        <v>7020612.612567775</v>
      </c>
      <c r="N15" s="27">
        <v>0.11453359204445586</v>
      </c>
      <c r="P15" s="27">
        <f>[1]Earned!D15/[1]Earned!G15</f>
        <v>1.0231616198551727</v>
      </c>
      <c r="Q15" s="27">
        <f t="shared" si="0"/>
        <v>0.89723630327340786</v>
      </c>
      <c r="R15" s="29">
        <f>'[1]Rate Spread'!U24*1000</f>
        <v>8628223.5024689957</v>
      </c>
      <c r="S15" s="30">
        <f t="shared" si="1"/>
        <v>0.14075999990814619</v>
      </c>
      <c r="T15" s="27">
        <f t="shared" si="2"/>
        <v>1.0235312852397582</v>
      </c>
    </row>
    <row r="16" spans="1:20">
      <c r="A16" s="23">
        <v>4</v>
      </c>
      <c r="B16" s="31" t="s">
        <v>61</v>
      </c>
      <c r="C16" s="25" t="s">
        <v>62</v>
      </c>
      <c r="D16" s="26">
        <v>23069501.570523299</v>
      </c>
      <c r="E16" s="27">
        <v>4.0265530617126052E-2</v>
      </c>
      <c r="F16" s="28">
        <v>0.87478129085792711</v>
      </c>
      <c r="G16" s="26">
        <v>26687910.39606481</v>
      </c>
      <c r="H16" s="26">
        <v>18950539.903534845</v>
      </c>
      <c r="I16" s="26">
        <v>4712566.3500768198</v>
      </c>
      <c r="J16" s="26">
        <v>2577251.2639790121</v>
      </c>
      <c r="K16" s="26">
        <v>42836.639113458266</v>
      </c>
      <c r="L16" s="26">
        <v>404716.23936067225</v>
      </c>
      <c r="M16" s="26">
        <v>3618408.8255415112</v>
      </c>
      <c r="N16" s="27">
        <v>0.15684815792313769</v>
      </c>
      <c r="P16" s="27">
        <f>[1]Earned!D16/[1]Earned!G16</f>
        <v>0.98450216531754664</v>
      </c>
      <c r="Q16" s="27">
        <f t="shared" si="0"/>
        <v>0.86441767932213032</v>
      </c>
      <c r="R16" s="29">
        <f>'[1]Rate Spread'!U27*1000</f>
        <v>3247263.0410668594</v>
      </c>
      <c r="S16" s="30">
        <f t="shared" si="1"/>
        <v>0.14076</v>
      </c>
      <c r="T16" s="27">
        <f t="shared" si="2"/>
        <v>0.98609311186351334</v>
      </c>
    </row>
    <row r="17" spans="1:20">
      <c r="A17" s="23">
        <v>5</v>
      </c>
      <c r="B17" s="24" t="s">
        <v>61</v>
      </c>
      <c r="C17" s="25" t="s">
        <v>63</v>
      </c>
      <c r="D17" s="26">
        <v>25058234.385966681</v>
      </c>
      <c r="E17" s="27">
        <v>2.065344646468556E-2</v>
      </c>
      <c r="F17" s="28">
        <v>0.44870260697268005</v>
      </c>
      <c r="G17" s="26">
        <v>30290277.013240963</v>
      </c>
      <c r="H17" s="26">
        <v>23417960.233375527</v>
      </c>
      <c r="I17" s="26">
        <v>5819977.3943233769</v>
      </c>
      <c r="J17" s="26">
        <v>530829.9927283912</v>
      </c>
      <c r="K17" s="26">
        <v>40910.109838756092</v>
      </c>
      <c r="L17" s="26">
        <v>480599.28297490871</v>
      </c>
      <c r="M17" s="26">
        <v>5232042.6272742823</v>
      </c>
      <c r="N17" s="27">
        <v>0.20879534234879543</v>
      </c>
      <c r="P17" s="27">
        <f>[1]Earned!D17/[1]Earned!G17</f>
        <v>0.93565202134460568</v>
      </c>
      <c r="Q17" s="27">
        <f t="shared" si="0"/>
        <v>0.82726989835757625</v>
      </c>
      <c r="R17" s="29">
        <f>'[1]Rate Spread'!U28*1000</f>
        <v>3756115.4480869519</v>
      </c>
      <c r="S17" s="30">
        <f t="shared" si="1"/>
        <v>0.14989545513192593</v>
      </c>
      <c r="T17" s="27">
        <f t="shared" si="2"/>
        <v>0.95127389628882719</v>
      </c>
    </row>
    <row r="18" spans="1:20" hidden="1">
      <c r="A18" s="23">
        <v>4</v>
      </c>
      <c r="B18" s="24" t="s">
        <v>61</v>
      </c>
      <c r="C18" s="25"/>
      <c r="D18" s="26">
        <f>SUM(D16:D17)</f>
        <v>48127735.95648998</v>
      </c>
      <c r="E18" s="27"/>
      <c r="F18" s="28"/>
      <c r="G18" s="26">
        <f>SUM(G16:G17)</f>
        <v>56978187.409305774</v>
      </c>
      <c r="H18" s="26">
        <f t="shared" ref="H18:M18" si="3">SUM(H16:H17)</f>
        <v>42368500.136910371</v>
      </c>
      <c r="I18" s="26">
        <f t="shared" si="3"/>
        <v>10532543.744400196</v>
      </c>
      <c r="J18" s="26">
        <f t="shared" si="3"/>
        <v>3108081.2567074033</v>
      </c>
      <c r="K18" s="26">
        <f t="shared" si="3"/>
        <v>83746.748952214359</v>
      </c>
      <c r="L18" s="26">
        <f t="shared" si="3"/>
        <v>885315.52233558102</v>
      </c>
      <c r="M18" s="26">
        <f t="shared" si="3"/>
        <v>8850451.4528157935</v>
      </c>
      <c r="N18" s="27">
        <f>M18/D18</f>
        <v>0.18389503010939617</v>
      </c>
      <c r="P18" s="27">
        <f>([1]Earned!D16+[1]Earned!D17)/([1]Earned!G16+[1]Earned!G17)</f>
        <v>0.95844812182462102</v>
      </c>
      <c r="Q18" s="27">
        <f t="shared" si="0"/>
        <v>0.84466948045858115</v>
      </c>
      <c r="R18" s="29">
        <f>('[1]Rate Spread'!U26+'[1]Rate Spread'!U27+'[1]Rate Spread'!U28)*1000</f>
        <v>7046932.189297528</v>
      </c>
      <c r="S18" s="30">
        <f t="shared" si="1"/>
        <v>0.14642143556614273</v>
      </c>
      <c r="T18" s="27">
        <f t="shared" si="2"/>
        <v>0.96834719836623462</v>
      </c>
    </row>
    <row r="19" spans="1:20">
      <c r="A19" s="23">
        <v>5</v>
      </c>
      <c r="B19" s="24" t="s">
        <v>12</v>
      </c>
      <c r="C19" s="25" t="s">
        <v>11</v>
      </c>
      <c r="D19" s="26">
        <v>12299348</v>
      </c>
      <c r="E19" s="27">
        <v>8.4590872321736579E-2</v>
      </c>
      <c r="F19" s="28">
        <v>1.837763251850286</v>
      </c>
      <c r="G19" s="26">
        <v>12716557.271785384</v>
      </c>
      <c r="H19" s="26">
        <v>7982318.7210795349</v>
      </c>
      <c r="I19" s="26">
        <v>1987920.7943562164</v>
      </c>
      <c r="J19" s="26">
        <v>2377075.5286936136</v>
      </c>
      <c r="K19" s="26">
        <v>183097.74730390648</v>
      </c>
      <c r="L19" s="26">
        <v>186144.48035211215</v>
      </c>
      <c r="M19" s="26">
        <v>417209.27178538404</v>
      </c>
      <c r="N19" s="27">
        <v>3.3921251092771922E-2</v>
      </c>
      <c r="P19" s="27">
        <f>[1]Earned!D18/[1]Earned!G18</f>
        <v>1.1108975013145306</v>
      </c>
      <c r="Q19" s="27">
        <f t="shared" si="0"/>
        <v>0.96719164921223932</v>
      </c>
      <c r="R19" s="29">
        <f>'[1]Rate Spread'!U25*1000</f>
        <v>1471603.7261883502</v>
      </c>
      <c r="S19" s="30">
        <f t="shared" si="1"/>
        <v>0.1196489217305137</v>
      </c>
      <c r="T19" s="27">
        <f t="shared" si="2"/>
        <v>1.0829150871472411</v>
      </c>
    </row>
    <row r="20" spans="1:20">
      <c r="A20" s="23">
        <v>6</v>
      </c>
      <c r="B20" s="31" t="s">
        <v>64</v>
      </c>
      <c r="C20" s="25" t="s">
        <v>65</v>
      </c>
      <c r="D20" s="26">
        <v>1670476.7339375024</v>
      </c>
      <c r="E20" s="27">
        <v>0.11529874426805539</v>
      </c>
      <c r="F20" s="28">
        <v>2.5049014082086489</v>
      </c>
      <c r="G20" s="26">
        <v>1603018.5474018056</v>
      </c>
      <c r="H20" s="26">
        <v>533970.72600291891</v>
      </c>
      <c r="I20" s="26">
        <v>134310.07309375983</v>
      </c>
      <c r="J20" s="26">
        <v>812556.64182666142</v>
      </c>
      <c r="K20" s="26">
        <v>104910.35407571237</v>
      </c>
      <c r="L20" s="26">
        <v>17270.752402753162</v>
      </c>
      <c r="M20" s="26">
        <v>-67458.186535696732</v>
      </c>
      <c r="N20" s="27">
        <v>-4.0382595677755831E-2</v>
      </c>
      <c r="P20" s="27">
        <f>[1]Earned!D19/[1]Earned!G19</f>
        <v>1.1889119545702451</v>
      </c>
      <c r="Q20" s="27">
        <f t="shared" si="0"/>
        <v>1.0420819750620065</v>
      </c>
      <c r="R20" s="29">
        <f>('[1]Rate Spread'!U42+'[1]Rate Spread'!U29)*1000</f>
        <v>66819.069357500091</v>
      </c>
      <c r="S20" s="30">
        <f t="shared" si="1"/>
        <v>0.04</v>
      </c>
      <c r="T20" s="27">
        <f t="shared" si="2"/>
        <v>1.0837652540644869</v>
      </c>
    </row>
    <row r="21" spans="1:20">
      <c r="A21" s="23"/>
      <c r="B21" s="31"/>
      <c r="C21" s="25"/>
      <c r="D21" s="26">
        <v>0</v>
      </c>
      <c r="E21" s="27">
        <v>0</v>
      </c>
      <c r="F21" s="28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7">
        <v>0</v>
      </c>
      <c r="P21" s="27"/>
      <c r="Q21" s="27"/>
      <c r="R21" s="29"/>
      <c r="S21" s="30"/>
      <c r="T21" s="27"/>
    </row>
    <row r="22" spans="1:20">
      <c r="A22" s="32"/>
      <c r="B22" s="15"/>
      <c r="C22" s="15"/>
      <c r="D22" s="33">
        <v>0</v>
      </c>
      <c r="E22" s="15">
        <v>0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15">
        <v>0</v>
      </c>
      <c r="N22" s="35">
        <v>0</v>
      </c>
      <c r="P22" s="35"/>
      <c r="Q22" s="35"/>
      <c r="R22" s="36"/>
      <c r="S22" s="37"/>
      <c r="T22" s="35"/>
    </row>
    <row r="23" spans="1:20">
      <c r="A23" s="32"/>
      <c r="B23" s="15"/>
      <c r="C23" s="14"/>
      <c r="D23" s="33"/>
      <c r="E23" s="38"/>
      <c r="F23" s="34"/>
      <c r="G23" s="33"/>
      <c r="H23" s="33"/>
      <c r="I23" s="33"/>
      <c r="J23" s="33"/>
      <c r="K23" s="33"/>
      <c r="L23" s="33"/>
      <c r="M23" s="15"/>
      <c r="N23" s="35"/>
      <c r="P23" s="35"/>
      <c r="Q23" s="35"/>
      <c r="R23" s="36"/>
      <c r="S23" s="37"/>
      <c r="T23" s="35"/>
    </row>
    <row r="24" spans="1:20" ht="15.75" thickBot="1">
      <c r="A24" s="19">
        <v>7</v>
      </c>
      <c r="B24" s="18"/>
      <c r="C24" s="18" t="s">
        <v>66</v>
      </c>
      <c r="D24" s="39">
        <v>303227595.8643716</v>
      </c>
      <c r="E24" s="22">
        <v>4.602925444100011E-2</v>
      </c>
      <c r="F24" s="40">
        <v>1</v>
      </c>
      <c r="G24" s="39">
        <v>346028268.86437178</v>
      </c>
      <c r="H24" s="39">
        <v>224070839.63013509</v>
      </c>
      <c r="I24" s="39">
        <v>55781385.837993577</v>
      </c>
      <c r="J24" s="39">
        <v>52931961.412514687</v>
      </c>
      <c r="K24" s="39">
        <v>8280757.7141672587</v>
      </c>
      <c r="L24" s="39">
        <v>4963324.2695610914</v>
      </c>
      <c r="M24" s="41">
        <v>42800673.000000112</v>
      </c>
      <c r="N24" s="42">
        <v>0.14115032267427283</v>
      </c>
      <c r="P24" s="42"/>
      <c r="Q24" s="42"/>
      <c r="R24" s="43">
        <f>R13+R14+R15+R18+R19+R20</f>
        <v>42800673.023117512</v>
      </c>
      <c r="S24" s="44">
        <f t="shared" ref="S24" si="4">R24/D24</f>
        <v>0.14115032275051081</v>
      </c>
      <c r="T24" s="22">
        <f t="shared" ref="T24" si="5">(D24+R24)/G24</f>
        <v>1.0000000000668074</v>
      </c>
    </row>
    <row r="25" spans="1:20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20">
      <c r="A26" s="45"/>
      <c r="B26" s="45"/>
      <c r="C26" s="45"/>
      <c r="D26" s="45"/>
      <c r="E26" s="45"/>
      <c r="F26" s="45"/>
      <c r="G26" s="45"/>
      <c r="H26" s="58"/>
      <c r="I26" s="58"/>
      <c r="J26" s="58"/>
      <c r="K26" s="58"/>
      <c r="L26" s="58"/>
      <c r="M26" s="46"/>
      <c r="N26" s="45"/>
      <c r="P26" s="2" t="s">
        <v>3</v>
      </c>
      <c r="R26" s="47" t="s">
        <v>3</v>
      </c>
      <c r="S26" s="47"/>
    </row>
    <row r="27" spans="1:20">
      <c r="A27" s="48" t="s">
        <v>67</v>
      </c>
      <c r="B27" s="9"/>
      <c r="C27" s="9"/>
      <c r="D27" s="49"/>
      <c r="E27" s="9"/>
      <c r="F27" s="9"/>
      <c r="G27" s="9"/>
      <c r="H27" s="9"/>
      <c r="I27" s="45"/>
      <c r="J27" s="45"/>
      <c r="K27" s="45"/>
      <c r="L27" s="45"/>
      <c r="M27" s="45"/>
      <c r="N27" s="45"/>
      <c r="Q27" s="47" t="s">
        <v>3</v>
      </c>
      <c r="T27" s="47" t="s">
        <v>3</v>
      </c>
    </row>
    <row r="28" spans="1:20">
      <c r="A28" s="9"/>
      <c r="B28" s="9" t="s">
        <v>68</v>
      </c>
      <c r="C28" s="9" t="s">
        <v>69</v>
      </c>
      <c r="D28" s="9"/>
      <c r="E28" s="9"/>
      <c r="F28" s="9"/>
      <c r="G28" s="9"/>
      <c r="H28" s="9"/>
      <c r="I28" s="45"/>
      <c r="J28" s="45"/>
      <c r="K28" s="45"/>
      <c r="L28" s="45"/>
      <c r="M28" s="45"/>
      <c r="N28" s="45"/>
      <c r="Q28" s="47" t="s">
        <v>3</v>
      </c>
      <c r="R28" s="47" t="s">
        <v>3</v>
      </c>
      <c r="S28" s="47"/>
    </row>
    <row r="29" spans="1:20">
      <c r="A29" s="9"/>
      <c r="B29" s="9" t="s">
        <v>70</v>
      </c>
      <c r="C29" s="9" t="s">
        <v>71</v>
      </c>
      <c r="D29" s="9"/>
      <c r="E29" s="9"/>
      <c r="F29" s="9"/>
      <c r="G29" s="9"/>
      <c r="H29" s="9"/>
      <c r="I29" s="45"/>
      <c r="J29" s="45"/>
      <c r="K29" s="45"/>
      <c r="L29" s="45"/>
      <c r="M29" s="45"/>
      <c r="N29" s="45"/>
    </row>
    <row r="30" spans="1:20">
      <c r="A30" s="9"/>
      <c r="B30" s="9" t="s">
        <v>72</v>
      </c>
      <c r="C30" s="9" t="s">
        <v>73</v>
      </c>
      <c r="D30" s="9"/>
      <c r="E30" s="9"/>
      <c r="F30" s="9"/>
      <c r="G30" s="9"/>
      <c r="H30" s="9"/>
      <c r="I30" s="45"/>
      <c r="J30" s="45"/>
      <c r="K30" s="45"/>
      <c r="L30" s="45"/>
      <c r="M30" s="45"/>
      <c r="N30" s="45"/>
      <c r="Q30" s="47" t="s">
        <v>3</v>
      </c>
    </row>
    <row r="31" spans="1:20">
      <c r="A31" s="9"/>
      <c r="B31" s="9" t="s">
        <v>74</v>
      </c>
      <c r="C31" s="9" t="s">
        <v>75</v>
      </c>
      <c r="D31" s="9"/>
      <c r="E31" s="9"/>
      <c r="F31" s="9"/>
      <c r="G31" s="9"/>
      <c r="H31" s="9"/>
      <c r="I31" s="45"/>
      <c r="J31" s="45"/>
      <c r="K31" s="45"/>
      <c r="L31" s="45"/>
      <c r="M31" s="45"/>
      <c r="N31" s="45"/>
    </row>
    <row r="32" spans="1:20">
      <c r="A32" s="9"/>
      <c r="B32" s="9" t="s">
        <v>76</v>
      </c>
      <c r="C32" s="9" t="s">
        <v>77</v>
      </c>
      <c r="D32" s="9"/>
      <c r="E32" s="9"/>
      <c r="F32" s="9"/>
      <c r="G32" s="9"/>
      <c r="H32" s="9"/>
      <c r="I32" s="45"/>
      <c r="J32" s="45"/>
      <c r="K32" s="45"/>
      <c r="L32" s="45"/>
      <c r="M32" s="45"/>
      <c r="N32" s="45"/>
    </row>
    <row r="33" spans="1:14">
      <c r="A33" s="9"/>
      <c r="B33" s="9" t="s">
        <v>78</v>
      </c>
      <c r="C33" s="9" t="s">
        <v>79</v>
      </c>
      <c r="D33" s="9"/>
      <c r="E33" s="9"/>
      <c r="F33" s="9"/>
      <c r="G33" s="9"/>
      <c r="H33" s="9"/>
      <c r="I33" s="45"/>
      <c r="J33" s="45"/>
      <c r="K33" s="45"/>
      <c r="L33" s="45"/>
      <c r="M33" s="45"/>
      <c r="N33" s="45"/>
    </row>
    <row r="34" spans="1:14">
      <c r="A34" s="9"/>
      <c r="B34" s="9" t="s">
        <v>80</v>
      </c>
      <c r="C34" s="9" t="s">
        <v>81</v>
      </c>
      <c r="D34" s="9"/>
      <c r="E34" s="9"/>
      <c r="F34" s="9"/>
      <c r="G34" s="9"/>
      <c r="H34" s="9"/>
      <c r="I34" s="45"/>
      <c r="J34" s="45"/>
      <c r="K34" s="45"/>
      <c r="L34" s="45"/>
      <c r="M34" s="45"/>
      <c r="N34" s="45"/>
    </row>
    <row r="35" spans="1:14">
      <c r="A35" s="9"/>
      <c r="B35" s="9" t="s">
        <v>82</v>
      </c>
      <c r="C35" s="9" t="s">
        <v>83</v>
      </c>
      <c r="D35" s="9"/>
      <c r="E35" s="9"/>
      <c r="F35" s="9"/>
      <c r="G35" s="9"/>
      <c r="H35" s="9"/>
      <c r="I35" s="45"/>
      <c r="J35" s="45"/>
      <c r="K35" s="45"/>
      <c r="L35" s="45"/>
      <c r="M35" s="45"/>
      <c r="N35" s="45"/>
    </row>
    <row r="36" spans="1:14">
      <c r="A36" s="9"/>
      <c r="B36" s="9" t="s">
        <v>84</v>
      </c>
      <c r="C36" s="9" t="s">
        <v>85</v>
      </c>
      <c r="D36" s="9"/>
      <c r="E36" s="9"/>
      <c r="F36" s="9"/>
      <c r="G36" s="9"/>
      <c r="H36" s="9"/>
      <c r="I36" s="45"/>
      <c r="J36" s="45"/>
      <c r="K36" s="45"/>
      <c r="L36" s="45"/>
      <c r="M36" s="45"/>
      <c r="N36" s="45"/>
    </row>
    <row r="37" spans="1:14">
      <c r="A37" s="9"/>
      <c r="B37" s="9" t="s">
        <v>86</v>
      </c>
      <c r="C37" s="9" t="s">
        <v>87</v>
      </c>
      <c r="D37" s="9"/>
      <c r="E37" s="9"/>
      <c r="F37" s="9"/>
      <c r="G37" s="9"/>
      <c r="H37" s="9"/>
      <c r="I37" s="45"/>
      <c r="J37" s="45"/>
      <c r="K37" s="45"/>
      <c r="L37" s="45"/>
      <c r="M37" s="45"/>
      <c r="N37" s="45"/>
    </row>
    <row r="38" spans="1:14">
      <c r="A38" s="9"/>
      <c r="B38" s="9" t="s">
        <v>88</v>
      </c>
      <c r="C38" s="9" t="s">
        <v>89</v>
      </c>
      <c r="D38" s="9"/>
      <c r="E38" s="9"/>
      <c r="F38" s="9"/>
      <c r="G38" s="9"/>
      <c r="H38" s="9"/>
      <c r="I38" s="45"/>
      <c r="J38" s="45"/>
      <c r="K38" s="45"/>
      <c r="L38" s="45"/>
      <c r="M38" s="45"/>
      <c r="N38" s="45"/>
    </row>
    <row r="41" spans="1:14">
      <c r="J41" s="59" t="s">
        <v>91</v>
      </c>
    </row>
    <row r="42" spans="1:14">
      <c r="J42" s="11" t="s">
        <v>40</v>
      </c>
      <c r="K42" s="53">
        <f>IF($J$42="Total",G13/G24,IF($J$42="Generation",H13/H24,IF($J$42="Transmission",I13/I24,IF($J$42="Distribution",J13/J24,K13/K24))))</f>
        <v>0.82644592657743832</v>
      </c>
      <c r="L42" s="52" t="s">
        <v>42</v>
      </c>
    </row>
    <row r="43" spans="1:14">
      <c r="K43" s="54">
        <v>17256076.624327</v>
      </c>
      <c r="L43" s="2" t="s">
        <v>92</v>
      </c>
    </row>
    <row r="44" spans="1:14">
      <c r="K44" s="54">
        <f>K42*K43</f>
        <v>14261214.234883202</v>
      </c>
      <c r="L44" s="2" t="s">
        <v>93</v>
      </c>
    </row>
    <row r="45" spans="1:14">
      <c r="K45" s="50">
        <f>'[1]Rate Spread'!L16</f>
        <v>1601807.788900645</v>
      </c>
      <c r="L45" s="50" t="s">
        <v>96</v>
      </c>
    </row>
    <row r="46" spans="1:14">
      <c r="K46" s="55">
        <f>(K44/K45)/1000</f>
        <v>8.9031994560789217E-3</v>
      </c>
      <c r="L46" s="2" t="s">
        <v>94</v>
      </c>
    </row>
    <row r="47" spans="1:14">
      <c r="K47" s="56">
        <v>1300</v>
      </c>
      <c r="L47" s="2" t="s">
        <v>95</v>
      </c>
    </row>
    <row r="49" spans="7:12">
      <c r="G49" s="2" t="s">
        <v>90</v>
      </c>
      <c r="K49" s="60" t="s">
        <v>101</v>
      </c>
    </row>
    <row r="50" spans="7:12">
      <c r="K50" s="51">
        <f>K46*K47</f>
        <v>11.574159292902598</v>
      </c>
      <c r="L50" s="2" t="s">
        <v>97</v>
      </c>
    </row>
    <row r="51" spans="7:12">
      <c r="K51" s="51">
        <f>K50/12</f>
        <v>0.96451327440854984</v>
      </c>
      <c r="L51" s="2" t="s">
        <v>98</v>
      </c>
    </row>
    <row r="53" spans="7:12">
      <c r="K53" s="60" t="s">
        <v>99</v>
      </c>
    </row>
    <row r="54" spans="7:12">
      <c r="K54" s="57">
        <f>K50/3</f>
        <v>3.8580530976341993</v>
      </c>
      <c r="L54" s="2" t="s">
        <v>97</v>
      </c>
    </row>
    <row r="55" spans="7:12">
      <c r="K55" s="57">
        <f>K54/12</f>
        <v>0.32150442480284996</v>
      </c>
      <c r="L55" s="2" t="s">
        <v>98</v>
      </c>
    </row>
    <row r="57" spans="7:12">
      <c r="K57" s="60" t="s">
        <v>100</v>
      </c>
    </row>
    <row r="58" spans="7:12">
      <c r="K58" s="57">
        <f>K50/5</f>
        <v>2.3148318585805194</v>
      </c>
      <c r="L58" s="2" t="s">
        <v>97</v>
      </c>
    </row>
    <row r="59" spans="7:12">
      <c r="K59" s="57">
        <f>K58/12</f>
        <v>0.19290265488170996</v>
      </c>
      <c r="L59" s="2" t="s">
        <v>98</v>
      </c>
    </row>
  </sheetData>
  <mergeCells count="2">
    <mergeCell ref="P9:Q9"/>
    <mergeCell ref="R9:T9"/>
  </mergeCells>
  <dataValidations count="1">
    <dataValidation type="list" allowBlank="1" showInputMessage="1" showErrorMessage="1" sqref="J42">
      <formula1>$G$10:$K$10</formula1>
    </dataValidation>
  </dataValidations>
  <pageMargins left="0.7" right="0.7" top="0.75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2013-03-22T07:00:00+00:00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5CD1C-12F1-45F1-B485-CA146BFF8289}"/>
</file>

<file path=customXml/itemProps2.xml><?xml version="1.0" encoding="utf-8"?>
<ds:datastoreItem xmlns:ds="http://schemas.openxmlformats.org/officeDocument/2006/customXml" ds:itemID="{F07473B1-CBA0-48CD-895A-4C4B9AEA4D8B}"/>
</file>

<file path=customXml/itemProps3.xml><?xml version="1.0" encoding="utf-8"?>
<ds:datastoreItem xmlns:ds="http://schemas.openxmlformats.org/officeDocument/2006/customXml" ds:itemID="{28C319A6-4248-4389-96F6-9871D0B3E07D}"/>
</file>

<file path=customXml/itemProps4.xml><?xml version="1.0" encoding="utf-8"?>
<ds:datastoreItem xmlns:ds="http://schemas.openxmlformats.org/officeDocument/2006/customXml" ds:itemID="{E128BB66-A4B4-4051-90BB-0C904C18F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Schooley</dc:creator>
  <cp:lastModifiedBy>Krista Gross</cp:lastModifiedBy>
  <dcterms:created xsi:type="dcterms:W3CDTF">2013-03-13T16:00:28Z</dcterms:created>
  <dcterms:modified xsi:type="dcterms:W3CDTF">2013-03-22T20:57:19Z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