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3"/>
  </bookViews>
  <sheets>
    <sheet name="2008 USF separate" sheetId="1" r:id="rId1"/>
    <sheet name="2008 USF in network" sheetId="2" r:id="rId2"/>
    <sheet name="EXP WS" sheetId="3" r:id="rId3"/>
    <sheet name="RR Calc" sheetId="4" r:id="rId4"/>
    <sheet name="WUTC" sheetId="5" r:id="rId5"/>
  </sheets>
  <definedNames>
    <definedName name="ALL" localSheetId="0">'2008 USF separate'!$B$1:$J$32</definedName>
    <definedName name="ALL" localSheetId="4">'WUTC'!$B$1:$J$32</definedName>
    <definedName name="ALL">'2008 USF in network'!$B$1:$J$30</definedName>
    <definedName name="E" localSheetId="0">'2008 USF separate'!$B$1:$J$19</definedName>
    <definedName name="E" localSheetId="4">'WUTC'!$B$1:$J$19</definedName>
    <definedName name="E">'2008 USF in network'!$B$1:$J$19</definedName>
    <definedName name="_xlnm.Print_Area" localSheetId="1">'2008 USF in network'!$E$6:$R$69</definedName>
    <definedName name="_xlnm.Print_Area" localSheetId="0">'2008 USF separate'!$E$6:$R$71</definedName>
    <definedName name="_xlnm.Print_Area" localSheetId="4">'WUTC'!$E$6:$R$71</definedName>
    <definedName name="_xlnm.Print_Area">'2008 USF in network'!$A$1:$J$36</definedName>
    <definedName name="_xlnm.Print_Titles" localSheetId="1">'2008 USF in network'!$A:$D,'2008 USF in network'!$1:$5</definedName>
    <definedName name="_xlnm.Print_Titles" localSheetId="0">'2008 USF separate'!$A:$D,'2008 USF separate'!$1:$5</definedName>
    <definedName name="_xlnm.Print_Titles" localSheetId="4">'WUTC'!$A:$D,'WUTC'!$1:$5</definedName>
  </definedNames>
  <calcPr fullCalcOnLoad="1" iterate="1" iterateCount="1" iterateDelta="0"/>
</workbook>
</file>

<file path=xl/comments1.xml><?xml version="1.0" encoding="utf-8"?>
<comments xmlns="http://schemas.openxmlformats.org/spreadsheetml/2006/main">
  <authors>
    <author>Jenifer Wasnock</author>
    <author>Jenifer</author>
  </authors>
  <commentList>
    <comment ref="G8" authorId="0">
      <text>
        <r>
          <rPr>
            <b/>
            <sz val="8"/>
            <rFont val="Tahoma"/>
            <family val="0"/>
          </rPr>
          <t>Jenifer Wasnock:</t>
        </r>
        <r>
          <rPr>
            <sz val="8"/>
            <rFont val="Tahoma"/>
            <family val="0"/>
          </rPr>
          <t xml:space="preserve">
Includes Part X and Cost Study Adjustments</t>
        </r>
      </text>
    </comment>
    <comment ref="R26" authorId="0">
      <text>
        <r>
          <rPr>
            <b/>
            <sz val="8"/>
            <rFont val="Tahoma"/>
            <family val="0"/>
          </rPr>
          <t>Jenifer Wasnock:</t>
        </r>
        <r>
          <rPr>
            <sz val="8"/>
            <rFont val="Tahoma"/>
            <family val="0"/>
          </rPr>
          <t xml:space="preserve">
Coin B&amp;C</t>
        </r>
      </text>
    </comment>
    <comment ref="G27" authorId="1">
      <text>
        <r>
          <rPr>
            <b/>
            <sz val="9"/>
            <rFont val="Tahoma"/>
            <family val="0"/>
          </rPr>
          <t>Jenifer:</t>
        </r>
        <r>
          <rPr>
            <sz val="9"/>
            <rFont val="Tahoma"/>
            <family val="0"/>
          </rPr>
          <t xml:space="preserve">
CLEC Revenues remove</t>
        </r>
      </text>
    </comment>
  </commentList>
</comments>
</file>

<file path=xl/comments2.xml><?xml version="1.0" encoding="utf-8"?>
<comments xmlns="http://schemas.openxmlformats.org/spreadsheetml/2006/main">
  <authors>
    <author>Jenifer Wasnock</author>
  </authors>
  <commentList>
    <comment ref="G8" authorId="0">
      <text>
        <r>
          <rPr>
            <b/>
            <sz val="8"/>
            <rFont val="Tahoma"/>
            <family val="0"/>
          </rPr>
          <t>Jenifer Wasnock:</t>
        </r>
        <r>
          <rPr>
            <sz val="8"/>
            <rFont val="Tahoma"/>
            <family val="0"/>
          </rPr>
          <t xml:space="preserve">
Includes Part X and Cost Study Adjustments</t>
        </r>
      </text>
    </comment>
    <comment ref="R25" authorId="0">
      <text>
        <r>
          <rPr>
            <b/>
            <sz val="8"/>
            <rFont val="Tahoma"/>
            <family val="0"/>
          </rPr>
          <t>Jenifer Wasnock:</t>
        </r>
        <r>
          <rPr>
            <sz val="8"/>
            <rFont val="Tahoma"/>
            <family val="0"/>
          </rPr>
          <t xml:space="preserve">
Coin B&amp;C</t>
        </r>
      </text>
    </comment>
  </commentList>
</comments>
</file>

<file path=xl/comments4.xml><?xml version="1.0" encoding="utf-8"?>
<comments xmlns="http://schemas.openxmlformats.org/spreadsheetml/2006/main">
  <authors>
    <author>Jenifer Wasnock</author>
  </authors>
  <commentList>
    <comment ref="C11" authorId="0">
      <text>
        <r>
          <rPr>
            <b/>
            <sz val="8"/>
            <rFont val="Tahoma"/>
            <family val="0"/>
          </rPr>
          <t>Jenifer Wasnock:</t>
        </r>
        <r>
          <rPr>
            <sz val="8"/>
            <rFont val="Tahoma"/>
            <family val="0"/>
          </rPr>
          <t xml:space="preserve">
Only Plant, AD and RTB Stock and Yearend Def Income.  Do not include Material &amp; Supplies
</t>
        </r>
      </text>
    </comment>
    <comment ref="C22" authorId="0">
      <text>
        <r>
          <rPr>
            <b/>
            <sz val="8"/>
            <rFont val="Tahoma"/>
            <family val="0"/>
          </rPr>
          <t>Jenifer Wasnock:</t>
        </r>
        <r>
          <rPr>
            <sz val="8"/>
            <rFont val="Tahoma"/>
            <family val="0"/>
          </rPr>
          <t xml:space="preserve">
Only Plant, AD and RTB Stock and Yearend Def Income.  Do not include Material &amp; Supplies
</t>
        </r>
      </text>
    </comment>
    <comment ref="C7" authorId="0">
      <text>
        <r>
          <rPr>
            <b/>
            <sz val="8"/>
            <rFont val="Tahoma"/>
            <family val="0"/>
          </rPr>
          <t>Jenifer Wasnock:</t>
        </r>
        <r>
          <rPr>
            <sz val="8"/>
            <rFont val="Tahoma"/>
            <family val="0"/>
          </rPr>
          <t xml:space="preserve">
excludes uncollectible</t>
        </r>
      </text>
    </comment>
  </commentList>
</comments>
</file>

<file path=xl/comments5.xml><?xml version="1.0" encoding="utf-8"?>
<comments xmlns="http://schemas.openxmlformats.org/spreadsheetml/2006/main">
  <authors>
    <author>Jenifer Wasnock</author>
  </authors>
  <commentList>
    <comment ref="G8" authorId="0">
      <text>
        <r>
          <rPr>
            <b/>
            <sz val="8"/>
            <rFont val="Tahoma"/>
            <family val="0"/>
          </rPr>
          <t>Jenifer Wasnock:</t>
        </r>
        <r>
          <rPr>
            <sz val="8"/>
            <rFont val="Tahoma"/>
            <family val="0"/>
          </rPr>
          <t xml:space="preserve">
Includes Part X and Cost Study Adjustments</t>
        </r>
      </text>
    </comment>
    <comment ref="R26" authorId="0">
      <text>
        <r>
          <rPr>
            <b/>
            <sz val="8"/>
            <rFont val="Tahoma"/>
            <family val="0"/>
          </rPr>
          <t>Jenifer Wasnock:</t>
        </r>
        <r>
          <rPr>
            <sz val="8"/>
            <rFont val="Tahoma"/>
            <family val="0"/>
          </rPr>
          <t xml:space="preserve">
Coin B&amp;C</t>
        </r>
      </text>
    </comment>
  </commentList>
</comments>
</file>

<file path=xl/sharedStrings.xml><?xml version="1.0" encoding="utf-8"?>
<sst xmlns="http://schemas.openxmlformats.org/spreadsheetml/2006/main" count="251" uniqueCount="84">
  <si>
    <t>SUPPLEMENT - WASHINGTON UTILITIES &amp; TRANSPORTATION COMMISSION</t>
  </si>
  <si>
    <t>CURRENT ASSETS:</t>
  </si>
  <si>
    <t>PROPERTY, PLANT &amp; EQUIPMENT:</t>
  </si>
  <si>
    <t>OPERATING REVENUES:</t>
  </si>
  <si>
    <t>OPERATING EXPENSES:</t>
  </si>
  <si>
    <t>1220 MATERIALS &amp; SUPPLIES</t>
  </si>
  <si>
    <t>1402 RTB STOCK - CLASS B</t>
  </si>
  <si>
    <t>2001 TELEPHONE PLANT IN SERVICE</t>
  </si>
  <si>
    <t>2002 PROP HELD FOR FUTURE USE</t>
  </si>
  <si>
    <t>2003 PLANT UNDER CONSTRUCTION</t>
  </si>
  <si>
    <t>3100 ACCUMULATED DEPRECIATION</t>
  </si>
  <si>
    <t>3200 ACCUM DEPR - PHFU</t>
  </si>
  <si>
    <t>4340 DEFERRED OPERATING INCOME TAXES</t>
  </si>
  <si>
    <t>5000: LOCAL NETWORK SERVICES REVENUE</t>
  </si>
  <si>
    <t>5080: NETWORK ACCESS SERVICES REVENUE</t>
  </si>
  <si>
    <t>5100: LONG DISTANCE NETWORK SERVICES REV.</t>
  </si>
  <si>
    <t>5200: MISCELLANEOUS REVENUES</t>
  </si>
  <si>
    <t>5300 UNCOLLECTIBLE REVENUES</t>
  </si>
  <si>
    <t>6110-6410: PLANT SPECIFIC OPERATIONS EXPENSES</t>
  </si>
  <si>
    <t>6510-6530: PLANT NONSPECIFIC OPERATIONS EXP.</t>
  </si>
  <si>
    <t>6560: DEPRECIATION EXPENSE</t>
  </si>
  <si>
    <t>6610-6620: CUSTOMER OPERATIONS EXPENSE</t>
  </si>
  <si>
    <t>6710-6720: CORPORATE OPERATIONS EXPENSE</t>
  </si>
  <si>
    <t>7200 OPERATING TAXES</t>
  </si>
  <si>
    <t>INTERSTATE</t>
  </si>
  <si>
    <t>ALL OTHER</t>
  </si>
  <si>
    <t>TOTAL</t>
  </si>
  <si>
    <t>Data Sheet</t>
  </si>
  <si>
    <t>Adjustments</t>
  </si>
  <si>
    <t>Adjusted Balance</t>
  </si>
  <si>
    <t>Percentage Intrastate</t>
  </si>
  <si>
    <t>Prior Year Ratio To Calculate Adjustments</t>
  </si>
  <si>
    <t>Ratio of Adjustments</t>
  </si>
  <si>
    <t>Total Adjustment</t>
  </si>
  <si>
    <t>Description</t>
  </si>
  <si>
    <t>RUS479</t>
  </si>
  <si>
    <t>Variance</t>
  </si>
  <si>
    <t>Plant Specific</t>
  </si>
  <si>
    <t>Plant Non-Specific</t>
  </si>
  <si>
    <t>Depreciation</t>
  </si>
  <si>
    <t xml:space="preserve">Customer Operations </t>
  </si>
  <si>
    <t>Corporate Operations</t>
  </si>
  <si>
    <t>Amortization</t>
  </si>
  <si>
    <t>Operating Expenses</t>
  </si>
  <si>
    <t>FIT</t>
  </si>
  <si>
    <t>Other Taxes</t>
  </si>
  <si>
    <t>Totals Taxes</t>
  </si>
  <si>
    <t>Telco GL</t>
  </si>
  <si>
    <t>5200: CARRIER BILLING AND COLLECTION</t>
  </si>
  <si>
    <t>Local Network</t>
  </si>
  <si>
    <t>Network Access</t>
  </si>
  <si>
    <t>Long Distance Network</t>
  </si>
  <si>
    <t>Carrier B&amp;C</t>
  </si>
  <si>
    <t>Miscellaneouse Revenues</t>
  </si>
  <si>
    <t>Uncollectible Revenues</t>
  </si>
  <si>
    <t>Total Revenues</t>
  </si>
  <si>
    <t>Amount</t>
  </si>
  <si>
    <t>Operating Revenues</t>
  </si>
  <si>
    <t>a</t>
  </si>
  <si>
    <t>Net Income</t>
  </si>
  <si>
    <t>b</t>
  </si>
  <si>
    <t>Revenue Requirment Calculation (a/b)</t>
  </si>
  <si>
    <t>5080: USF</t>
  </si>
  <si>
    <t>Rate Base*</t>
  </si>
  <si>
    <t>Rate Base with PUC*</t>
  </si>
  <si>
    <t>*In this calculation Rate Base is not averaged</t>
  </si>
  <si>
    <t>Balance per Books @ 12/31/05</t>
  </si>
  <si>
    <t>Materials &amp; Supplies</t>
  </si>
  <si>
    <t>Telephone Plant</t>
  </si>
  <si>
    <t>Plant Under Construction</t>
  </si>
  <si>
    <t>Accumulated Depreciation</t>
  </si>
  <si>
    <t>Deferred FIT</t>
  </si>
  <si>
    <t>Balance Per Books @ 12/31/08</t>
  </si>
  <si>
    <t>Intrastate @ 12/31/08</t>
  </si>
  <si>
    <t>2007 STUDY BALANCES</t>
  </si>
  <si>
    <t>Balance per Books @ 12/31/07</t>
  </si>
  <si>
    <t>REVENUE/EXPENSE COMPARISION 2008</t>
  </si>
  <si>
    <t>REVENUE REQUIREMENT CALCULATION - INTRASTATE 2008</t>
  </si>
  <si>
    <t>WEAVTEL</t>
  </si>
  <si>
    <t>DID NOT USE - USED ACTUAL CS ADJUSTMENTS</t>
  </si>
  <si>
    <t>2008 STUDY BALANCES</t>
  </si>
  <si>
    <t>DID NOT USE</t>
  </si>
  <si>
    <t>DID NOT USE - USED ACTUAL 2008 CS AJE</t>
  </si>
  <si>
    <t>FOR THE YEAR ENDED DECEMBER 31, 2008 PLUS 2009 PLANT ADDITIONS AND PROJECTED REVENUES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</si>
</sst>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_);\(0.000000\)"/>
    <numFmt numFmtId="165" formatCode="[$-409]dddd\,\ mmmm\ dd\,\ yyyy"/>
    <numFmt numFmtId="166" formatCode="_(* #,##0.0_);_(* \(#,##0.0\);_(* &quot;-&quot;??_);_(@_)"/>
    <numFmt numFmtId="167" formatCode="_(* #,##0_);_(* \(#,##0\);_(* &quot;-&quot;??_);_(@_)"/>
    <numFmt numFmtId="168" formatCode="0.000000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#,##0.000000_);\(#,##0.000000\)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i/>
      <sz val="12"/>
      <name val="Arial"/>
      <family val="2"/>
    </font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"/>
      <family val="2"/>
    </font>
    <font>
      <sz val="12"/>
      <color indexed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37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37" fontId="0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 wrapText="1"/>
    </xf>
    <xf numFmtId="3" fontId="0" fillId="0" borderId="0" xfId="0" applyNumberForma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37" fontId="0" fillId="0" borderId="0" xfId="0" applyNumberFormat="1" applyBorder="1" applyAlignment="1">
      <alignment/>
    </xf>
    <xf numFmtId="37" fontId="0" fillId="0" borderId="11" xfId="0" applyNumberFormat="1" applyBorder="1" applyAlignment="1">
      <alignment/>
    </xf>
    <xf numFmtId="0" fontId="0" fillId="0" borderId="0" xfId="0" applyAlignment="1">
      <alignment horizontal="left" indent="1"/>
    </xf>
    <xf numFmtId="37" fontId="0" fillId="0" borderId="12" xfId="0" applyNumberFormat="1" applyBorder="1" applyAlignment="1">
      <alignment/>
    </xf>
    <xf numFmtId="10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168" fontId="0" fillId="0" borderId="13" xfId="0" applyNumberFormat="1" applyBorder="1" applyAlignment="1">
      <alignment/>
    </xf>
    <xf numFmtId="0" fontId="14" fillId="0" borderId="0" xfId="0" applyFont="1" applyAlignment="1">
      <alignment/>
    </xf>
    <xf numFmtId="173" fontId="0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41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9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37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center"/>
    </xf>
    <xf numFmtId="14" fontId="4" fillId="33" borderId="0" xfId="0" applyNumberFormat="1" applyFont="1" applyFill="1" applyAlignment="1">
      <alignment horizontal="center" wrapText="1"/>
    </xf>
    <xf numFmtId="0" fontId="4" fillId="33" borderId="11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/>
    </xf>
    <xf numFmtId="3" fontId="0" fillId="33" borderId="10" xfId="0" applyNumberFormat="1" applyFill="1" applyBorder="1" applyAlignment="1">
      <alignment/>
    </xf>
    <xf numFmtId="37" fontId="15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41" fontId="15" fillId="33" borderId="0" xfId="0" applyNumberFormat="1" applyFont="1" applyFill="1" applyAlignment="1">
      <alignment/>
    </xf>
    <xf numFmtId="173" fontId="0" fillId="33" borderId="0" xfId="0" applyNumberFormat="1" applyFont="1" applyFill="1" applyAlignment="1">
      <alignment/>
    </xf>
    <xf numFmtId="43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167" fontId="0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3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1" fontId="0" fillId="33" borderId="0" xfId="0" applyNumberFormat="1" applyFont="1" applyFill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showOutlineSymbols="0" zoomScale="75" zoomScaleNormal="75" zoomScalePageLayoutView="0" workbookViewId="0" topLeftCell="A1">
      <pane xSplit="4" ySplit="8" topLeftCell="J1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O32" sqref="O32"/>
    </sheetView>
  </sheetViews>
  <sheetFormatPr defaultColWidth="9.6640625" defaultRowHeight="15"/>
  <cols>
    <col min="1" max="1" width="6.6640625" style="1" customWidth="1"/>
    <col min="2" max="3" width="2.6640625" style="1" customWidth="1"/>
    <col min="4" max="4" width="46.6640625" style="1" customWidth="1"/>
    <col min="5" max="5" width="12.77734375" style="1" customWidth="1"/>
    <col min="6" max="6" width="1.66796875" style="1" customWidth="1"/>
    <col min="7" max="7" width="13.10546875" style="1" customWidth="1"/>
    <col min="8" max="8" width="1.66796875" style="1" customWidth="1"/>
    <col min="9" max="9" width="18.77734375" style="1" bestFit="1" customWidth="1"/>
    <col min="10" max="10" width="2.10546875" style="1" customWidth="1"/>
    <col min="11" max="11" width="13.4453125" style="1" customWidth="1"/>
    <col min="12" max="12" width="1.88671875" style="1" customWidth="1"/>
    <col min="13" max="13" width="12.77734375" style="1" customWidth="1"/>
    <col min="14" max="14" width="2.88671875" style="1" customWidth="1"/>
    <col min="15" max="15" width="12.3359375" style="1" customWidth="1"/>
    <col min="16" max="16" width="1.77734375" style="1" customWidth="1"/>
    <col min="17" max="17" width="12.4453125" style="1" customWidth="1"/>
    <col min="18" max="18" width="12.6640625" style="1" customWidth="1"/>
    <col min="19" max="16384" width="9.6640625" style="1" customWidth="1"/>
  </cols>
  <sheetData>
    <row r="1" spans="1:10" ht="15.75">
      <c r="A1" s="23">
        <v>1</v>
      </c>
      <c r="B1" s="2" t="s">
        <v>78</v>
      </c>
      <c r="C1" s="3"/>
      <c r="D1" s="3"/>
      <c r="E1" s="3"/>
      <c r="F1" s="3"/>
      <c r="G1" s="3"/>
      <c r="H1" s="3"/>
      <c r="I1" s="3"/>
      <c r="J1" s="3"/>
    </row>
    <row r="2" spans="1:2" ht="15.75">
      <c r="A2" s="23">
        <f>1+$A$1</f>
        <v>2</v>
      </c>
      <c r="B2" s="2" t="s">
        <v>0</v>
      </c>
    </row>
    <row r="3" spans="1:2" ht="15.75">
      <c r="A3" s="23">
        <f>1+$A$2</f>
        <v>3</v>
      </c>
      <c r="B3" s="2" t="s">
        <v>83</v>
      </c>
    </row>
    <row r="4" spans="1:2" ht="15.75">
      <c r="A4" s="23">
        <f>1+$A$3</f>
        <v>4</v>
      </c>
      <c r="B4" s="2"/>
    </row>
    <row r="5" ht="15">
      <c r="A5" s="23">
        <f>1+$A$4</f>
        <v>5</v>
      </c>
    </row>
    <row r="6" spans="1:18" ht="15.75">
      <c r="A6" s="23">
        <f>1+$A$5</f>
        <v>6</v>
      </c>
      <c r="E6" s="5"/>
      <c r="F6" s="5"/>
      <c r="G6" s="5"/>
      <c r="H6" s="5"/>
      <c r="I6" s="5"/>
      <c r="K6" s="12"/>
      <c r="M6" s="20"/>
      <c r="O6" s="72" t="s">
        <v>27</v>
      </c>
      <c r="P6" s="73"/>
      <c r="Q6" s="73"/>
      <c r="R6" s="73"/>
    </row>
    <row r="7" spans="1:18" ht="15.75">
      <c r="A7" s="23">
        <f>1+$A$6</f>
        <v>7</v>
      </c>
      <c r="E7" s="5"/>
      <c r="F7" s="5"/>
      <c r="G7" s="5"/>
      <c r="H7" s="5"/>
      <c r="I7" s="5"/>
      <c r="K7" s="5"/>
      <c r="M7" s="16"/>
      <c r="O7" s="72" t="s">
        <v>80</v>
      </c>
      <c r="P7" s="74"/>
      <c r="Q7" s="74"/>
      <c r="R7" s="74"/>
    </row>
    <row r="8" spans="1:18" ht="47.25">
      <c r="A8" s="23">
        <f>1+$A$7</f>
        <v>8</v>
      </c>
      <c r="E8" s="16" t="s">
        <v>72</v>
      </c>
      <c r="F8" s="18"/>
      <c r="G8" s="14" t="s">
        <v>28</v>
      </c>
      <c r="H8" s="18"/>
      <c r="I8" s="14" t="s">
        <v>29</v>
      </c>
      <c r="K8" s="19" t="s">
        <v>30</v>
      </c>
      <c r="M8" s="21" t="s">
        <v>73</v>
      </c>
      <c r="O8" s="5" t="s">
        <v>24</v>
      </c>
      <c r="Q8" s="5" t="s">
        <v>25</v>
      </c>
      <c r="R8" s="15" t="s">
        <v>26</v>
      </c>
    </row>
    <row r="9" spans="1:17" ht="15.75">
      <c r="A9" s="23">
        <f>1+$A$8</f>
        <v>9</v>
      </c>
      <c r="B9" s="4" t="s">
        <v>1</v>
      </c>
      <c r="E9" s="6"/>
      <c r="F9" s="17"/>
      <c r="G9" s="6"/>
      <c r="H9" s="17"/>
      <c r="I9" s="6"/>
      <c r="M9" s="7"/>
      <c r="O9" s="7"/>
      <c r="Q9" s="7"/>
    </row>
    <row r="10" spans="1:18" ht="15">
      <c r="A10" s="23">
        <f>1+$A$9</f>
        <v>10</v>
      </c>
      <c r="C10" s="1" t="s">
        <v>5</v>
      </c>
      <c r="E10" s="46">
        <v>0</v>
      </c>
      <c r="F10" s="10"/>
      <c r="G10" s="10">
        <f>K46</f>
        <v>0</v>
      </c>
      <c r="H10" s="10"/>
      <c r="I10" s="10">
        <f>E10+G10</f>
        <v>0</v>
      </c>
      <c r="K10" s="11">
        <v>0</v>
      </c>
      <c r="M10" s="10">
        <f>I10*K10</f>
        <v>0</v>
      </c>
      <c r="O10" s="48">
        <v>0</v>
      </c>
      <c r="P10" s="48"/>
      <c r="Q10" s="48">
        <v>0</v>
      </c>
      <c r="R10" s="49">
        <f>Q10+O10</f>
        <v>0</v>
      </c>
    </row>
    <row r="11" spans="1:18" ht="15">
      <c r="A11" s="23">
        <f>1+$A$10</f>
        <v>11</v>
      </c>
      <c r="C11" s="1" t="s">
        <v>6</v>
      </c>
      <c r="E11" s="46">
        <v>1E-07</v>
      </c>
      <c r="F11" s="10"/>
      <c r="G11" s="10"/>
      <c r="H11" s="10"/>
      <c r="I11" s="10">
        <f>E11+G11</f>
        <v>1E-07</v>
      </c>
      <c r="M11" s="10">
        <f>I11*K11</f>
        <v>0</v>
      </c>
      <c r="O11" s="48">
        <f>+R11-Q11</f>
        <v>0</v>
      </c>
      <c r="P11" s="48"/>
      <c r="Q11" s="48">
        <v>1E-07</v>
      </c>
      <c r="R11" s="49">
        <v>1E-07</v>
      </c>
    </row>
    <row r="12" spans="1:18" ht="15">
      <c r="A12" s="23">
        <f>1+$A$11</f>
        <v>12</v>
      </c>
      <c r="E12" s="46"/>
      <c r="F12" s="10"/>
      <c r="G12" s="10"/>
      <c r="H12" s="10"/>
      <c r="I12" s="10"/>
      <c r="M12" s="10"/>
      <c r="O12" s="48"/>
      <c r="P12" s="48"/>
      <c r="Q12" s="48"/>
      <c r="R12" s="49"/>
    </row>
    <row r="13" spans="1:18" ht="15.75">
      <c r="A13" s="23">
        <f>1+$A$12</f>
        <v>13</v>
      </c>
      <c r="B13" s="4" t="s">
        <v>2</v>
      </c>
      <c r="E13" s="46"/>
      <c r="F13" s="10"/>
      <c r="G13" s="10"/>
      <c r="H13" s="10"/>
      <c r="I13" s="10"/>
      <c r="M13" s="10"/>
      <c r="O13" s="48"/>
      <c r="P13" s="48"/>
      <c r="Q13" s="48"/>
      <c r="R13" s="49"/>
    </row>
    <row r="14" spans="1:18" ht="15">
      <c r="A14" s="23">
        <f>1+$A$13</f>
        <v>14</v>
      </c>
      <c r="C14" s="1" t="s">
        <v>7</v>
      </c>
      <c r="E14" s="46">
        <f>1854194</f>
        <v>1854194</v>
      </c>
      <c r="F14" s="10"/>
      <c r="G14" s="10">
        <f>19000-16000</f>
        <v>3000</v>
      </c>
      <c r="H14" s="10"/>
      <c r="I14" s="10">
        <f aca="true" t="shared" si="0" ref="I14:I19">E14+G14</f>
        <v>1857194</v>
      </c>
      <c r="K14" s="11">
        <f>+Q14/(O14+Q14)</f>
        <v>0.6607106072887355</v>
      </c>
      <c r="M14" s="10">
        <f aca="true" t="shared" si="1" ref="M14:M19">I14*K14</f>
        <v>1227067.7755929958</v>
      </c>
      <c r="O14" s="48">
        <v>683547</v>
      </c>
      <c r="P14" s="48"/>
      <c r="Q14" s="46">
        <v>1331096</v>
      </c>
      <c r="R14" s="49">
        <f aca="true" t="shared" si="2" ref="R14:R19">Q14+O14</f>
        <v>2014643</v>
      </c>
    </row>
    <row r="15" spans="1:18" ht="15">
      <c r="A15" s="23">
        <f>1+$A$14</f>
        <v>15</v>
      </c>
      <c r="C15" s="1" t="s">
        <v>8</v>
      </c>
      <c r="E15" s="46">
        <v>1E-07</v>
      </c>
      <c r="F15" s="10"/>
      <c r="G15" s="10"/>
      <c r="H15" s="10"/>
      <c r="I15" s="10">
        <f t="shared" si="0"/>
        <v>1E-07</v>
      </c>
      <c r="M15" s="10">
        <f t="shared" si="1"/>
        <v>0</v>
      </c>
      <c r="O15" s="48">
        <v>0</v>
      </c>
      <c r="P15" s="48"/>
      <c r="Q15" s="46">
        <v>0</v>
      </c>
      <c r="R15" s="49">
        <f t="shared" si="2"/>
        <v>0</v>
      </c>
    </row>
    <row r="16" spans="1:18" ht="15">
      <c r="A16" s="23">
        <f>1+$A$15</f>
        <v>16</v>
      </c>
      <c r="C16" s="1" t="s">
        <v>9</v>
      </c>
      <c r="E16" s="46">
        <v>19415</v>
      </c>
      <c r="F16" s="10"/>
      <c r="G16" s="10">
        <f>-E16</f>
        <v>-19415</v>
      </c>
      <c r="H16" s="10"/>
      <c r="I16" s="10">
        <f t="shared" si="0"/>
        <v>0</v>
      </c>
      <c r="K16" s="11">
        <v>0</v>
      </c>
      <c r="M16" s="10">
        <f t="shared" si="1"/>
        <v>0</v>
      </c>
      <c r="O16" s="48">
        <v>0</v>
      </c>
      <c r="P16" s="48"/>
      <c r="Q16" s="46">
        <v>0</v>
      </c>
      <c r="R16" s="49">
        <f t="shared" si="2"/>
        <v>0</v>
      </c>
    </row>
    <row r="17" spans="1:18" ht="15">
      <c r="A17" s="23">
        <f>1+$A$16</f>
        <v>17</v>
      </c>
      <c r="C17" s="1" t="s">
        <v>10</v>
      </c>
      <c r="E17" s="46">
        <v>454803</v>
      </c>
      <c r="F17" s="10"/>
      <c r="G17" s="10">
        <f>K53</f>
        <v>0</v>
      </c>
      <c r="H17" s="10"/>
      <c r="I17" s="10">
        <f t="shared" si="0"/>
        <v>454803</v>
      </c>
      <c r="K17" s="11">
        <f>+Q17/(O17+Q17)</f>
        <v>0.6578077761372425</v>
      </c>
      <c r="M17" s="10">
        <f t="shared" si="1"/>
        <v>299172.9500105463</v>
      </c>
      <c r="O17" s="48">
        <v>126542</v>
      </c>
      <c r="P17" s="48"/>
      <c r="Q17" s="46">
        <v>243256</v>
      </c>
      <c r="R17" s="49">
        <f t="shared" si="2"/>
        <v>369798</v>
      </c>
    </row>
    <row r="18" spans="1:18" ht="15">
      <c r="A18" s="23">
        <f>1+$A$17</f>
        <v>18</v>
      </c>
      <c r="C18" s="1" t="s">
        <v>11</v>
      </c>
      <c r="E18" s="46">
        <v>1E-07</v>
      </c>
      <c r="F18" s="10"/>
      <c r="G18" s="10"/>
      <c r="H18" s="10"/>
      <c r="I18" s="10">
        <f t="shared" si="0"/>
        <v>1E-07</v>
      </c>
      <c r="M18" s="10">
        <f t="shared" si="1"/>
        <v>0</v>
      </c>
      <c r="O18" s="48">
        <v>0</v>
      </c>
      <c r="P18" s="48"/>
      <c r="Q18" s="46">
        <v>0</v>
      </c>
      <c r="R18" s="49">
        <f t="shared" si="2"/>
        <v>0</v>
      </c>
    </row>
    <row r="19" spans="1:18" ht="15">
      <c r="A19" s="23">
        <f>1+$A$18</f>
        <v>19</v>
      </c>
      <c r="C19" s="1" t="s">
        <v>12</v>
      </c>
      <c r="E19" s="46">
        <v>0</v>
      </c>
      <c r="F19" s="10"/>
      <c r="G19" s="10"/>
      <c r="H19" s="10"/>
      <c r="I19" s="10">
        <f t="shared" si="0"/>
        <v>0</v>
      </c>
      <c r="K19" s="11">
        <v>0</v>
      </c>
      <c r="M19" s="10">
        <f t="shared" si="1"/>
        <v>0</v>
      </c>
      <c r="O19" s="48">
        <v>0</v>
      </c>
      <c r="P19" s="48"/>
      <c r="Q19" s="46">
        <v>0</v>
      </c>
      <c r="R19" s="49">
        <f t="shared" si="2"/>
        <v>0</v>
      </c>
    </row>
    <row r="20" spans="1:18" ht="15">
      <c r="A20" s="23">
        <f>1+$A$19</f>
        <v>20</v>
      </c>
      <c r="B20" s="9"/>
      <c r="E20" s="46"/>
      <c r="F20" s="10"/>
      <c r="G20" s="10"/>
      <c r="H20" s="10"/>
      <c r="I20" s="10"/>
      <c r="M20" s="10"/>
      <c r="O20" s="48"/>
      <c r="P20" s="48"/>
      <c r="Q20" s="46"/>
      <c r="R20" s="49"/>
    </row>
    <row r="21" spans="1:18" ht="15.75">
      <c r="A21" s="23">
        <f>1+$A$20</f>
        <v>21</v>
      </c>
      <c r="B21" s="4" t="s">
        <v>3</v>
      </c>
      <c r="E21" s="46"/>
      <c r="F21" s="10"/>
      <c r="G21" s="10"/>
      <c r="H21" s="10"/>
      <c r="I21" s="10"/>
      <c r="M21" s="10"/>
      <c r="O21" s="48"/>
      <c r="P21" s="48"/>
      <c r="Q21" s="46"/>
      <c r="R21" s="49"/>
    </row>
    <row r="22" spans="1:18" ht="15">
      <c r="A22" s="23">
        <f>1+$A$21</f>
        <v>22</v>
      </c>
      <c r="B22" s="9"/>
      <c r="C22" s="1" t="s">
        <v>13</v>
      </c>
      <c r="E22" s="46">
        <v>5100</v>
      </c>
      <c r="F22" s="10"/>
      <c r="G22" s="10"/>
      <c r="H22" s="10"/>
      <c r="I22" s="10">
        <f aca="true" t="shared" si="3" ref="I22:I28">E22+G22</f>
        <v>5100</v>
      </c>
      <c r="K22" s="11">
        <f aca="true" t="shared" si="4" ref="K22:K27">+Q22/(O22+Q22)</f>
        <v>1</v>
      </c>
      <c r="M22" s="10">
        <f aca="true" t="shared" si="5" ref="M22:M28">I22*K22</f>
        <v>5100</v>
      </c>
      <c r="O22" s="48"/>
      <c r="P22" s="48"/>
      <c r="Q22" s="50">
        <f>I22</f>
        <v>5100</v>
      </c>
      <c r="R22" s="49">
        <f>Q22+O22</f>
        <v>5100</v>
      </c>
    </row>
    <row r="23" spans="1:18" ht="15">
      <c r="A23" s="23">
        <f>1+$A$22</f>
        <v>23</v>
      </c>
      <c r="B23" s="9"/>
      <c r="C23" s="1" t="s">
        <v>14</v>
      </c>
      <c r="E23" s="46">
        <f>83000+132240+52489+1475+288000</f>
        <v>557204</v>
      </c>
      <c r="F23" s="10"/>
      <c r="G23" s="10"/>
      <c r="H23" s="10"/>
      <c r="I23" s="10">
        <f t="shared" si="3"/>
        <v>557204</v>
      </c>
      <c r="K23" s="11">
        <f t="shared" si="4"/>
        <v>0.5195134995441526</v>
      </c>
      <c r="M23" s="10">
        <f t="shared" si="5"/>
        <v>289475</v>
      </c>
      <c r="O23" s="51">
        <f>R23-Q23</f>
        <v>267729</v>
      </c>
      <c r="P23" s="48"/>
      <c r="Q23" s="46">
        <f>288000+1475</f>
        <v>289475</v>
      </c>
      <c r="R23" s="49">
        <f>I23</f>
        <v>557204</v>
      </c>
    </row>
    <row r="24" spans="1:18" ht="15">
      <c r="A24" s="23">
        <v>24</v>
      </c>
      <c r="B24" s="9"/>
      <c r="C24" s="1" t="s">
        <v>62</v>
      </c>
      <c r="E24" s="46">
        <v>149915</v>
      </c>
      <c r="F24" s="10"/>
      <c r="G24" s="10"/>
      <c r="H24" s="10"/>
      <c r="I24" s="10">
        <f>E24+G24</f>
        <v>149915</v>
      </c>
      <c r="K24" s="11">
        <v>0</v>
      </c>
      <c r="M24" s="10">
        <f>I24*K24</f>
        <v>0</v>
      </c>
      <c r="O24" s="48"/>
      <c r="P24" s="48"/>
      <c r="Q24" s="50">
        <f>I24</f>
        <v>149915</v>
      </c>
      <c r="R24" s="49">
        <f>Q24+O24</f>
        <v>149915</v>
      </c>
    </row>
    <row r="25" spans="1:18" ht="15">
      <c r="A25" s="23">
        <v>25</v>
      </c>
      <c r="B25" s="9"/>
      <c r="C25" s="1" t="s">
        <v>15</v>
      </c>
      <c r="E25" s="46">
        <v>0</v>
      </c>
      <c r="F25" s="10"/>
      <c r="G25" s="10"/>
      <c r="H25" s="10"/>
      <c r="I25" s="10">
        <f t="shared" si="3"/>
        <v>0</v>
      </c>
      <c r="K25" s="11">
        <v>0</v>
      </c>
      <c r="M25" s="10">
        <f t="shared" si="5"/>
        <v>0</v>
      </c>
      <c r="O25" s="51">
        <f>I25</f>
        <v>0</v>
      </c>
      <c r="P25" s="48"/>
      <c r="Q25" s="46"/>
      <c r="R25" s="49">
        <f>Q25+O25</f>
        <v>0</v>
      </c>
    </row>
    <row r="26" spans="1:18" ht="15">
      <c r="A26" s="23">
        <v>26</v>
      </c>
      <c r="B26" s="9"/>
      <c r="C26" s="1" t="s">
        <v>48</v>
      </c>
      <c r="E26" s="46">
        <v>0</v>
      </c>
      <c r="F26" s="10"/>
      <c r="G26" s="10"/>
      <c r="H26" s="10"/>
      <c r="I26" s="10">
        <f t="shared" si="3"/>
        <v>0</v>
      </c>
      <c r="K26" s="11">
        <v>0</v>
      </c>
      <c r="M26" s="10">
        <f t="shared" si="5"/>
        <v>0</v>
      </c>
      <c r="O26" s="48">
        <v>0</v>
      </c>
      <c r="P26" s="48"/>
      <c r="Q26" s="50">
        <f>I26-O26</f>
        <v>0</v>
      </c>
      <c r="R26" s="49">
        <f>Q26+O26</f>
        <v>0</v>
      </c>
    </row>
    <row r="27" spans="1:19" ht="15">
      <c r="A27" s="23">
        <v>27</v>
      </c>
      <c r="B27" s="9"/>
      <c r="C27" s="1" t="s">
        <v>16</v>
      </c>
      <c r="E27" s="46">
        <f>17340+9700</f>
        <v>27040</v>
      </c>
      <c r="F27" s="10"/>
      <c r="G27" s="10">
        <v>-9700</v>
      </c>
      <c r="H27" s="10"/>
      <c r="I27" s="10">
        <f t="shared" si="3"/>
        <v>17340</v>
      </c>
      <c r="K27" s="11">
        <f t="shared" si="4"/>
        <v>1</v>
      </c>
      <c r="M27" s="10">
        <f t="shared" si="5"/>
        <v>17340</v>
      </c>
      <c r="O27" s="48"/>
      <c r="P27" s="48"/>
      <c r="Q27" s="50">
        <f>I27</f>
        <v>17340</v>
      </c>
      <c r="R27" s="49">
        <f>Q27+O27</f>
        <v>17340</v>
      </c>
      <c r="S27" s="13"/>
    </row>
    <row r="28" spans="1:18" ht="15">
      <c r="A28" s="23">
        <f>1+$A$27</f>
        <v>28</v>
      </c>
      <c r="B28" s="9"/>
      <c r="C28" s="1" t="s">
        <v>17</v>
      </c>
      <c r="E28" s="46">
        <v>0</v>
      </c>
      <c r="F28" s="10"/>
      <c r="G28" s="10">
        <f>-E28</f>
        <v>0</v>
      </c>
      <c r="H28" s="10"/>
      <c r="I28" s="10">
        <f t="shared" si="3"/>
        <v>0</v>
      </c>
      <c r="K28" s="11">
        <v>0</v>
      </c>
      <c r="M28" s="10">
        <f t="shared" si="5"/>
        <v>0</v>
      </c>
      <c r="O28" s="48"/>
      <c r="P28" s="48"/>
      <c r="Q28" s="50">
        <f>I28</f>
        <v>0</v>
      </c>
      <c r="R28" s="49">
        <f>Q28+O28</f>
        <v>0</v>
      </c>
    </row>
    <row r="29" spans="1:18" ht="15">
      <c r="A29" s="23">
        <v>29</v>
      </c>
      <c r="B29" s="9"/>
      <c r="E29" s="46"/>
      <c r="F29" s="10"/>
      <c r="G29" s="10"/>
      <c r="H29" s="10"/>
      <c r="I29" s="10"/>
      <c r="K29" s="11"/>
      <c r="M29" s="10"/>
      <c r="O29" s="48"/>
      <c r="P29" s="48"/>
      <c r="Q29" s="46"/>
      <c r="R29" s="49"/>
    </row>
    <row r="30" spans="1:18" ht="15">
      <c r="A30" s="23">
        <v>30</v>
      </c>
      <c r="B30" s="9"/>
      <c r="E30" s="46"/>
      <c r="F30" s="10"/>
      <c r="G30" s="10"/>
      <c r="H30" s="10"/>
      <c r="I30" s="10"/>
      <c r="M30" s="10"/>
      <c r="O30" s="48"/>
      <c r="P30" s="48"/>
      <c r="Q30" s="46"/>
      <c r="R30" s="49"/>
    </row>
    <row r="31" spans="1:18" ht="15.75">
      <c r="A31" s="23">
        <f>1+$A$30</f>
        <v>31</v>
      </c>
      <c r="B31" s="4" t="s">
        <v>4</v>
      </c>
      <c r="E31" s="46"/>
      <c r="F31" s="10"/>
      <c r="G31" s="10"/>
      <c r="H31" s="10"/>
      <c r="I31" s="10"/>
      <c r="M31" s="10"/>
      <c r="O31" s="48"/>
      <c r="P31" s="48"/>
      <c r="Q31" s="46"/>
      <c r="R31" s="49"/>
    </row>
    <row r="32" spans="1:18" ht="15">
      <c r="A32" s="23">
        <f>1+$A$31</f>
        <v>32</v>
      </c>
      <c r="C32" s="1" t="s">
        <v>18</v>
      </c>
      <c r="E32" s="46">
        <v>196892</v>
      </c>
      <c r="F32" s="10"/>
      <c r="G32" s="10">
        <f>-2761-1687</f>
        <v>-4448</v>
      </c>
      <c r="H32" s="10"/>
      <c r="I32" s="10">
        <f aca="true" t="shared" si="6" ref="I32:I37">E32+G32</f>
        <v>192444</v>
      </c>
      <c r="K32" s="11">
        <f aca="true" t="shared" si="7" ref="K32:K37">+Q32/(O32+Q32)</f>
        <v>0.6513479245910498</v>
      </c>
      <c r="M32" s="10">
        <f aca="true" t="shared" si="8" ref="M32:M37">I32*K32</f>
        <v>125348</v>
      </c>
      <c r="O32" s="48">
        <v>67096</v>
      </c>
      <c r="P32" s="48"/>
      <c r="Q32" s="46">
        <v>125348</v>
      </c>
      <c r="R32" s="49">
        <f aca="true" t="shared" si="9" ref="R32:R37">Q32+O32</f>
        <v>192444</v>
      </c>
    </row>
    <row r="33" spans="1:18" ht="15">
      <c r="A33" s="23">
        <f>1+$A$32</f>
        <v>33</v>
      </c>
      <c r="C33" s="1" t="s">
        <v>19</v>
      </c>
      <c r="E33" s="46">
        <v>68814</v>
      </c>
      <c r="F33" s="10"/>
      <c r="G33" s="10">
        <v>-16010</v>
      </c>
      <c r="H33" s="10"/>
      <c r="I33" s="10">
        <f t="shared" si="6"/>
        <v>52804</v>
      </c>
      <c r="K33" s="11">
        <f t="shared" si="7"/>
        <v>0.6607075221574124</v>
      </c>
      <c r="M33" s="10">
        <f t="shared" si="8"/>
        <v>34888</v>
      </c>
      <c r="O33" s="48">
        <v>17916</v>
      </c>
      <c r="P33" s="48"/>
      <c r="Q33" s="49">
        <v>34888</v>
      </c>
      <c r="R33" s="49">
        <f t="shared" si="9"/>
        <v>52804</v>
      </c>
    </row>
    <row r="34" spans="1:18" ht="15">
      <c r="A34" s="23">
        <f>1+$A$33</f>
        <v>34</v>
      </c>
      <c r="B34" s="23"/>
      <c r="C34" s="1" t="s">
        <v>20</v>
      </c>
      <c r="E34" s="46">
        <v>165504</v>
      </c>
      <c r="F34" s="10"/>
      <c r="G34" s="10">
        <v>-1031</v>
      </c>
      <c r="H34" s="10"/>
      <c r="I34" s="10">
        <f t="shared" si="6"/>
        <v>164473</v>
      </c>
      <c r="K34" s="11">
        <f t="shared" si="7"/>
        <v>0.6575000152000632</v>
      </c>
      <c r="M34" s="10">
        <f t="shared" si="8"/>
        <v>108140.99999999999</v>
      </c>
      <c r="O34" s="48">
        <v>56332</v>
      </c>
      <c r="P34" s="48"/>
      <c r="Q34" s="46">
        <v>108141</v>
      </c>
      <c r="R34" s="49">
        <f t="shared" si="9"/>
        <v>164473</v>
      </c>
    </row>
    <row r="35" spans="1:18" ht="15">
      <c r="A35" s="23">
        <f>1+$A$34</f>
        <v>35</v>
      </c>
      <c r="C35" s="1" t="s">
        <v>21</v>
      </c>
      <c r="E35" s="46">
        <v>15773</v>
      </c>
      <c r="F35" s="10"/>
      <c r="G35" s="10">
        <v>-264</v>
      </c>
      <c r="H35" s="10"/>
      <c r="I35" s="10">
        <f t="shared" si="6"/>
        <v>15509</v>
      </c>
      <c r="K35" s="11">
        <f t="shared" si="7"/>
        <v>0.6326004255593526</v>
      </c>
      <c r="M35" s="10">
        <f t="shared" si="8"/>
        <v>9811</v>
      </c>
      <c r="O35" s="48">
        <v>5698</v>
      </c>
      <c r="P35" s="48"/>
      <c r="Q35" s="46">
        <v>9811</v>
      </c>
      <c r="R35" s="49">
        <f t="shared" si="9"/>
        <v>15509</v>
      </c>
    </row>
    <row r="36" spans="1:18" ht="15">
      <c r="A36" s="23">
        <f>1+$A$35</f>
        <v>36</v>
      </c>
      <c r="C36" s="1" t="s">
        <v>22</v>
      </c>
      <c r="E36" s="46">
        <v>64711</v>
      </c>
      <c r="F36" s="10"/>
      <c r="G36" s="10">
        <f>31089-16298-210</f>
        <v>14581</v>
      </c>
      <c r="H36" s="10"/>
      <c r="I36" s="10">
        <f t="shared" si="6"/>
        <v>79292</v>
      </c>
      <c r="K36" s="11">
        <f t="shared" si="7"/>
        <v>0.5168743378903294</v>
      </c>
      <c r="M36" s="10">
        <f t="shared" si="8"/>
        <v>40984</v>
      </c>
      <c r="O36" s="48">
        <v>38308</v>
      </c>
      <c r="P36" s="48"/>
      <c r="Q36" s="46">
        <v>40984</v>
      </c>
      <c r="R36" s="49">
        <f t="shared" si="9"/>
        <v>79292</v>
      </c>
    </row>
    <row r="37" spans="1:18" ht="15">
      <c r="A37" s="23">
        <f>1+$A$36</f>
        <v>37</v>
      </c>
      <c r="C37" s="1" t="s">
        <v>23</v>
      </c>
      <c r="E37" s="46">
        <v>2382</v>
      </c>
      <c r="F37" s="10"/>
      <c r="G37" s="10">
        <f>185-137</f>
        <v>48</v>
      </c>
      <c r="H37" s="10"/>
      <c r="I37" s="10">
        <f t="shared" si="6"/>
        <v>2430</v>
      </c>
      <c r="K37" s="11">
        <f t="shared" si="7"/>
        <v>0.6102880658436214</v>
      </c>
      <c r="M37" s="10">
        <f t="shared" si="8"/>
        <v>1483</v>
      </c>
      <c r="O37" s="48">
        <v>947</v>
      </c>
      <c r="P37" s="48"/>
      <c r="Q37" s="46">
        <v>1483</v>
      </c>
      <c r="R37" s="49">
        <f t="shared" si="9"/>
        <v>2430</v>
      </c>
    </row>
    <row r="38" spans="1:17" ht="15">
      <c r="A38" s="3"/>
      <c r="B38" s="23"/>
      <c r="E38" s="10"/>
      <c r="F38" s="10"/>
      <c r="G38" s="10"/>
      <c r="H38" s="10"/>
      <c r="I38" s="10"/>
      <c r="M38" s="10"/>
      <c r="O38" s="8"/>
      <c r="P38" s="8"/>
      <c r="Q38" s="10"/>
    </row>
    <row r="39" spans="13:17" ht="15">
      <c r="M39" s="13"/>
      <c r="O39" s="13"/>
      <c r="Q39" s="13"/>
    </row>
    <row r="40" spans="13:17" ht="15">
      <c r="M40" s="34"/>
      <c r="O40" s="34"/>
      <c r="Q40" s="13"/>
    </row>
    <row r="41" ht="15">
      <c r="Q41" s="13"/>
    </row>
    <row r="42" spans="1:17" s="53" customFormat="1" ht="15">
      <c r="A42" s="52" t="s">
        <v>31</v>
      </c>
      <c r="G42" s="61" t="s">
        <v>79</v>
      </c>
      <c r="Q42" s="54"/>
    </row>
    <row r="43" s="53" customFormat="1" ht="6.75" customHeight="1">
      <c r="Q43" s="54"/>
    </row>
    <row r="44" spans="1:17" s="53" customFormat="1" ht="47.25">
      <c r="A44" s="55">
        <f>1+$A$7</f>
        <v>8</v>
      </c>
      <c r="E44" s="56" t="s">
        <v>75</v>
      </c>
      <c r="G44" s="57" t="s">
        <v>28</v>
      </c>
      <c r="I44" s="57" t="s">
        <v>32</v>
      </c>
      <c r="K44" s="57" t="s">
        <v>33</v>
      </c>
      <c r="Q44" s="54"/>
    </row>
    <row r="45" spans="1:17" s="53" customFormat="1" ht="15.75">
      <c r="A45" s="55">
        <f>1+$A$8</f>
        <v>9</v>
      </c>
      <c r="B45" s="58" t="s">
        <v>1</v>
      </c>
      <c r="E45" s="59"/>
      <c r="Q45" s="54"/>
    </row>
    <row r="46" spans="1:17" s="53" customFormat="1" ht="15">
      <c r="A46" s="55">
        <f>1+$A$9</f>
        <v>10</v>
      </c>
      <c r="C46" s="53" t="s">
        <v>5</v>
      </c>
      <c r="E46" s="60">
        <v>0</v>
      </c>
      <c r="F46" s="61"/>
      <c r="G46" s="62">
        <v>0</v>
      </c>
      <c r="I46" s="63">
        <v>0</v>
      </c>
      <c r="K46" s="64"/>
      <c r="Q46" s="54"/>
    </row>
    <row r="47" spans="1:17" s="53" customFormat="1" ht="15">
      <c r="A47" s="55">
        <f>1+$A$10</f>
        <v>11</v>
      </c>
      <c r="C47" s="53" t="s">
        <v>6</v>
      </c>
      <c r="E47" s="60">
        <v>1E-07</v>
      </c>
      <c r="G47" s="62">
        <v>0</v>
      </c>
      <c r="I47" s="63">
        <f>G47/E47</f>
        <v>0</v>
      </c>
      <c r="Q47" s="54"/>
    </row>
    <row r="48" spans="1:17" s="53" customFormat="1" ht="15">
      <c r="A48" s="55">
        <f>1+$A$11</f>
        <v>12</v>
      </c>
      <c r="E48" s="60"/>
      <c r="G48" s="62"/>
      <c r="I48" s="63"/>
      <c r="Q48" s="54"/>
    </row>
    <row r="49" spans="1:17" s="53" customFormat="1" ht="15.75">
      <c r="A49" s="55">
        <f>1+$A$12</f>
        <v>13</v>
      </c>
      <c r="B49" s="58" t="s">
        <v>2</v>
      </c>
      <c r="E49" s="60"/>
      <c r="G49" s="62"/>
      <c r="I49" s="63"/>
      <c r="Q49" s="54"/>
    </row>
    <row r="50" spans="1:17" s="53" customFormat="1" ht="15">
      <c r="A50" s="55">
        <f>1+$A$13</f>
        <v>14</v>
      </c>
      <c r="C50" s="53" t="s">
        <v>7</v>
      </c>
      <c r="E50" s="60">
        <v>2168120.46</v>
      </c>
      <c r="F50" s="61"/>
      <c r="G50" s="62"/>
      <c r="I50" s="63">
        <f>G50/E50</f>
        <v>0</v>
      </c>
      <c r="K50" s="64">
        <f>E14*I50</f>
        <v>0</v>
      </c>
      <c r="Q50" s="54"/>
    </row>
    <row r="51" spans="1:17" s="53" customFormat="1" ht="15">
      <c r="A51" s="55">
        <f>1+$A$14</f>
        <v>15</v>
      </c>
      <c r="C51" s="53" t="s">
        <v>8</v>
      </c>
      <c r="E51" s="60">
        <v>1E-07</v>
      </c>
      <c r="G51" s="62"/>
      <c r="I51" s="63">
        <f>G51/E51</f>
        <v>0</v>
      </c>
      <c r="K51" s="53">
        <v>0</v>
      </c>
      <c r="Q51" s="54"/>
    </row>
    <row r="52" spans="1:17" s="53" customFormat="1" ht="15">
      <c r="A52" s="55">
        <f>1+$A$15</f>
        <v>16</v>
      </c>
      <c r="C52" s="53" t="s">
        <v>9</v>
      </c>
      <c r="E52" s="60">
        <v>19973</v>
      </c>
      <c r="F52" s="61"/>
      <c r="G52" s="62"/>
      <c r="I52" s="63">
        <f>G52/E52</f>
        <v>0</v>
      </c>
      <c r="K52" s="53">
        <v>0</v>
      </c>
      <c r="Q52" s="54"/>
    </row>
    <row r="53" spans="1:17" s="53" customFormat="1" ht="15">
      <c r="A53" s="55">
        <f>1+$A$16</f>
        <v>17</v>
      </c>
      <c r="C53" s="53" t="s">
        <v>10</v>
      </c>
      <c r="E53" s="60">
        <v>289299</v>
      </c>
      <c r="F53" s="61"/>
      <c r="G53" s="62"/>
      <c r="I53" s="63">
        <f>G53/E53</f>
        <v>0</v>
      </c>
      <c r="K53" s="64">
        <f>I53*E17</f>
        <v>0</v>
      </c>
      <c r="Q53" s="54"/>
    </row>
    <row r="54" spans="1:17" s="53" customFormat="1" ht="15">
      <c r="A54" s="55">
        <f>1+$A$17</f>
        <v>18</v>
      </c>
      <c r="C54" s="53" t="s">
        <v>11</v>
      </c>
      <c r="E54" s="60">
        <v>1E-07</v>
      </c>
      <c r="G54" s="62"/>
      <c r="I54" s="63">
        <f>G54/E54</f>
        <v>0</v>
      </c>
      <c r="Q54" s="54"/>
    </row>
    <row r="55" spans="1:17" s="53" customFormat="1" ht="15">
      <c r="A55" s="55">
        <f>1+$A$18</f>
        <v>19</v>
      </c>
      <c r="C55" s="53" t="s">
        <v>12</v>
      </c>
      <c r="E55" s="60">
        <v>0</v>
      </c>
      <c r="F55" s="65"/>
      <c r="G55" s="62">
        <v>0</v>
      </c>
      <c r="I55" s="63">
        <v>0</v>
      </c>
      <c r="K55" s="64">
        <f>I55*E19</f>
        <v>0</v>
      </c>
      <c r="Q55" s="54"/>
    </row>
    <row r="56" spans="1:17" s="53" customFormat="1" ht="15">
      <c r="A56" s="55">
        <f>1+$A$19</f>
        <v>20</v>
      </c>
      <c r="B56" s="66"/>
      <c r="E56" s="60"/>
      <c r="G56" s="62"/>
      <c r="I56" s="63"/>
      <c r="Q56" s="54"/>
    </row>
    <row r="57" spans="1:17" s="53" customFormat="1" ht="15.75">
      <c r="A57" s="55">
        <f>1+$A$20</f>
        <v>21</v>
      </c>
      <c r="B57" s="58" t="s">
        <v>3</v>
      </c>
      <c r="E57" s="60"/>
      <c r="G57" s="62"/>
      <c r="I57" s="63"/>
      <c r="Q57" s="54"/>
    </row>
    <row r="58" spans="1:17" s="53" customFormat="1" ht="15">
      <c r="A58" s="55">
        <f>1+$A$21</f>
        <v>22</v>
      </c>
      <c r="B58" s="66"/>
      <c r="C58" s="53" t="s">
        <v>13</v>
      </c>
      <c r="E58" s="60">
        <v>1495</v>
      </c>
      <c r="G58" s="62"/>
      <c r="I58" s="63">
        <f>G58/E58</f>
        <v>0</v>
      </c>
      <c r="K58" s="67">
        <f>I58*E22</f>
        <v>0</v>
      </c>
      <c r="Q58" s="54"/>
    </row>
    <row r="59" spans="1:17" s="53" customFormat="1" ht="15">
      <c r="A59" s="55">
        <f>1+$A$22</f>
        <v>23</v>
      </c>
      <c r="B59" s="66"/>
      <c r="C59" s="53" t="s">
        <v>14</v>
      </c>
      <c r="E59" s="60">
        <v>379754</v>
      </c>
      <c r="G59" s="62"/>
      <c r="I59" s="63"/>
      <c r="K59" s="67"/>
      <c r="Q59" s="54"/>
    </row>
    <row r="60" spans="1:17" s="53" customFormat="1" ht="15">
      <c r="A60" s="55">
        <f>1+$A$23</f>
        <v>24</v>
      </c>
      <c r="B60" s="66"/>
      <c r="C60" s="53" t="s">
        <v>15</v>
      </c>
      <c r="E60" s="60">
        <v>1079</v>
      </c>
      <c r="G60" s="62"/>
      <c r="I60" s="63"/>
      <c r="K60" s="67"/>
      <c r="Q60" s="54"/>
    </row>
    <row r="61" spans="1:17" s="53" customFormat="1" ht="15">
      <c r="A61" s="55">
        <f>1+$A$25</f>
        <v>26</v>
      </c>
      <c r="B61" s="66"/>
      <c r="C61" s="53" t="s">
        <v>48</v>
      </c>
      <c r="E61" s="60">
        <v>0</v>
      </c>
      <c r="G61" s="62"/>
      <c r="I61" s="63"/>
      <c r="K61" s="67"/>
      <c r="Q61" s="54"/>
    </row>
    <row r="62" spans="1:17" s="53" customFormat="1" ht="15">
      <c r="A62" s="55">
        <v>26</v>
      </c>
      <c r="B62" s="66"/>
      <c r="C62" s="53" t="s">
        <v>16</v>
      </c>
      <c r="E62" s="60">
        <v>23598</v>
      </c>
      <c r="G62" s="62"/>
      <c r="I62" s="63"/>
      <c r="K62" s="67"/>
      <c r="Q62" s="54"/>
    </row>
    <row r="63" spans="1:17" s="53" customFormat="1" ht="15">
      <c r="A63" s="55">
        <f>1+$A$27</f>
        <v>28</v>
      </c>
      <c r="B63" s="66"/>
      <c r="C63" s="53" t="s">
        <v>17</v>
      </c>
      <c r="E63" s="60">
        <v>0</v>
      </c>
      <c r="G63" s="62"/>
      <c r="I63" s="63"/>
      <c r="K63" s="67"/>
      <c r="Q63" s="54"/>
    </row>
    <row r="64" spans="1:17" s="53" customFormat="1" ht="15">
      <c r="A64" s="55">
        <f>1+$A$28</f>
        <v>29</v>
      </c>
      <c r="B64" s="66"/>
      <c r="E64" s="60"/>
      <c r="G64" s="62"/>
      <c r="I64" s="63"/>
      <c r="K64" s="67"/>
      <c r="Q64" s="54"/>
    </row>
    <row r="65" spans="1:17" s="53" customFormat="1" ht="15.75">
      <c r="A65" s="55">
        <f>1+$A$30</f>
        <v>31</v>
      </c>
      <c r="B65" s="58" t="s">
        <v>4</v>
      </c>
      <c r="E65" s="60"/>
      <c r="G65" s="62"/>
      <c r="I65" s="63"/>
      <c r="K65" s="67"/>
      <c r="Q65" s="54"/>
    </row>
    <row r="66" spans="1:17" s="53" customFormat="1" ht="15">
      <c r="A66" s="55">
        <f>1+$A$31</f>
        <v>32</v>
      </c>
      <c r="C66" s="53" t="s">
        <v>18</v>
      </c>
      <c r="E66" s="60">
        <v>135309</v>
      </c>
      <c r="G66" s="62">
        <v>-70</v>
      </c>
      <c r="I66" s="63">
        <f aca="true" t="shared" si="10" ref="I66:I71">G66/E66</f>
        <v>-0.000517334397564094</v>
      </c>
      <c r="K66" s="67">
        <f>I66*E32</f>
        <v>-101.85900420518959</v>
      </c>
      <c r="Q66" s="54"/>
    </row>
    <row r="67" spans="1:17" s="53" customFormat="1" ht="15">
      <c r="A67" s="55">
        <f>1+$A$32</f>
        <v>33</v>
      </c>
      <c r="C67" s="53" t="s">
        <v>19</v>
      </c>
      <c r="E67" s="60">
        <v>94711</v>
      </c>
      <c r="G67" s="62">
        <v>-2201</v>
      </c>
      <c r="I67" s="63">
        <f t="shared" si="10"/>
        <v>-0.023239116892441215</v>
      </c>
      <c r="K67" s="67">
        <f>I67*E33</f>
        <v>-1599.1765898364497</v>
      </c>
      <c r="Q67" s="54"/>
    </row>
    <row r="68" spans="1:17" s="53" customFormat="1" ht="15">
      <c r="A68" s="55">
        <f>1+$A$33</f>
        <v>34</v>
      </c>
      <c r="B68" s="55"/>
      <c r="C68" s="53" t="s">
        <v>20</v>
      </c>
      <c r="E68" s="60">
        <v>164375</v>
      </c>
      <c r="G68" s="62">
        <v>0</v>
      </c>
      <c r="I68" s="63">
        <f t="shared" si="10"/>
        <v>0</v>
      </c>
      <c r="K68" s="67">
        <f>+I68*E34</f>
        <v>0</v>
      </c>
      <c r="Q68" s="54"/>
    </row>
    <row r="69" spans="1:17" s="53" customFormat="1" ht="15">
      <c r="A69" s="55">
        <f>1+$A$34</f>
        <v>35</v>
      </c>
      <c r="C69" s="53" t="s">
        <v>21</v>
      </c>
      <c r="E69" s="60">
        <v>1813</v>
      </c>
      <c r="G69" s="62">
        <f>655-74</f>
        <v>581</v>
      </c>
      <c r="I69" s="63">
        <f t="shared" si="10"/>
        <v>0.3204633204633205</v>
      </c>
      <c r="K69" s="67">
        <f>I69*E35</f>
        <v>5054.667953667954</v>
      </c>
      <c r="Q69" s="54"/>
    </row>
    <row r="70" spans="1:17" s="53" customFormat="1" ht="15">
      <c r="A70" s="55">
        <f>1+$A$35</f>
        <v>36</v>
      </c>
      <c r="C70" s="53" t="s">
        <v>22</v>
      </c>
      <c r="E70" s="60">
        <v>77508</v>
      </c>
      <c r="G70" s="62">
        <f>5835-6675-23</f>
        <v>-863</v>
      </c>
      <c r="I70" s="63">
        <f t="shared" si="10"/>
        <v>-0.011134334520307581</v>
      </c>
      <c r="K70" s="67">
        <f>I70*E36</f>
        <v>-720.5139211436239</v>
      </c>
      <c r="Q70" s="54"/>
    </row>
    <row r="71" spans="1:17" s="53" customFormat="1" ht="15">
      <c r="A71" s="55">
        <f>1+$A$36</f>
        <v>37</v>
      </c>
      <c r="C71" s="53" t="s">
        <v>23</v>
      </c>
      <c r="E71" s="60">
        <v>1944</v>
      </c>
      <c r="G71" s="62">
        <f>185-166</f>
        <v>19</v>
      </c>
      <c r="I71" s="63">
        <f t="shared" si="10"/>
        <v>0.00977366255144033</v>
      </c>
      <c r="K71" s="67">
        <f>I71*E37</f>
        <v>23.280864197530864</v>
      </c>
      <c r="Q71" s="54"/>
    </row>
    <row r="72" spans="1:17" s="53" customFormat="1" ht="15">
      <c r="A72" s="68"/>
      <c r="B72" s="55"/>
      <c r="E72" s="69"/>
      <c r="I72" s="63"/>
      <c r="K72" s="67"/>
      <c r="Q72" s="54"/>
    </row>
    <row r="73" spans="9:17" s="53" customFormat="1" ht="15">
      <c r="I73" s="63"/>
      <c r="Q73" s="54"/>
    </row>
    <row r="74" spans="9:17" ht="15">
      <c r="I74" s="45"/>
      <c r="Q74" s="13"/>
    </row>
    <row r="75" ht="15">
      <c r="Q75" s="13"/>
    </row>
    <row r="76" ht="15">
      <c r="Q76" s="13"/>
    </row>
    <row r="77" ht="15">
      <c r="Q77" s="13"/>
    </row>
    <row r="78" ht="15">
      <c r="Q78" s="13"/>
    </row>
    <row r="79" ht="15">
      <c r="Q79" s="13"/>
    </row>
    <row r="80" ht="15">
      <c r="Q80" s="13"/>
    </row>
    <row r="81" ht="15">
      <c r="Q81" s="13"/>
    </row>
    <row r="82" ht="15">
      <c r="Q82" s="13"/>
    </row>
    <row r="83" ht="15">
      <c r="Q83" s="13"/>
    </row>
    <row r="84" ht="15">
      <c r="Q84" s="13"/>
    </row>
    <row r="85" ht="15">
      <c r="Q85" s="13"/>
    </row>
    <row r="86" ht="15">
      <c r="Q86" s="13"/>
    </row>
    <row r="87" ht="15">
      <c r="Q87" s="13"/>
    </row>
    <row r="88" ht="15">
      <c r="Q88" s="13"/>
    </row>
    <row r="89" ht="15">
      <c r="Q89" s="13"/>
    </row>
    <row r="90" ht="15">
      <c r="Q90" s="13"/>
    </row>
    <row r="91" ht="15">
      <c r="Q91" s="13"/>
    </row>
    <row r="92" ht="15">
      <c r="Q92" s="13"/>
    </row>
    <row r="93" ht="15">
      <c r="Q93" s="13"/>
    </row>
    <row r="94" ht="15">
      <c r="Q94" s="13"/>
    </row>
    <row r="95" ht="15">
      <c r="Q95" s="13"/>
    </row>
    <row r="96" ht="15">
      <c r="Q96" s="13"/>
    </row>
    <row r="97" ht="15">
      <c r="Q97" s="13"/>
    </row>
    <row r="98" ht="15">
      <c r="Q98" s="13"/>
    </row>
    <row r="99" ht="15">
      <c r="Q99" s="13"/>
    </row>
  </sheetData>
  <sheetProtection/>
  <mergeCells count="2">
    <mergeCell ref="O6:R6"/>
    <mergeCell ref="O7:R7"/>
  </mergeCells>
  <printOptions/>
  <pageMargins left="0.25" right="0.25" top="0.75" bottom="0.75" header="0" footer="0.5"/>
  <pageSetup fitToHeight="2" fitToWidth="1" horizontalDpi="600" verticalDpi="600" orientation="landscape" paperSize="5" scale="80" r:id="rId3"/>
  <headerFooter alignWithMargins="0">
    <oddFooter>&amp;LJW &amp;A&amp;CPage &amp;P&amp;R&amp;D</oddFooter>
  </headerFooter>
  <colBreaks count="1" manualBreakCount="1">
    <brk id="13" max="3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OutlineSymbols="0" zoomScale="75" zoomScaleNormal="75" zoomScalePageLayoutView="0" workbookViewId="0" topLeftCell="A1">
      <pane xSplit="4" ySplit="8" topLeftCell="E9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F19" sqref="F19"/>
    </sheetView>
  </sheetViews>
  <sheetFormatPr defaultColWidth="9.6640625" defaultRowHeight="15"/>
  <cols>
    <col min="1" max="1" width="6.6640625" style="1" customWidth="1"/>
    <col min="2" max="3" width="2.6640625" style="1" customWidth="1"/>
    <col min="4" max="4" width="46.6640625" style="1" customWidth="1"/>
    <col min="5" max="5" width="12.77734375" style="1" customWidth="1"/>
    <col min="6" max="6" width="1.66796875" style="1" customWidth="1"/>
    <col min="7" max="7" width="13.10546875" style="1" customWidth="1"/>
    <col min="8" max="8" width="1.66796875" style="1" customWidth="1"/>
    <col min="9" max="9" width="18.77734375" style="1" bestFit="1" customWidth="1"/>
    <col min="10" max="10" width="2.10546875" style="1" customWidth="1"/>
    <col min="11" max="11" width="13.4453125" style="1" customWidth="1"/>
    <col min="12" max="12" width="1.88671875" style="1" customWidth="1"/>
    <col min="13" max="13" width="12.77734375" style="1" customWidth="1"/>
    <col min="14" max="14" width="2.88671875" style="1" customWidth="1"/>
    <col min="15" max="15" width="12.3359375" style="1" customWidth="1"/>
    <col min="16" max="16" width="1.77734375" style="1" customWidth="1"/>
    <col min="17" max="17" width="12.4453125" style="1" customWidth="1"/>
    <col min="18" max="18" width="12.6640625" style="1" customWidth="1"/>
    <col min="19" max="16384" width="9.6640625" style="1" customWidth="1"/>
  </cols>
  <sheetData>
    <row r="1" spans="1:10" ht="15.75">
      <c r="A1" s="23">
        <v>1</v>
      </c>
      <c r="B1" s="2" t="s">
        <v>78</v>
      </c>
      <c r="C1" s="3"/>
      <c r="D1" s="3"/>
      <c r="E1" s="3"/>
      <c r="F1" s="3"/>
      <c r="G1" s="3"/>
      <c r="H1" s="3"/>
      <c r="I1" s="3"/>
      <c r="J1" s="3"/>
    </row>
    <row r="2" spans="1:2" ht="15.75">
      <c r="A2" s="23">
        <f>1+$A$1</f>
        <v>2</v>
      </c>
      <c r="B2" s="2" t="s">
        <v>0</v>
      </c>
    </row>
    <row r="3" spans="1:2" ht="15.75">
      <c r="A3" s="23">
        <f>1+$A$2</f>
        <v>3</v>
      </c>
      <c r="B3" s="2" t="s">
        <v>83</v>
      </c>
    </row>
    <row r="4" spans="1:2" ht="15.75">
      <c r="A4" s="23">
        <f>1+$A$3</f>
        <v>4</v>
      </c>
      <c r="B4" s="2"/>
    </row>
    <row r="5" ht="15">
      <c r="A5" s="23">
        <f>1+$A$4</f>
        <v>5</v>
      </c>
    </row>
    <row r="6" spans="1:18" ht="15.75">
      <c r="A6" s="23">
        <f>1+$A$5</f>
        <v>6</v>
      </c>
      <c r="E6" s="5"/>
      <c r="F6" s="5"/>
      <c r="G6" s="5"/>
      <c r="H6" s="5"/>
      <c r="I6" s="5"/>
      <c r="K6" s="12"/>
      <c r="M6" s="20"/>
      <c r="O6" s="72" t="s">
        <v>27</v>
      </c>
      <c r="P6" s="73"/>
      <c r="Q6" s="73"/>
      <c r="R6" s="73"/>
    </row>
    <row r="7" spans="1:18" ht="15.75">
      <c r="A7" s="23">
        <f>1+$A$6</f>
        <v>7</v>
      </c>
      <c r="E7" s="5"/>
      <c r="F7" s="5"/>
      <c r="G7" s="5"/>
      <c r="H7" s="5"/>
      <c r="I7" s="5"/>
      <c r="K7" s="5"/>
      <c r="M7" s="16"/>
      <c r="O7" s="72" t="s">
        <v>80</v>
      </c>
      <c r="P7" s="74"/>
      <c r="Q7" s="74"/>
      <c r="R7" s="74"/>
    </row>
    <row r="8" spans="1:18" ht="47.25">
      <c r="A8" s="23">
        <f>1+$A$7</f>
        <v>8</v>
      </c>
      <c r="E8" s="16" t="s">
        <v>72</v>
      </c>
      <c r="F8" s="18"/>
      <c r="G8" s="14" t="s">
        <v>28</v>
      </c>
      <c r="H8" s="18"/>
      <c r="I8" s="14" t="s">
        <v>29</v>
      </c>
      <c r="K8" s="19" t="s">
        <v>30</v>
      </c>
      <c r="M8" s="21" t="s">
        <v>73</v>
      </c>
      <c r="O8" s="5" t="s">
        <v>24</v>
      </c>
      <c r="Q8" s="5" t="s">
        <v>25</v>
      </c>
      <c r="R8" s="15" t="s">
        <v>26</v>
      </c>
    </row>
    <row r="9" spans="1:17" ht="15.75">
      <c r="A9" s="23">
        <f>1+$A$8</f>
        <v>9</v>
      </c>
      <c r="B9" s="4" t="s">
        <v>1</v>
      </c>
      <c r="E9" s="6"/>
      <c r="F9" s="17"/>
      <c r="G9" s="6"/>
      <c r="H9" s="17"/>
      <c r="I9" s="6"/>
      <c r="M9" s="7"/>
      <c r="O9" s="7"/>
      <c r="Q9" s="7"/>
    </row>
    <row r="10" spans="1:18" ht="15">
      <c r="A10" s="23">
        <f>1+$A$9</f>
        <v>10</v>
      </c>
      <c r="C10" s="1" t="s">
        <v>5</v>
      </c>
      <c r="E10" s="10">
        <f>'2008 USF separate'!E10</f>
        <v>0</v>
      </c>
      <c r="F10" s="10"/>
      <c r="G10" s="10">
        <f>K45</f>
        <v>0</v>
      </c>
      <c r="H10" s="10"/>
      <c r="I10" s="10">
        <f>E10+G10</f>
        <v>0</v>
      </c>
      <c r="K10" s="11">
        <v>0</v>
      </c>
      <c r="M10" s="10">
        <f>I10*K10</f>
        <v>0</v>
      </c>
      <c r="O10" s="8">
        <f>'2008 USF separate'!O10</f>
        <v>0</v>
      </c>
      <c r="P10" s="8"/>
      <c r="Q10" s="8">
        <f>'2008 USF separate'!Q10</f>
        <v>0</v>
      </c>
      <c r="R10" s="13">
        <f>Q10+O10</f>
        <v>0</v>
      </c>
    </row>
    <row r="11" spans="1:18" ht="15">
      <c r="A11" s="23">
        <f>1+$A$10</f>
        <v>11</v>
      </c>
      <c r="C11" s="1" t="s">
        <v>6</v>
      </c>
      <c r="E11" s="10">
        <f>'2008 USF separate'!E11</f>
        <v>1E-07</v>
      </c>
      <c r="F11" s="10"/>
      <c r="G11" s="10"/>
      <c r="H11" s="10"/>
      <c r="I11" s="10">
        <f>E11+G11</f>
        <v>1E-07</v>
      </c>
      <c r="M11" s="10">
        <f>I11*K11</f>
        <v>0</v>
      </c>
      <c r="O11" s="8">
        <f>'2008 USF separate'!O11</f>
        <v>0</v>
      </c>
      <c r="P11" s="8"/>
      <c r="Q11" s="8">
        <f>'2008 USF separate'!Q11</f>
        <v>1E-07</v>
      </c>
      <c r="R11" s="13">
        <v>1E-07</v>
      </c>
    </row>
    <row r="12" spans="1:18" ht="15">
      <c r="A12" s="23">
        <f>1+$A$11</f>
        <v>12</v>
      </c>
      <c r="E12" s="10"/>
      <c r="F12" s="10"/>
      <c r="G12" s="10"/>
      <c r="H12" s="10"/>
      <c r="I12" s="10"/>
      <c r="M12" s="10"/>
      <c r="O12" s="8"/>
      <c r="P12" s="8"/>
      <c r="Q12" s="8"/>
      <c r="R12" s="13"/>
    </row>
    <row r="13" spans="1:18" ht="15.75">
      <c r="A13" s="23">
        <f>1+$A$12</f>
        <v>13</v>
      </c>
      <c r="B13" s="4" t="s">
        <v>2</v>
      </c>
      <c r="E13" s="10"/>
      <c r="F13" s="10"/>
      <c r="G13" s="10"/>
      <c r="H13" s="10"/>
      <c r="I13" s="10"/>
      <c r="M13" s="10"/>
      <c r="O13" s="8"/>
      <c r="P13" s="8"/>
      <c r="Q13" s="8"/>
      <c r="R13" s="13"/>
    </row>
    <row r="14" spans="1:18" ht="15">
      <c r="A14" s="23">
        <f>1+$A$13</f>
        <v>14</v>
      </c>
      <c r="C14" s="1" t="s">
        <v>7</v>
      </c>
      <c r="E14" s="10">
        <f>'2008 USF separate'!E14</f>
        <v>1854194</v>
      </c>
      <c r="F14" s="10"/>
      <c r="G14" s="10">
        <v>3000</v>
      </c>
      <c r="H14" s="10"/>
      <c r="I14" s="10">
        <f aca="true" t="shared" si="0" ref="I14:I19">E14+G14</f>
        <v>1857194</v>
      </c>
      <c r="K14" s="11">
        <f>+Q14/(O14+Q14)</f>
        <v>0.6607106072887355</v>
      </c>
      <c r="M14" s="10">
        <f aca="true" t="shared" si="1" ref="M14:M19">I14*K14</f>
        <v>1227067.7755929958</v>
      </c>
      <c r="O14" s="8">
        <f>'2008 USF separate'!O14</f>
        <v>683547</v>
      </c>
      <c r="P14" s="8"/>
      <c r="Q14" s="10">
        <f>'2008 USF separate'!Q14</f>
        <v>1331096</v>
      </c>
      <c r="R14" s="13">
        <f aca="true" t="shared" si="2" ref="R14:R19">Q14+O14</f>
        <v>2014643</v>
      </c>
    </row>
    <row r="15" spans="1:18" ht="15">
      <c r="A15" s="23">
        <f>1+$A$14</f>
        <v>15</v>
      </c>
      <c r="C15" s="1" t="s">
        <v>8</v>
      </c>
      <c r="E15" s="10">
        <f>'2008 USF separate'!E15</f>
        <v>1E-07</v>
      </c>
      <c r="F15" s="10"/>
      <c r="G15" s="10"/>
      <c r="H15" s="10"/>
      <c r="I15" s="10">
        <f t="shared" si="0"/>
        <v>1E-07</v>
      </c>
      <c r="M15" s="10">
        <f t="shared" si="1"/>
        <v>0</v>
      </c>
      <c r="O15" s="8">
        <f>'2008 USF separate'!O15</f>
        <v>0</v>
      </c>
      <c r="P15" s="8"/>
      <c r="Q15" s="10">
        <f>'2008 USF separate'!Q15</f>
        <v>0</v>
      </c>
      <c r="R15" s="13">
        <f t="shared" si="2"/>
        <v>0</v>
      </c>
    </row>
    <row r="16" spans="1:18" ht="15">
      <c r="A16" s="23">
        <f>1+$A$15</f>
        <v>16</v>
      </c>
      <c r="C16" s="1" t="s">
        <v>9</v>
      </c>
      <c r="E16" s="10">
        <f>'2008 USF separate'!E16</f>
        <v>19415</v>
      </c>
      <c r="F16" s="10"/>
      <c r="G16" s="10">
        <f>-E16</f>
        <v>-19415</v>
      </c>
      <c r="H16" s="10"/>
      <c r="I16" s="10">
        <f t="shared" si="0"/>
        <v>0</v>
      </c>
      <c r="K16" s="11">
        <v>0</v>
      </c>
      <c r="M16" s="10">
        <f t="shared" si="1"/>
        <v>0</v>
      </c>
      <c r="O16" s="8">
        <f>'2008 USF separate'!O16</f>
        <v>0</v>
      </c>
      <c r="P16" s="8"/>
      <c r="Q16" s="10">
        <f>'2008 USF separate'!Q16</f>
        <v>0</v>
      </c>
      <c r="R16" s="13">
        <f t="shared" si="2"/>
        <v>0</v>
      </c>
    </row>
    <row r="17" spans="1:18" ht="15">
      <c r="A17" s="23">
        <f>1+$A$16</f>
        <v>17</v>
      </c>
      <c r="C17" s="1" t="s">
        <v>10</v>
      </c>
      <c r="E17" s="10">
        <f>'2008 USF separate'!E17</f>
        <v>454803</v>
      </c>
      <c r="F17" s="10"/>
      <c r="G17" s="10">
        <f>K52</f>
        <v>0</v>
      </c>
      <c r="H17" s="10"/>
      <c r="I17" s="10">
        <f t="shared" si="0"/>
        <v>454803</v>
      </c>
      <c r="K17" s="11">
        <f>+Q17/(O17+Q17)</f>
        <v>0.6578077761372425</v>
      </c>
      <c r="M17" s="10">
        <f t="shared" si="1"/>
        <v>299172.9500105463</v>
      </c>
      <c r="O17" s="8">
        <f>'2008 USF separate'!O17</f>
        <v>126542</v>
      </c>
      <c r="P17" s="8"/>
      <c r="Q17" s="10">
        <f>'2008 USF separate'!Q17</f>
        <v>243256</v>
      </c>
      <c r="R17" s="13">
        <f t="shared" si="2"/>
        <v>369798</v>
      </c>
    </row>
    <row r="18" spans="1:18" ht="15">
      <c r="A18" s="23">
        <f>1+$A$17</f>
        <v>18</v>
      </c>
      <c r="C18" s="1" t="s">
        <v>11</v>
      </c>
      <c r="E18" s="10">
        <f>'2008 USF separate'!E18</f>
        <v>1E-07</v>
      </c>
      <c r="F18" s="10"/>
      <c r="G18" s="10"/>
      <c r="H18" s="10"/>
      <c r="I18" s="10">
        <f t="shared" si="0"/>
        <v>1E-07</v>
      </c>
      <c r="M18" s="10">
        <f t="shared" si="1"/>
        <v>0</v>
      </c>
      <c r="O18" s="8">
        <f>'2008 USF separate'!O18</f>
        <v>0</v>
      </c>
      <c r="P18" s="8"/>
      <c r="Q18" s="10">
        <f>'2008 USF separate'!Q18</f>
        <v>0</v>
      </c>
      <c r="R18" s="13">
        <f t="shared" si="2"/>
        <v>0</v>
      </c>
    </row>
    <row r="19" spans="1:18" ht="15">
      <c r="A19" s="23">
        <f>1+$A$18</f>
        <v>19</v>
      </c>
      <c r="C19" s="1" t="s">
        <v>12</v>
      </c>
      <c r="E19" s="10">
        <f>'2008 USF separate'!E19</f>
        <v>0</v>
      </c>
      <c r="F19" s="10"/>
      <c r="G19" s="10"/>
      <c r="H19" s="10"/>
      <c r="I19" s="10">
        <f t="shared" si="0"/>
        <v>0</v>
      </c>
      <c r="K19" s="11">
        <v>0</v>
      </c>
      <c r="M19" s="10">
        <f t="shared" si="1"/>
        <v>0</v>
      </c>
      <c r="O19" s="8">
        <f>'2008 USF separate'!O19</f>
        <v>0</v>
      </c>
      <c r="P19" s="8"/>
      <c r="Q19" s="10">
        <f>'2008 USF separate'!Q19</f>
        <v>0</v>
      </c>
      <c r="R19" s="13">
        <f t="shared" si="2"/>
        <v>0</v>
      </c>
    </row>
    <row r="20" spans="1:18" ht="15">
      <c r="A20" s="23">
        <f>1+$A$19</f>
        <v>20</v>
      </c>
      <c r="B20" s="9"/>
      <c r="E20" s="10"/>
      <c r="F20" s="10"/>
      <c r="G20" s="10"/>
      <c r="H20" s="10"/>
      <c r="I20" s="10"/>
      <c r="M20" s="10"/>
      <c r="O20" s="8"/>
      <c r="P20" s="8"/>
      <c r="Q20" s="10"/>
      <c r="R20" s="13"/>
    </row>
    <row r="21" spans="1:18" ht="15.75">
      <c r="A21" s="23">
        <f>1+$A$20</f>
        <v>21</v>
      </c>
      <c r="B21" s="4" t="s">
        <v>3</v>
      </c>
      <c r="E21" s="10"/>
      <c r="F21" s="10"/>
      <c r="G21" s="10"/>
      <c r="H21" s="10"/>
      <c r="I21" s="10"/>
      <c r="M21" s="10"/>
      <c r="O21" s="8"/>
      <c r="P21" s="8"/>
      <c r="Q21" s="10"/>
      <c r="R21" s="13"/>
    </row>
    <row r="22" spans="1:18" ht="15">
      <c r="A22" s="23">
        <f>1+$A$21</f>
        <v>22</v>
      </c>
      <c r="B22" s="9"/>
      <c r="C22" s="1" t="s">
        <v>13</v>
      </c>
      <c r="E22" s="10">
        <f>'2008 USF separate'!E22</f>
        <v>5100</v>
      </c>
      <c r="F22" s="10"/>
      <c r="G22" s="10"/>
      <c r="H22" s="10"/>
      <c r="I22" s="10">
        <f aca="true" t="shared" si="3" ref="I22:I27">E22+G22</f>
        <v>5100</v>
      </c>
      <c r="K22" s="11">
        <f>+Q22/(O22+Q22)</f>
        <v>1</v>
      </c>
      <c r="M22" s="10">
        <f aca="true" t="shared" si="4" ref="M22:M27">I22*K22</f>
        <v>5100</v>
      </c>
      <c r="O22" s="8"/>
      <c r="P22" s="8"/>
      <c r="Q22" s="10">
        <f>I22</f>
        <v>5100</v>
      </c>
      <c r="R22" s="13">
        <f aca="true" t="shared" si="5" ref="R22:R27">Q22+O22</f>
        <v>5100</v>
      </c>
    </row>
    <row r="23" spans="1:18" ht="15">
      <c r="A23" s="23">
        <f>1+$A$22</f>
        <v>23</v>
      </c>
      <c r="B23" s="9"/>
      <c r="C23" s="1" t="s">
        <v>14</v>
      </c>
      <c r="E23" s="10">
        <f>'2008 USF separate'!E23+'2008 USF separate'!E24</f>
        <v>707119</v>
      </c>
      <c r="F23" s="10"/>
      <c r="G23" s="10">
        <f>'2008 USF separate'!G23</f>
        <v>0</v>
      </c>
      <c r="H23" s="10"/>
      <c r="I23" s="10">
        <f t="shared" si="3"/>
        <v>707119</v>
      </c>
      <c r="K23" s="11">
        <f>+Q23/(O23+Q23)</f>
        <v>0.621380559707772</v>
      </c>
      <c r="M23" s="10">
        <f t="shared" si="4"/>
        <v>439390</v>
      </c>
      <c r="O23" s="8">
        <f>R23-Q23</f>
        <v>267729</v>
      </c>
      <c r="P23" s="8"/>
      <c r="Q23" s="10">
        <f>'2008 USF separate'!Q23+'2008 USF separate'!Q24</f>
        <v>439390</v>
      </c>
      <c r="R23" s="13">
        <f>I23</f>
        <v>707119</v>
      </c>
    </row>
    <row r="24" spans="1:18" ht="15">
      <c r="A24" s="23">
        <v>24</v>
      </c>
      <c r="B24" s="9"/>
      <c r="C24" s="1" t="s">
        <v>15</v>
      </c>
      <c r="E24" s="46">
        <f>'2008 USF separate'!E25</f>
        <v>0</v>
      </c>
      <c r="F24" s="10"/>
      <c r="G24" s="10"/>
      <c r="H24" s="10"/>
      <c r="I24" s="10">
        <f t="shared" si="3"/>
        <v>0</v>
      </c>
      <c r="K24" s="11">
        <v>0</v>
      </c>
      <c r="M24" s="10">
        <f t="shared" si="4"/>
        <v>0</v>
      </c>
      <c r="O24" s="8">
        <f>I24-Q24</f>
        <v>0</v>
      </c>
      <c r="P24" s="8"/>
      <c r="Q24" s="10"/>
      <c r="R24" s="13">
        <f t="shared" si="5"/>
        <v>0</v>
      </c>
    </row>
    <row r="25" spans="1:18" ht="15">
      <c r="A25" s="23">
        <v>25</v>
      </c>
      <c r="B25" s="9"/>
      <c r="C25" s="1" t="s">
        <v>48</v>
      </c>
      <c r="E25" s="10">
        <f>'2008 USF separate'!E26</f>
        <v>0</v>
      </c>
      <c r="F25" s="10"/>
      <c r="G25" s="10"/>
      <c r="H25" s="10"/>
      <c r="I25" s="10">
        <f t="shared" si="3"/>
        <v>0</v>
      </c>
      <c r="K25" s="11">
        <v>0</v>
      </c>
      <c r="M25" s="10">
        <f t="shared" si="4"/>
        <v>0</v>
      </c>
      <c r="O25" s="8">
        <f>'2008 USF separate'!O26</f>
        <v>0</v>
      </c>
      <c r="P25" s="8"/>
      <c r="Q25" s="10">
        <f>I25-O25</f>
        <v>0</v>
      </c>
      <c r="R25" s="13">
        <f t="shared" si="5"/>
        <v>0</v>
      </c>
    </row>
    <row r="26" spans="1:19" ht="15">
      <c r="A26" s="23">
        <v>26</v>
      </c>
      <c r="B26" s="9"/>
      <c r="C26" s="1" t="s">
        <v>16</v>
      </c>
      <c r="E26" s="10">
        <f>'2008 USF separate'!E27</f>
        <v>27040</v>
      </c>
      <c r="F26" s="10"/>
      <c r="G26" s="10">
        <f>'2008 USF separate'!G27</f>
        <v>-9700</v>
      </c>
      <c r="H26" s="10"/>
      <c r="I26" s="10">
        <f t="shared" si="3"/>
        <v>17340</v>
      </c>
      <c r="K26" s="11">
        <f>+Q26/(O26+Q26)</f>
        <v>1</v>
      </c>
      <c r="M26" s="10">
        <f t="shared" si="4"/>
        <v>17340</v>
      </c>
      <c r="O26" s="8"/>
      <c r="P26" s="8"/>
      <c r="Q26" s="10">
        <f>I26</f>
        <v>17340</v>
      </c>
      <c r="R26" s="13">
        <f t="shared" si="5"/>
        <v>17340</v>
      </c>
      <c r="S26" s="13"/>
    </row>
    <row r="27" spans="1:18" ht="15">
      <c r="A27" s="23">
        <v>27</v>
      </c>
      <c r="B27" s="9"/>
      <c r="C27" s="1" t="s">
        <v>17</v>
      </c>
      <c r="E27" s="10">
        <f>'2008 USF separate'!E28</f>
        <v>0</v>
      </c>
      <c r="F27" s="10"/>
      <c r="G27" s="10">
        <f>'2008 USF separate'!G28</f>
        <v>0</v>
      </c>
      <c r="H27" s="10"/>
      <c r="I27" s="10">
        <f t="shared" si="3"/>
        <v>0</v>
      </c>
      <c r="K27" s="11">
        <v>0</v>
      </c>
      <c r="M27" s="10">
        <f t="shared" si="4"/>
        <v>0</v>
      </c>
      <c r="O27" s="8"/>
      <c r="P27" s="8"/>
      <c r="Q27" s="10">
        <f>I27</f>
        <v>0</v>
      </c>
      <c r="R27" s="13">
        <f t="shared" si="5"/>
        <v>0</v>
      </c>
    </row>
    <row r="28" spans="1:18" ht="15">
      <c r="A28" s="23">
        <v>28</v>
      </c>
      <c r="B28" s="9"/>
      <c r="E28" s="10"/>
      <c r="F28" s="10"/>
      <c r="G28" s="10"/>
      <c r="H28" s="10"/>
      <c r="I28" s="10"/>
      <c r="K28" s="11"/>
      <c r="M28" s="10"/>
      <c r="O28" s="8"/>
      <c r="P28" s="8"/>
      <c r="Q28" s="10"/>
      <c r="R28" s="13"/>
    </row>
    <row r="29" spans="1:18" ht="15">
      <c r="A29" s="23">
        <v>29</v>
      </c>
      <c r="B29" s="9"/>
      <c r="E29" s="10"/>
      <c r="F29" s="10"/>
      <c r="G29" s="10"/>
      <c r="H29" s="10"/>
      <c r="I29" s="10"/>
      <c r="M29" s="10"/>
      <c r="O29" s="8"/>
      <c r="P29" s="8"/>
      <c r="Q29" s="10"/>
      <c r="R29" s="13"/>
    </row>
    <row r="30" spans="1:18" ht="15.75">
      <c r="A30" s="23">
        <v>30</v>
      </c>
      <c r="B30" s="4" t="s">
        <v>4</v>
      </c>
      <c r="E30" s="10"/>
      <c r="F30" s="10"/>
      <c r="G30" s="10"/>
      <c r="H30" s="10"/>
      <c r="I30" s="10"/>
      <c r="M30" s="10"/>
      <c r="O30" s="8"/>
      <c r="P30" s="8"/>
      <c r="Q30" s="10"/>
      <c r="R30" s="13"/>
    </row>
    <row r="31" spans="1:18" ht="15">
      <c r="A31" s="23">
        <f>1+$A$30</f>
        <v>31</v>
      </c>
      <c r="C31" s="1" t="s">
        <v>18</v>
      </c>
      <c r="E31" s="10">
        <f>'2008 USF separate'!E32</f>
        <v>196892</v>
      </c>
      <c r="F31" s="10"/>
      <c r="G31" s="10">
        <f>'2008 USF separate'!G32</f>
        <v>-4448</v>
      </c>
      <c r="H31" s="10"/>
      <c r="I31" s="10">
        <f aca="true" t="shared" si="6" ref="I31:I36">E31+G31</f>
        <v>192444</v>
      </c>
      <c r="K31" s="11">
        <f aca="true" t="shared" si="7" ref="K31:K36">+Q31/(O31+Q31)</f>
        <v>0.6513479245910498</v>
      </c>
      <c r="M31" s="10">
        <f aca="true" t="shared" si="8" ref="M31:M36">I31*K31</f>
        <v>125348</v>
      </c>
      <c r="O31" s="8">
        <f>'2008 USF separate'!O32</f>
        <v>67096</v>
      </c>
      <c r="P31" s="8"/>
      <c r="Q31" s="10">
        <f>'2008 USF separate'!Q32</f>
        <v>125348</v>
      </c>
      <c r="R31" s="13">
        <f aca="true" t="shared" si="9" ref="R31:R36">Q31+O31</f>
        <v>192444</v>
      </c>
    </row>
    <row r="32" spans="1:18" ht="15">
      <c r="A32" s="23">
        <f>1+$A$31</f>
        <v>32</v>
      </c>
      <c r="C32" s="1" t="s">
        <v>19</v>
      </c>
      <c r="E32" s="10">
        <f>'2008 USF separate'!E33</f>
        <v>68814</v>
      </c>
      <c r="F32" s="10"/>
      <c r="G32" s="10">
        <f>'2008 USF separate'!G33</f>
        <v>-16010</v>
      </c>
      <c r="H32" s="10"/>
      <c r="I32" s="10">
        <f t="shared" si="6"/>
        <v>52804</v>
      </c>
      <c r="K32" s="11">
        <f t="shared" si="7"/>
        <v>0.6607075221574124</v>
      </c>
      <c r="M32" s="10">
        <f t="shared" si="8"/>
        <v>34888</v>
      </c>
      <c r="O32" s="8">
        <f>'2008 USF separate'!O33</f>
        <v>17916</v>
      </c>
      <c r="P32" s="8"/>
      <c r="Q32" s="10">
        <f>'2008 USF separate'!Q33</f>
        <v>34888</v>
      </c>
      <c r="R32" s="13">
        <f t="shared" si="9"/>
        <v>52804</v>
      </c>
    </row>
    <row r="33" spans="1:18" ht="15">
      <c r="A33" s="23">
        <f>1+$A$32</f>
        <v>33</v>
      </c>
      <c r="B33" s="23"/>
      <c r="C33" s="1" t="s">
        <v>20</v>
      </c>
      <c r="E33" s="10">
        <f>'2008 USF separate'!E34</f>
        <v>165504</v>
      </c>
      <c r="F33" s="10"/>
      <c r="G33" s="10">
        <f>'2008 USF separate'!G34</f>
        <v>-1031</v>
      </c>
      <c r="H33" s="10"/>
      <c r="I33" s="10">
        <f t="shared" si="6"/>
        <v>164473</v>
      </c>
      <c r="K33" s="11">
        <f t="shared" si="7"/>
        <v>0.6575000152000632</v>
      </c>
      <c r="M33" s="10">
        <f t="shared" si="8"/>
        <v>108140.99999999999</v>
      </c>
      <c r="O33" s="8">
        <f>'2008 USF separate'!O34</f>
        <v>56332</v>
      </c>
      <c r="P33" s="8"/>
      <c r="Q33" s="10">
        <f>'2008 USF separate'!Q34</f>
        <v>108141</v>
      </c>
      <c r="R33" s="13">
        <f t="shared" si="9"/>
        <v>164473</v>
      </c>
    </row>
    <row r="34" spans="1:18" ht="15">
      <c r="A34" s="23">
        <f>1+$A$33</f>
        <v>34</v>
      </c>
      <c r="C34" s="1" t="s">
        <v>21</v>
      </c>
      <c r="E34" s="10">
        <f>'2008 USF separate'!E35</f>
        <v>15773</v>
      </c>
      <c r="F34" s="10"/>
      <c r="G34" s="10">
        <f>'2008 USF separate'!G35</f>
        <v>-264</v>
      </c>
      <c r="H34" s="10"/>
      <c r="I34" s="10">
        <f t="shared" si="6"/>
        <v>15509</v>
      </c>
      <c r="K34" s="11">
        <f t="shared" si="7"/>
        <v>0.6326004255593526</v>
      </c>
      <c r="M34" s="10">
        <f t="shared" si="8"/>
        <v>9811</v>
      </c>
      <c r="O34" s="8">
        <f>'2008 USF separate'!O35</f>
        <v>5698</v>
      </c>
      <c r="P34" s="8"/>
      <c r="Q34" s="10">
        <f>'2008 USF separate'!Q35</f>
        <v>9811</v>
      </c>
      <c r="R34" s="13">
        <f t="shared" si="9"/>
        <v>15509</v>
      </c>
    </row>
    <row r="35" spans="1:18" ht="15">
      <c r="A35" s="23">
        <f>1+$A$34</f>
        <v>35</v>
      </c>
      <c r="C35" s="1" t="s">
        <v>22</v>
      </c>
      <c r="E35" s="10">
        <f>'2008 USF separate'!E36</f>
        <v>64711</v>
      </c>
      <c r="F35" s="10"/>
      <c r="G35" s="10">
        <f>'2008 USF separate'!G36</f>
        <v>14581</v>
      </c>
      <c r="H35" s="10"/>
      <c r="I35" s="10">
        <f t="shared" si="6"/>
        <v>79292</v>
      </c>
      <c r="K35" s="11">
        <f t="shared" si="7"/>
        <v>0.5168743378903294</v>
      </c>
      <c r="M35" s="10">
        <f t="shared" si="8"/>
        <v>40984</v>
      </c>
      <c r="O35" s="8">
        <f>'2008 USF separate'!O36</f>
        <v>38308</v>
      </c>
      <c r="P35" s="8"/>
      <c r="Q35" s="10">
        <f>'2008 USF separate'!Q36</f>
        <v>40984</v>
      </c>
      <c r="R35" s="13">
        <f t="shared" si="9"/>
        <v>79292</v>
      </c>
    </row>
    <row r="36" spans="1:18" ht="15">
      <c r="A36" s="23">
        <f>1+$A$35</f>
        <v>36</v>
      </c>
      <c r="C36" s="1" t="s">
        <v>23</v>
      </c>
      <c r="E36" s="10">
        <f>'2008 USF separate'!E37</f>
        <v>2382</v>
      </c>
      <c r="F36" s="10"/>
      <c r="G36" s="10">
        <f>'2008 USF separate'!G37</f>
        <v>48</v>
      </c>
      <c r="H36" s="10"/>
      <c r="I36" s="10">
        <f t="shared" si="6"/>
        <v>2430</v>
      </c>
      <c r="K36" s="11">
        <f t="shared" si="7"/>
        <v>0.6102880658436214</v>
      </c>
      <c r="M36" s="10">
        <f t="shared" si="8"/>
        <v>1483</v>
      </c>
      <c r="O36" s="8">
        <f>'2008 USF separate'!O37</f>
        <v>947</v>
      </c>
      <c r="P36" s="8"/>
      <c r="Q36" s="10">
        <f>'2008 USF separate'!Q37</f>
        <v>1483</v>
      </c>
      <c r="R36" s="13">
        <f t="shared" si="9"/>
        <v>2430</v>
      </c>
    </row>
    <row r="37" spans="1:17" ht="15">
      <c r="A37" s="3"/>
      <c r="B37" s="23"/>
      <c r="E37" s="10"/>
      <c r="F37" s="10"/>
      <c r="G37" s="10"/>
      <c r="H37" s="10"/>
      <c r="I37" s="10"/>
      <c r="M37" s="10"/>
      <c r="O37" s="8"/>
      <c r="P37" s="8"/>
      <c r="Q37" s="10"/>
    </row>
    <row r="38" spans="13:17" ht="15">
      <c r="M38" s="13"/>
      <c r="O38" s="13"/>
      <c r="Q38" s="13"/>
    </row>
    <row r="39" spans="13:17" ht="15">
      <c r="M39" s="34"/>
      <c r="O39" s="34"/>
      <c r="Q39" s="13"/>
    </row>
    <row r="40" ht="15">
      <c r="Q40" s="13"/>
    </row>
    <row r="41" spans="1:17" ht="15" customHeight="1">
      <c r="A41" s="52" t="s">
        <v>31</v>
      </c>
      <c r="B41" s="53"/>
      <c r="C41" s="53"/>
      <c r="D41" s="53"/>
      <c r="E41" s="61" t="s">
        <v>82</v>
      </c>
      <c r="F41" s="53"/>
      <c r="G41" s="53"/>
      <c r="H41" s="53"/>
      <c r="I41" s="53"/>
      <c r="J41" s="53"/>
      <c r="K41" s="53"/>
      <c r="L41" s="53"/>
      <c r="M41" s="53"/>
      <c r="Q41" s="13"/>
    </row>
    <row r="42" spans="1:17" ht="1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Q42" s="13"/>
    </row>
    <row r="43" spans="1:17" ht="47.25">
      <c r="A43" s="55">
        <f>1+$A$7</f>
        <v>8</v>
      </c>
      <c r="B43" s="53"/>
      <c r="C43" s="53"/>
      <c r="D43" s="53"/>
      <c r="E43" s="56" t="s">
        <v>75</v>
      </c>
      <c r="F43" s="53"/>
      <c r="G43" s="57" t="s">
        <v>28</v>
      </c>
      <c r="H43" s="53"/>
      <c r="I43" s="57" t="s">
        <v>32</v>
      </c>
      <c r="J43" s="53"/>
      <c r="K43" s="57" t="s">
        <v>33</v>
      </c>
      <c r="L43" s="53"/>
      <c r="M43" s="53"/>
      <c r="Q43" s="13"/>
    </row>
    <row r="44" spans="1:17" ht="15.75">
      <c r="A44" s="55">
        <f>1+$A$8</f>
        <v>9</v>
      </c>
      <c r="B44" s="58" t="s">
        <v>1</v>
      </c>
      <c r="C44" s="53"/>
      <c r="D44" s="53"/>
      <c r="E44" s="59"/>
      <c r="F44" s="53"/>
      <c r="G44" s="53"/>
      <c r="H44" s="53"/>
      <c r="I44" s="53"/>
      <c r="J44" s="53"/>
      <c r="K44" s="53"/>
      <c r="L44" s="53"/>
      <c r="M44" s="53"/>
      <c r="Q44" s="13"/>
    </row>
    <row r="45" spans="1:17" ht="15">
      <c r="A45" s="55">
        <f>1+$A$9</f>
        <v>10</v>
      </c>
      <c r="B45" s="53"/>
      <c r="C45" s="53" t="s">
        <v>5</v>
      </c>
      <c r="D45" s="53"/>
      <c r="E45" s="69">
        <f>'2008 USF separate'!E46</f>
        <v>0</v>
      </c>
      <c r="F45" s="53"/>
      <c r="G45" s="71">
        <f>'2008 USF separate'!G46</f>
        <v>0</v>
      </c>
      <c r="H45" s="53"/>
      <c r="I45" s="63">
        <v>0</v>
      </c>
      <c r="J45" s="53"/>
      <c r="K45" s="64"/>
      <c r="L45" s="53"/>
      <c r="M45" s="53"/>
      <c r="Q45" s="13"/>
    </row>
    <row r="46" spans="1:17" ht="15">
      <c r="A46" s="55">
        <f>1+$A$10</f>
        <v>11</v>
      </c>
      <c r="B46" s="53"/>
      <c r="C46" s="53" t="s">
        <v>6</v>
      </c>
      <c r="D46" s="53"/>
      <c r="E46" s="69">
        <f>'2008 USF separate'!E47</f>
        <v>1E-07</v>
      </c>
      <c r="F46" s="53"/>
      <c r="G46" s="71">
        <f>'2008 USF separate'!G47</f>
        <v>0</v>
      </c>
      <c r="H46" s="53"/>
      <c r="I46" s="63">
        <f>G46/E46</f>
        <v>0</v>
      </c>
      <c r="J46" s="53"/>
      <c r="K46" s="53"/>
      <c r="L46" s="53"/>
      <c r="M46" s="53"/>
      <c r="Q46" s="13"/>
    </row>
    <row r="47" spans="1:17" ht="15">
      <c r="A47" s="55">
        <f>1+$A$11</f>
        <v>12</v>
      </c>
      <c r="B47" s="53"/>
      <c r="C47" s="53"/>
      <c r="D47" s="53"/>
      <c r="E47" s="69"/>
      <c r="F47" s="53"/>
      <c r="G47" s="71"/>
      <c r="H47" s="53"/>
      <c r="I47" s="63"/>
      <c r="J47" s="53"/>
      <c r="K47" s="53"/>
      <c r="L47" s="53"/>
      <c r="M47" s="53"/>
      <c r="Q47" s="13"/>
    </row>
    <row r="48" spans="1:17" ht="15.75">
      <c r="A48" s="55">
        <f>1+$A$12</f>
        <v>13</v>
      </c>
      <c r="B48" s="58" t="s">
        <v>2</v>
      </c>
      <c r="C48" s="53"/>
      <c r="D48" s="53"/>
      <c r="E48" s="69"/>
      <c r="F48" s="53"/>
      <c r="G48" s="71"/>
      <c r="H48" s="53"/>
      <c r="I48" s="63"/>
      <c r="J48" s="53"/>
      <c r="K48" s="53"/>
      <c r="L48" s="53"/>
      <c r="M48" s="53"/>
      <c r="Q48" s="13"/>
    </row>
    <row r="49" spans="1:17" ht="15">
      <c r="A49" s="55">
        <f>1+$A$13</f>
        <v>14</v>
      </c>
      <c r="B49" s="53"/>
      <c r="C49" s="53" t="s">
        <v>7</v>
      </c>
      <c r="D49" s="53"/>
      <c r="E49" s="69">
        <f>'2008 USF separate'!E50</f>
        <v>2168120.46</v>
      </c>
      <c r="F49" s="53"/>
      <c r="G49" s="71">
        <f>'2008 USF separate'!G50</f>
        <v>0</v>
      </c>
      <c r="H49" s="53"/>
      <c r="I49" s="63">
        <f>G49/E49</f>
        <v>0</v>
      </c>
      <c r="J49" s="53"/>
      <c r="K49" s="64">
        <f>E14*I49</f>
        <v>0</v>
      </c>
      <c r="L49" s="53"/>
      <c r="M49" s="53"/>
      <c r="Q49" s="13"/>
    </row>
    <row r="50" spans="1:17" ht="15">
      <c r="A50" s="55">
        <f>1+$A$14</f>
        <v>15</v>
      </c>
      <c r="B50" s="53"/>
      <c r="C50" s="53" t="s">
        <v>8</v>
      </c>
      <c r="D50" s="53"/>
      <c r="E50" s="69">
        <f>'2008 USF separate'!E51</f>
        <v>1E-07</v>
      </c>
      <c r="F50" s="53"/>
      <c r="G50" s="71">
        <f>'2008 USF separate'!G51</f>
        <v>0</v>
      </c>
      <c r="H50" s="53"/>
      <c r="I50" s="63">
        <f>G50/E50</f>
        <v>0</v>
      </c>
      <c r="J50" s="53"/>
      <c r="K50" s="53">
        <v>0</v>
      </c>
      <c r="L50" s="53"/>
      <c r="M50" s="53"/>
      <c r="Q50" s="13"/>
    </row>
    <row r="51" spans="1:17" ht="15">
      <c r="A51" s="55">
        <f>1+$A$15</f>
        <v>16</v>
      </c>
      <c r="B51" s="53"/>
      <c r="C51" s="53" t="s">
        <v>9</v>
      </c>
      <c r="D51" s="53"/>
      <c r="E51" s="69">
        <f>'2008 USF separate'!E52</f>
        <v>19973</v>
      </c>
      <c r="F51" s="53"/>
      <c r="G51" s="71">
        <f>'2008 USF separate'!G52</f>
        <v>0</v>
      </c>
      <c r="H51" s="53"/>
      <c r="I51" s="63">
        <f>G51/E51</f>
        <v>0</v>
      </c>
      <c r="J51" s="53"/>
      <c r="K51" s="53">
        <v>0</v>
      </c>
      <c r="L51" s="53"/>
      <c r="M51" s="53"/>
      <c r="Q51" s="13"/>
    </row>
    <row r="52" spans="1:17" ht="15">
      <c r="A52" s="55">
        <f>1+$A$16</f>
        <v>17</v>
      </c>
      <c r="B52" s="53"/>
      <c r="C52" s="53" t="s">
        <v>10</v>
      </c>
      <c r="D52" s="53"/>
      <c r="E52" s="69">
        <f>'2008 USF separate'!E53</f>
        <v>289299</v>
      </c>
      <c r="F52" s="53"/>
      <c r="G52" s="71">
        <f>'2008 USF separate'!G53</f>
        <v>0</v>
      </c>
      <c r="H52" s="53"/>
      <c r="I52" s="63">
        <f>G52/E52</f>
        <v>0</v>
      </c>
      <c r="J52" s="53"/>
      <c r="K52" s="64">
        <f>I52*E17</f>
        <v>0</v>
      </c>
      <c r="L52" s="53"/>
      <c r="M52" s="53"/>
      <c r="Q52" s="13"/>
    </row>
    <row r="53" spans="1:17" ht="15">
      <c r="A53" s="55">
        <f>1+$A$17</f>
        <v>18</v>
      </c>
      <c r="B53" s="53"/>
      <c r="C53" s="53" t="s">
        <v>11</v>
      </c>
      <c r="D53" s="53"/>
      <c r="E53" s="69">
        <f>'2008 USF separate'!E54</f>
        <v>1E-07</v>
      </c>
      <c r="F53" s="53"/>
      <c r="G53" s="71">
        <f>'2008 USF separate'!G54</f>
        <v>0</v>
      </c>
      <c r="H53" s="53"/>
      <c r="I53" s="63">
        <f>G53/E53</f>
        <v>0</v>
      </c>
      <c r="J53" s="53"/>
      <c r="K53" s="53"/>
      <c r="L53" s="53"/>
      <c r="M53" s="53"/>
      <c r="Q53" s="13"/>
    </row>
    <row r="54" spans="1:17" ht="15">
      <c r="A54" s="55">
        <f>1+$A$18</f>
        <v>19</v>
      </c>
      <c r="B54" s="53"/>
      <c r="C54" s="53" t="s">
        <v>12</v>
      </c>
      <c r="D54" s="53"/>
      <c r="E54" s="69">
        <f>'2008 USF separate'!E55</f>
        <v>0</v>
      </c>
      <c r="F54" s="53"/>
      <c r="G54" s="71">
        <f>'2008 USF separate'!G55</f>
        <v>0</v>
      </c>
      <c r="H54" s="53"/>
      <c r="I54" s="63">
        <v>0</v>
      </c>
      <c r="J54" s="53"/>
      <c r="K54" s="64">
        <f>I54*E19</f>
        <v>0</v>
      </c>
      <c r="L54" s="53"/>
      <c r="M54" s="53"/>
      <c r="Q54" s="13"/>
    </row>
    <row r="55" spans="1:17" ht="15">
      <c r="A55" s="55">
        <f>1+$A$19</f>
        <v>20</v>
      </c>
      <c r="B55" s="66"/>
      <c r="C55" s="53"/>
      <c r="D55" s="53"/>
      <c r="E55" s="69"/>
      <c r="F55" s="53"/>
      <c r="G55" s="71"/>
      <c r="H55" s="53"/>
      <c r="I55" s="63"/>
      <c r="J55" s="53"/>
      <c r="K55" s="53"/>
      <c r="L55" s="53"/>
      <c r="M55" s="53"/>
      <c r="Q55" s="13"/>
    </row>
    <row r="56" spans="1:17" ht="15.75">
      <c r="A56" s="55">
        <f>1+$A$20</f>
        <v>21</v>
      </c>
      <c r="B56" s="58" t="s">
        <v>3</v>
      </c>
      <c r="C56" s="53"/>
      <c r="D56" s="53"/>
      <c r="E56" s="69"/>
      <c r="F56" s="53"/>
      <c r="G56" s="71"/>
      <c r="H56" s="53"/>
      <c r="I56" s="63"/>
      <c r="J56" s="53"/>
      <c r="K56" s="53"/>
      <c r="L56" s="53"/>
      <c r="M56" s="53"/>
      <c r="Q56" s="13"/>
    </row>
    <row r="57" spans="1:17" ht="15">
      <c r="A57" s="55">
        <f>1+$A$21</f>
        <v>22</v>
      </c>
      <c r="B57" s="66"/>
      <c r="C57" s="53" t="s">
        <v>13</v>
      </c>
      <c r="D57" s="53"/>
      <c r="E57" s="69">
        <f>'2008 USF separate'!E58</f>
        <v>1495</v>
      </c>
      <c r="F57" s="53"/>
      <c r="G57" s="71"/>
      <c r="H57" s="53"/>
      <c r="I57" s="63">
        <f>G57/E57</f>
        <v>0</v>
      </c>
      <c r="J57" s="53"/>
      <c r="K57" s="67">
        <f>I57*E22</f>
        <v>0</v>
      </c>
      <c r="L57" s="53"/>
      <c r="M57" s="53"/>
      <c r="Q57" s="13"/>
    </row>
    <row r="58" spans="1:17" ht="15">
      <c r="A58" s="55">
        <f>1+$A$22</f>
        <v>23</v>
      </c>
      <c r="B58" s="66"/>
      <c r="C58" s="53" t="s">
        <v>14</v>
      </c>
      <c r="D58" s="53"/>
      <c r="E58" s="69">
        <f>'2008 USF separate'!E59</f>
        <v>379754</v>
      </c>
      <c r="F58" s="53"/>
      <c r="G58" s="71"/>
      <c r="H58" s="53"/>
      <c r="I58" s="63"/>
      <c r="J58" s="53"/>
      <c r="K58" s="67"/>
      <c r="L58" s="53"/>
      <c r="M58" s="53"/>
      <c r="Q58" s="13"/>
    </row>
    <row r="59" spans="1:17" ht="15">
      <c r="A59" s="55">
        <f>1+$A$23</f>
        <v>24</v>
      </c>
      <c r="B59" s="66"/>
      <c r="C59" s="53" t="s">
        <v>15</v>
      </c>
      <c r="D59" s="53"/>
      <c r="E59" s="69">
        <f>'2008 USF separate'!E60</f>
        <v>1079</v>
      </c>
      <c r="F59" s="53"/>
      <c r="G59" s="71"/>
      <c r="H59" s="53"/>
      <c r="I59" s="63"/>
      <c r="J59" s="53"/>
      <c r="K59" s="67"/>
      <c r="L59" s="53"/>
      <c r="M59" s="53"/>
      <c r="Q59" s="13"/>
    </row>
    <row r="60" spans="1:17" ht="15">
      <c r="A60" s="55">
        <f>1+$A$24</f>
        <v>25</v>
      </c>
      <c r="B60" s="66"/>
      <c r="C60" s="53" t="s">
        <v>48</v>
      </c>
      <c r="D60" s="53"/>
      <c r="E60" s="69">
        <f>'2008 USF separate'!E61</f>
        <v>0</v>
      </c>
      <c r="F60" s="53"/>
      <c r="G60" s="71"/>
      <c r="H60" s="53"/>
      <c r="I60" s="63"/>
      <c r="J60" s="53"/>
      <c r="K60" s="67"/>
      <c r="L60" s="53"/>
      <c r="M60" s="53"/>
      <c r="Q60" s="13"/>
    </row>
    <row r="61" spans="1:17" ht="15">
      <c r="A61" s="55">
        <v>26</v>
      </c>
      <c r="B61" s="66"/>
      <c r="C61" s="53" t="s">
        <v>16</v>
      </c>
      <c r="D61" s="53"/>
      <c r="E61" s="69">
        <f>'2008 USF separate'!E62</f>
        <v>23598</v>
      </c>
      <c r="F61" s="53"/>
      <c r="G61" s="71"/>
      <c r="H61" s="53"/>
      <c r="I61" s="63"/>
      <c r="J61" s="53"/>
      <c r="K61" s="67"/>
      <c r="L61" s="53"/>
      <c r="M61" s="53"/>
      <c r="Q61" s="13"/>
    </row>
    <row r="62" spans="1:17" ht="15">
      <c r="A62" s="55">
        <f>1+$A$26</f>
        <v>27</v>
      </c>
      <c r="B62" s="66"/>
      <c r="C62" s="53" t="s">
        <v>17</v>
      </c>
      <c r="D62" s="53"/>
      <c r="E62" s="69">
        <f>'2008 USF separate'!E63</f>
        <v>0</v>
      </c>
      <c r="F62" s="53"/>
      <c r="G62" s="71"/>
      <c r="H62" s="53"/>
      <c r="I62" s="63"/>
      <c r="J62" s="53"/>
      <c r="K62" s="67"/>
      <c r="L62" s="53"/>
      <c r="M62" s="53"/>
      <c r="Q62" s="13"/>
    </row>
    <row r="63" spans="1:17" ht="15">
      <c r="A63" s="55">
        <f>1+$A$27</f>
        <v>28</v>
      </c>
      <c r="B63" s="66"/>
      <c r="C63" s="53"/>
      <c r="D63" s="53"/>
      <c r="E63" s="69"/>
      <c r="F63" s="53"/>
      <c r="G63" s="71"/>
      <c r="H63" s="53"/>
      <c r="I63" s="63"/>
      <c r="J63" s="53"/>
      <c r="K63" s="67"/>
      <c r="L63" s="53"/>
      <c r="M63" s="53"/>
      <c r="Q63" s="13"/>
    </row>
    <row r="64" spans="1:17" ht="15.75">
      <c r="A64" s="55">
        <f>1+$A$29</f>
        <v>30</v>
      </c>
      <c r="B64" s="58" t="s">
        <v>4</v>
      </c>
      <c r="C64" s="53"/>
      <c r="D64" s="53"/>
      <c r="E64" s="69"/>
      <c r="F64" s="53"/>
      <c r="G64" s="71"/>
      <c r="H64" s="53"/>
      <c r="I64" s="63"/>
      <c r="J64" s="53"/>
      <c r="K64" s="67"/>
      <c r="L64" s="53"/>
      <c r="M64" s="53"/>
      <c r="Q64" s="13"/>
    </row>
    <row r="65" spans="1:17" ht="15">
      <c r="A65" s="55">
        <f>1+$A$30</f>
        <v>31</v>
      </c>
      <c r="B65" s="53"/>
      <c r="C65" s="53" t="s">
        <v>18</v>
      </c>
      <c r="D65" s="53"/>
      <c r="E65" s="69">
        <f>'2008 USF separate'!E66</f>
        <v>135309</v>
      </c>
      <c r="F65" s="53"/>
      <c r="G65" s="71">
        <f>'2008 USF separate'!G66</f>
        <v>-70</v>
      </c>
      <c r="H65" s="53"/>
      <c r="I65" s="63">
        <f aca="true" t="shared" si="10" ref="I65:I70">G65/E65</f>
        <v>-0.000517334397564094</v>
      </c>
      <c r="J65" s="53"/>
      <c r="K65" s="67">
        <f aca="true" t="shared" si="11" ref="K65:K70">I65*E31</f>
        <v>-101.85900420518959</v>
      </c>
      <c r="L65" s="53"/>
      <c r="M65" s="53"/>
      <c r="Q65" s="13"/>
    </row>
    <row r="66" spans="1:17" ht="15">
      <c r="A66" s="55">
        <f>1+$A$31</f>
        <v>32</v>
      </c>
      <c r="B66" s="53"/>
      <c r="C66" s="53" t="s">
        <v>19</v>
      </c>
      <c r="D66" s="53"/>
      <c r="E66" s="69">
        <f>'2008 USF separate'!E67</f>
        <v>94711</v>
      </c>
      <c r="F66" s="53"/>
      <c r="G66" s="71">
        <f>'2008 USF separate'!G67</f>
        <v>-2201</v>
      </c>
      <c r="H66" s="53"/>
      <c r="I66" s="63">
        <f t="shared" si="10"/>
        <v>-0.023239116892441215</v>
      </c>
      <c r="J66" s="53"/>
      <c r="K66" s="67">
        <f t="shared" si="11"/>
        <v>-1599.1765898364497</v>
      </c>
      <c r="L66" s="53"/>
      <c r="M66" s="53"/>
      <c r="Q66" s="13"/>
    </row>
    <row r="67" spans="1:17" ht="15">
      <c r="A67" s="55">
        <f>1+$A$32</f>
        <v>33</v>
      </c>
      <c r="B67" s="55"/>
      <c r="C67" s="53" t="s">
        <v>20</v>
      </c>
      <c r="D67" s="53"/>
      <c r="E67" s="69">
        <f>'2008 USF separate'!E68</f>
        <v>164375</v>
      </c>
      <c r="F67" s="53"/>
      <c r="G67" s="71">
        <f>'2008 USF separate'!G68</f>
        <v>0</v>
      </c>
      <c r="H67" s="53"/>
      <c r="I67" s="63">
        <f t="shared" si="10"/>
        <v>0</v>
      </c>
      <c r="J67" s="53"/>
      <c r="K67" s="67">
        <f t="shared" si="11"/>
        <v>0</v>
      </c>
      <c r="L67" s="53"/>
      <c r="M67" s="53"/>
      <c r="Q67" s="13"/>
    </row>
    <row r="68" spans="1:17" ht="15">
      <c r="A68" s="55">
        <f>1+$A$33</f>
        <v>34</v>
      </c>
      <c r="B68" s="53"/>
      <c r="C68" s="53" t="s">
        <v>21</v>
      </c>
      <c r="D68" s="53"/>
      <c r="E68" s="69">
        <f>'2008 USF separate'!E69</f>
        <v>1813</v>
      </c>
      <c r="F68" s="53"/>
      <c r="G68" s="71">
        <f>'2008 USF separate'!G69</f>
        <v>581</v>
      </c>
      <c r="H68" s="53"/>
      <c r="I68" s="63">
        <f t="shared" si="10"/>
        <v>0.3204633204633205</v>
      </c>
      <c r="J68" s="53"/>
      <c r="K68" s="67">
        <f t="shared" si="11"/>
        <v>5054.667953667954</v>
      </c>
      <c r="L68" s="53"/>
      <c r="M68" s="53"/>
      <c r="Q68" s="13"/>
    </row>
    <row r="69" spans="1:17" ht="15">
      <c r="A69" s="55">
        <f>1+$A$34</f>
        <v>35</v>
      </c>
      <c r="B69" s="53"/>
      <c r="C69" s="53" t="s">
        <v>22</v>
      </c>
      <c r="D69" s="53"/>
      <c r="E69" s="69">
        <f>'2008 USF separate'!E70</f>
        <v>77508</v>
      </c>
      <c r="F69" s="53"/>
      <c r="G69" s="71">
        <f>'2008 USF separate'!G70</f>
        <v>-863</v>
      </c>
      <c r="H69" s="53"/>
      <c r="I69" s="63">
        <f t="shared" si="10"/>
        <v>-0.011134334520307581</v>
      </c>
      <c r="J69" s="53"/>
      <c r="K69" s="67">
        <f t="shared" si="11"/>
        <v>-720.5139211436239</v>
      </c>
      <c r="L69" s="53"/>
      <c r="M69" s="53"/>
      <c r="Q69" s="13"/>
    </row>
    <row r="70" spans="1:17" ht="15">
      <c r="A70" s="55">
        <f>1+$A$35</f>
        <v>36</v>
      </c>
      <c r="B70" s="53"/>
      <c r="C70" s="53" t="s">
        <v>23</v>
      </c>
      <c r="D70" s="53"/>
      <c r="E70" s="69">
        <f>'2008 USF separate'!E71</f>
        <v>1944</v>
      </c>
      <c r="F70" s="53"/>
      <c r="G70" s="71">
        <f>'2008 USF separate'!G71</f>
        <v>19</v>
      </c>
      <c r="H70" s="53"/>
      <c r="I70" s="63">
        <f t="shared" si="10"/>
        <v>0.00977366255144033</v>
      </c>
      <c r="J70" s="53"/>
      <c r="K70" s="67">
        <f t="shared" si="11"/>
        <v>23.280864197530864</v>
      </c>
      <c r="L70" s="53"/>
      <c r="M70" s="53"/>
      <c r="Q70" s="13"/>
    </row>
    <row r="71" spans="1:17" ht="15">
      <c r="A71" s="68"/>
      <c r="B71" s="55"/>
      <c r="C71" s="53"/>
      <c r="D71" s="53"/>
      <c r="E71" s="69"/>
      <c r="F71" s="53"/>
      <c r="G71" s="53"/>
      <c r="H71" s="53"/>
      <c r="I71" s="63"/>
      <c r="J71" s="53"/>
      <c r="K71" s="67"/>
      <c r="L71" s="53"/>
      <c r="M71" s="53"/>
      <c r="Q71" s="13"/>
    </row>
    <row r="72" spans="1:17" ht="15">
      <c r="A72" s="53"/>
      <c r="B72" s="53"/>
      <c r="C72" s="53"/>
      <c r="D72" s="53"/>
      <c r="E72" s="53"/>
      <c r="F72" s="53"/>
      <c r="G72" s="53"/>
      <c r="H72" s="53"/>
      <c r="I72" s="63"/>
      <c r="J72" s="53"/>
      <c r="K72" s="53"/>
      <c r="L72" s="53"/>
      <c r="M72" s="53"/>
      <c r="Q72" s="13"/>
    </row>
    <row r="73" spans="1:17" ht="15">
      <c r="A73" s="53"/>
      <c r="B73" s="53"/>
      <c r="C73" s="53"/>
      <c r="D73" s="53"/>
      <c r="E73" s="53"/>
      <c r="F73" s="53"/>
      <c r="G73" s="53"/>
      <c r="H73" s="53"/>
      <c r="I73" s="63"/>
      <c r="J73" s="53"/>
      <c r="K73" s="53"/>
      <c r="L73" s="53"/>
      <c r="M73" s="53"/>
      <c r="Q73" s="13"/>
    </row>
    <row r="74" spans="9:17" ht="15">
      <c r="I74" s="45"/>
      <c r="Q74" s="13"/>
    </row>
    <row r="75" spans="9:17" ht="15">
      <c r="I75" s="45"/>
      <c r="Q75" s="13"/>
    </row>
    <row r="76" spans="9:17" ht="15">
      <c r="I76" s="45"/>
      <c r="Q76" s="13"/>
    </row>
    <row r="77" ht="15">
      <c r="Q77" s="13"/>
    </row>
    <row r="78" ht="15">
      <c r="Q78" s="13"/>
    </row>
    <row r="79" ht="15">
      <c r="Q79" s="13"/>
    </row>
    <row r="80" ht="15">
      <c r="Q80" s="13"/>
    </row>
    <row r="81" ht="15">
      <c r="Q81" s="13"/>
    </row>
    <row r="82" ht="15">
      <c r="Q82" s="13"/>
    </row>
    <row r="83" ht="15">
      <c r="Q83" s="13"/>
    </row>
    <row r="84" ht="15">
      <c r="Q84" s="13"/>
    </row>
    <row r="85" ht="15">
      <c r="Q85" s="13"/>
    </row>
    <row r="86" ht="15">
      <c r="Q86" s="13"/>
    </row>
    <row r="87" ht="15">
      <c r="Q87" s="13"/>
    </row>
    <row r="88" ht="15">
      <c r="Q88" s="13"/>
    </row>
    <row r="89" ht="15">
      <c r="Q89" s="13"/>
    </row>
    <row r="90" ht="15">
      <c r="Q90" s="13"/>
    </row>
    <row r="91" ht="15">
      <c r="Q91" s="13"/>
    </row>
    <row r="92" ht="15">
      <c r="Q92" s="13"/>
    </row>
    <row r="93" ht="15">
      <c r="Q93" s="13"/>
    </row>
    <row r="94" ht="15">
      <c r="Q94" s="13"/>
    </row>
    <row r="95" ht="15">
      <c r="Q95" s="13"/>
    </row>
    <row r="96" ht="15">
      <c r="Q96" s="13"/>
    </row>
    <row r="97" ht="15">
      <c r="Q97" s="13"/>
    </row>
  </sheetData>
  <sheetProtection/>
  <mergeCells count="2">
    <mergeCell ref="O6:R6"/>
    <mergeCell ref="O7:R7"/>
  </mergeCells>
  <printOptions/>
  <pageMargins left="0.25" right="0.25" top="0.75" bottom="0.75" header="0" footer="0.5"/>
  <pageSetup fitToHeight="2" fitToWidth="1" horizontalDpi="600" verticalDpi="600" orientation="landscape" paperSize="5" scale="80" r:id="rId3"/>
  <headerFooter alignWithMargins="0">
    <oddFooter>&amp;LJW &amp;A&amp;CPage &amp;P&amp;R&amp;D</oddFooter>
  </headerFooter>
  <colBreaks count="1" manualBreakCount="1">
    <brk id="13" max="3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21484375" style="0" customWidth="1"/>
    <col min="2" max="2" width="24.6640625" style="0" customWidth="1"/>
    <col min="3" max="5" width="12.77734375" style="0" customWidth="1"/>
  </cols>
  <sheetData>
    <row r="1" spans="1:3" ht="15">
      <c r="A1" s="26"/>
      <c r="C1" s="70" t="s">
        <v>81</v>
      </c>
    </row>
    <row r="2" ht="15.75">
      <c r="B2" s="27" t="s">
        <v>78</v>
      </c>
    </row>
    <row r="3" ht="15.75">
      <c r="B3" s="27" t="s">
        <v>76</v>
      </c>
    </row>
    <row r="5" spans="2:5" ht="15.75">
      <c r="B5" s="29" t="s">
        <v>34</v>
      </c>
      <c r="C5" s="29" t="s">
        <v>35</v>
      </c>
      <c r="D5" s="29" t="s">
        <v>47</v>
      </c>
      <c r="E5" s="29" t="s">
        <v>36</v>
      </c>
    </row>
    <row r="6" spans="2:5" ht="15">
      <c r="B6" s="36" t="s">
        <v>49</v>
      </c>
      <c r="C6" s="38">
        <v>4652</v>
      </c>
      <c r="D6" s="38">
        <v>3021.03</v>
      </c>
      <c r="E6" s="38">
        <f aca="true" t="shared" si="0" ref="E6:E11">C6-D6</f>
        <v>1630.9699999999998</v>
      </c>
    </row>
    <row r="7" spans="2:5" ht="15">
      <c r="B7" s="36" t="s">
        <v>50</v>
      </c>
      <c r="C7" s="38">
        <v>571407</v>
      </c>
      <c r="D7" s="38">
        <v>550090.79</v>
      </c>
      <c r="E7" s="38">
        <f t="shared" si="0"/>
        <v>21316.209999999963</v>
      </c>
    </row>
    <row r="8" spans="2:5" ht="15">
      <c r="B8" s="36" t="s">
        <v>51</v>
      </c>
      <c r="C8" s="38">
        <v>153</v>
      </c>
      <c r="D8" s="38">
        <v>152.69</v>
      </c>
      <c r="E8" s="38">
        <f t="shared" si="0"/>
        <v>0.3100000000000023</v>
      </c>
    </row>
    <row r="9" spans="2:5" ht="15">
      <c r="B9" s="36" t="s">
        <v>52</v>
      </c>
      <c r="C9" s="38">
        <v>1044</v>
      </c>
      <c r="D9" s="38">
        <v>0</v>
      </c>
      <c r="E9" s="38">
        <f t="shared" si="0"/>
        <v>1044</v>
      </c>
    </row>
    <row r="10" spans="2:5" ht="15">
      <c r="B10" s="36" t="s">
        <v>53</v>
      </c>
      <c r="C10" s="38">
        <v>6883</v>
      </c>
      <c r="D10" s="38">
        <v>25137.06</v>
      </c>
      <c r="E10" s="38">
        <f t="shared" si="0"/>
        <v>-18254.06</v>
      </c>
    </row>
    <row r="11" spans="2:5" ht="15">
      <c r="B11" s="37" t="s">
        <v>54</v>
      </c>
      <c r="C11" s="39">
        <v>0</v>
      </c>
      <c r="D11" s="39">
        <v>31973.84</v>
      </c>
      <c r="E11" s="39">
        <f t="shared" si="0"/>
        <v>-31973.84</v>
      </c>
    </row>
    <row r="12" spans="2:5" ht="15">
      <c r="B12" s="36" t="s">
        <v>55</v>
      </c>
      <c r="C12" s="38">
        <f>SUM(C6:C11)</f>
        <v>584139</v>
      </c>
      <c r="D12" s="38">
        <f>SUM(D6:D11)</f>
        <v>610375.41</v>
      </c>
      <c r="E12" s="38">
        <f>SUM(E6:E11)</f>
        <v>-26236.410000000036</v>
      </c>
    </row>
    <row r="13" spans="2:5" ht="15.75">
      <c r="B13" s="35"/>
      <c r="C13" s="35"/>
      <c r="D13" s="35"/>
      <c r="E13" s="35"/>
    </row>
    <row r="14" spans="2:5" ht="15">
      <c r="B14" s="28" t="s">
        <v>37</v>
      </c>
      <c r="C14" s="30">
        <v>207100</v>
      </c>
      <c r="D14" s="30">
        <v>198158.73</v>
      </c>
      <c r="E14" s="30">
        <f aca="true" t="shared" si="1" ref="E14:E19">D14-C14</f>
        <v>-8941.26999999999</v>
      </c>
    </row>
    <row r="15" spans="2:5" ht="15">
      <c r="B15" t="s">
        <v>38</v>
      </c>
      <c r="C15" s="10">
        <v>68813</v>
      </c>
      <c r="D15" s="10">
        <v>68812.5</v>
      </c>
      <c r="E15" s="30">
        <f t="shared" si="1"/>
        <v>-0.5</v>
      </c>
    </row>
    <row r="16" spans="2:5" ht="15">
      <c r="B16" t="s">
        <v>39</v>
      </c>
      <c r="C16" s="10">
        <v>175979</v>
      </c>
      <c r="D16" s="10">
        <v>176729</v>
      </c>
      <c r="E16" s="30">
        <f t="shared" si="1"/>
        <v>750</v>
      </c>
    </row>
    <row r="17" spans="2:5" ht="15">
      <c r="B17" t="s">
        <v>42</v>
      </c>
      <c r="C17" s="10">
        <v>0</v>
      </c>
      <c r="D17" s="10">
        <v>0</v>
      </c>
      <c r="E17" s="30">
        <f t="shared" si="1"/>
        <v>0</v>
      </c>
    </row>
    <row r="18" spans="2:5" ht="15">
      <c r="B18" t="s">
        <v>40</v>
      </c>
      <c r="C18" s="10">
        <v>15519</v>
      </c>
      <c r="D18" s="10">
        <v>15519.42</v>
      </c>
      <c r="E18" s="30">
        <f t="shared" si="1"/>
        <v>0.42000000000007276</v>
      </c>
    </row>
    <row r="19" spans="2:5" ht="15">
      <c r="B19" t="s">
        <v>41</v>
      </c>
      <c r="C19" s="31">
        <v>80370</v>
      </c>
      <c r="D19" s="31">
        <v>64740.16</v>
      </c>
      <c r="E19" s="30">
        <f t="shared" si="1"/>
        <v>-15629.839999999997</v>
      </c>
    </row>
    <row r="20" spans="2:5" ht="15">
      <c r="B20" s="32" t="s">
        <v>43</v>
      </c>
      <c r="C20" s="33">
        <f>SUM(C14:C19)</f>
        <v>547781</v>
      </c>
      <c r="D20" s="33">
        <f>SUM(D14:D19)</f>
        <v>523959.80999999994</v>
      </c>
      <c r="E20" s="33">
        <f>SUM(E14:E19)</f>
        <v>-23821.189999999988</v>
      </c>
    </row>
    <row r="21" spans="3:5" ht="15">
      <c r="C21" s="30"/>
      <c r="D21" s="30"/>
      <c r="E21" s="30"/>
    </row>
    <row r="22" spans="2:5" ht="15">
      <c r="B22" t="s">
        <v>44</v>
      </c>
      <c r="C22" s="10">
        <v>0</v>
      </c>
      <c r="D22" s="10">
        <v>0</v>
      </c>
      <c r="E22" s="10">
        <f>D22-C22</f>
        <v>0</v>
      </c>
    </row>
    <row r="23" spans="2:5" ht="15">
      <c r="B23" t="s">
        <v>45</v>
      </c>
      <c r="C23" s="31">
        <v>2358</v>
      </c>
      <c r="D23" s="31">
        <v>1337.46</v>
      </c>
      <c r="E23" s="31">
        <f>D23-C23</f>
        <v>-1020.54</v>
      </c>
    </row>
    <row r="24" spans="2:5" ht="15">
      <c r="B24" s="32" t="s">
        <v>46</v>
      </c>
      <c r="C24" s="33">
        <f>SUM(C22:C23)</f>
        <v>2358</v>
      </c>
      <c r="D24" s="33">
        <f>SUM(D22:D23)</f>
        <v>1337.46</v>
      </c>
      <c r="E24" s="33">
        <f>SUM(E22:E23)</f>
        <v>-1020.54</v>
      </c>
    </row>
    <row r="25" spans="3:5" ht="15">
      <c r="C25" s="30"/>
      <c r="D25" s="30"/>
      <c r="E25" s="30"/>
    </row>
    <row r="26" spans="3:5" ht="15">
      <c r="C26" s="10"/>
      <c r="D26" s="10"/>
      <c r="E26" s="10"/>
    </row>
    <row r="27" spans="2:5" ht="15">
      <c r="B27" t="s">
        <v>67</v>
      </c>
      <c r="C27" s="10">
        <v>0</v>
      </c>
      <c r="D27" s="10">
        <v>0</v>
      </c>
      <c r="E27" s="30">
        <f>D27-C27</f>
        <v>0</v>
      </c>
    </row>
    <row r="28" spans="2:5" ht="15">
      <c r="B28" t="s">
        <v>68</v>
      </c>
      <c r="C28" s="10">
        <v>2164004</v>
      </c>
      <c r="D28" s="10">
        <v>2164004</v>
      </c>
      <c r="E28" s="30">
        <f>D28-C28</f>
        <v>0</v>
      </c>
    </row>
    <row r="29" spans="2:5" ht="15">
      <c r="B29" t="s">
        <v>69</v>
      </c>
      <c r="C29" s="10">
        <v>18651</v>
      </c>
      <c r="D29" s="10">
        <v>19414.67</v>
      </c>
      <c r="E29" s="30">
        <f>D29-C29</f>
        <v>763.6699999999983</v>
      </c>
    </row>
    <row r="30" spans="2:5" ht="15">
      <c r="B30" t="s">
        <v>70</v>
      </c>
      <c r="C30" s="10">
        <v>-465278</v>
      </c>
      <c r="D30" s="10">
        <v>-465277.88</v>
      </c>
      <c r="E30" s="30">
        <f>D30-C30</f>
        <v>0.11999999999534339</v>
      </c>
    </row>
    <row r="31" spans="2:5" ht="15">
      <c r="B31" t="s">
        <v>71</v>
      </c>
      <c r="C31" s="31">
        <v>0</v>
      </c>
      <c r="D31" s="31">
        <v>0</v>
      </c>
      <c r="E31" s="31">
        <f>D31-C31</f>
        <v>0</v>
      </c>
    </row>
    <row r="32" spans="3:5" ht="15">
      <c r="C32" s="33">
        <f>SUM(C27:C31)</f>
        <v>1717377</v>
      </c>
      <c r="D32" s="33">
        <f>SUM(D27:D31)</f>
        <v>1718140.79</v>
      </c>
      <c r="E32" s="33">
        <f>SUM(E27:E31)</f>
        <v>763.7899999999936</v>
      </c>
    </row>
    <row r="33" spans="3:5" ht="15">
      <c r="C33" s="30"/>
      <c r="D33" s="30"/>
      <c r="E33" s="30"/>
    </row>
    <row r="34" spans="3:5" ht="15">
      <c r="C34" s="10"/>
      <c r="D34" s="10"/>
      <c r="E34" s="10"/>
    </row>
    <row r="35" spans="3:5" ht="15">
      <c r="C35" s="10"/>
      <c r="D35" s="10"/>
      <c r="E35" s="10"/>
    </row>
    <row r="36" spans="3:5" ht="15">
      <c r="C36" s="10"/>
      <c r="D36" s="10"/>
      <c r="E36" s="10"/>
    </row>
    <row r="37" spans="3:5" ht="15">
      <c r="C37" s="10"/>
      <c r="D37" s="10"/>
      <c r="E37" s="10"/>
    </row>
    <row r="38" spans="3:5" ht="15">
      <c r="C38" s="10"/>
      <c r="D38" s="10"/>
      <c r="E38" s="10"/>
    </row>
    <row r="39" spans="3:5" ht="15">
      <c r="C39" s="10"/>
      <c r="D39" s="10"/>
      <c r="E39" s="10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&amp;LJW &amp;Z&amp;F
  &amp;A&amp;R&amp;D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27"/>
  <sheetViews>
    <sheetView tabSelected="1" zoomScalePageLayoutView="0" workbookViewId="0" topLeftCell="A1">
      <selection activeCell="C22" sqref="C22"/>
    </sheetView>
  </sheetViews>
  <sheetFormatPr defaultColWidth="8.88671875" defaultRowHeight="15"/>
  <cols>
    <col min="1" max="1" width="4.88671875" style="0" customWidth="1"/>
    <col min="2" max="2" width="32.4453125" style="0" customWidth="1"/>
    <col min="3" max="3" width="26.4453125" style="0" customWidth="1"/>
  </cols>
  <sheetData>
    <row r="2" ht="15">
      <c r="B2" s="40" t="s">
        <v>78</v>
      </c>
    </row>
    <row r="3" ht="15">
      <c r="B3" s="40" t="s">
        <v>77</v>
      </c>
    </row>
    <row r="6" spans="2:3" ht="15">
      <c r="B6" s="41" t="s">
        <v>34</v>
      </c>
      <c r="C6" s="41" t="s">
        <v>56</v>
      </c>
    </row>
    <row r="7" spans="2:3" ht="15">
      <c r="B7" t="s">
        <v>57</v>
      </c>
      <c r="C7" s="10">
        <f>SUM('2008 USF in network'!M22:M26)</f>
        <v>461830</v>
      </c>
    </row>
    <row r="8" spans="2:3" ht="15">
      <c r="B8" t="s">
        <v>43</v>
      </c>
      <c r="C8" s="31">
        <f>SUM('2008 USF in network'!M30:M36)</f>
        <v>320655</v>
      </c>
    </row>
    <row r="9" spans="1:3" ht="15">
      <c r="A9" s="42" t="s">
        <v>58</v>
      </c>
      <c r="B9" s="32" t="s">
        <v>59</v>
      </c>
      <c r="C9" s="10">
        <f>C7-C8</f>
        <v>141175</v>
      </c>
    </row>
    <row r="10" ht="15">
      <c r="A10" s="42"/>
    </row>
    <row r="11" spans="1:3" ht="15">
      <c r="A11" s="42" t="s">
        <v>60</v>
      </c>
      <c r="B11" t="s">
        <v>63</v>
      </c>
      <c r="C11" s="10">
        <f>'2008 USF in network'!M14-'2008 USF in network'!M17-'2008 USF in network'!M19</f>
        <v>927894.8255824496</v>
      </c>
    </row>
    <row r="13" spans="2:3" ht="15.75" thickBot="1">
      <c r="B13" t="s">
        <v>61</v>
      </c>
      <c r="C13" s="43">
        <f>C9/C11</f>
        <v>0.15214547609033485</v>
      </c>
    </row>
    <row r="17" spans="2:3" ht="15">
      <c r="B17" s="41" t="s">
        <v>34</v>
      </c>
      <c r="C17" s="41" t="s">
        <v>56</v>
      </c>
    </row>
    <row r="18" spans="2:3" ht="15">
      <c r="B18" t="s">
        <v>57</v>
      </c>
      <c r="C18" s="10">
        <f>C7</f>
        <v>461830</v>
      </c>
    </row>
    <row r="19" spans="2:3" ht="15">
      <c r="B19" t="s">
        <v>43</v>
      </c>
      <c r="C19" s="31">
        <f>C8</f>
        <v>320655</v>
      </c>
    </row>
    <row r="20" spans="1:3" ht="15">
      <c r="A20" s="42" t="s">
        <v>58</v>
      </c>
      <c r="B20" s="32" t="s">
        <v>59</v>
      </c>
      <c r="C20" s="10">
        <f>C18-C19</f>
        <v>141175</v>
      </c>
    </row>
    <row r="21" ht="15">
      <c r="A21" s="42"/>
    </row>
    <row r="22" spans="1:3" ht="15">
      <c r="A22" s="42" t="s">
        <v>60</v>
      </c>
      <c r="B22" t="s">
        <v>64</v>
      </c>
      <c r="C22" s="10">
        <f>'2008 USF in network'!M14+'2008 USF in network'!M16-'2008 USF in network'!M17-'2008 USF in network'!M19+'2008 USF in network'!E16</f>
        <v>947309.8255824496</v>
      </c>
    </row>
    <row r="24" spans="2:3" ht="15.75" thickBot="1">
      <c r="B24" t="s">
        <v>61</v>
      </c>
      <c r="C24" s="43">
        <f>C20/C22</f>
        <v>0.14902727300775026</v>
      </c>
    </row>
    <row r="27" ht="15">
      <c r="B27" s="44" t="s">
        <v>65</v>
      </c>
    </row>
  </sheetData>
  <sheetProtection/>
  <printOptions/>
  <pageMargins left="0.75" right="0.75" top="1" bottom="1" header="0.5" footer="0.5"/>
  <pageSetup horizontalDpi="600" verticalDpi="600" orientation="portrait" r:id="rId3"/>
  <headerFooter alignWithMargins="0">
    <oddFooter>&amp;LJW &amp;A&amp;R&amp;D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showOutlineSymbols="0" zoomScale="75" zoomScaleNormal="75" zoomScalePageLayoutView="0" workbookViewId="0" topLeftCell="A1">
      <pane xSplit="4" ySplit="8" topLeftCell="E15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A19" sqref="A19"/>
    </sheetView>
  </sheetViews>
  <sheetFormatPr defaultColWidth="9.6640625" defaultRowHeight="15"/>
  <cols>
    <col min="1" max="1" width="6.6640625" style="1" customWidth="1"/>
    <col min="2" max="3" width="2.6640625" style="1" customWidth="1"/>
    <col min="4" max="4" width="46.6640625" style="1" customWidth="1"/>
    <col min="5" max="5" width="12.77734375" style="1" customWidth="1"/>
    <col min="6" max="6" width="1.66796875" style="1" customWidth="1"/>
    <col min="7" max="7" width="13.10546875" style="1" customWidth="1"/>
    <col min="8" max="8" width="1.66796875" style="1" customWidth="1"/>
    <col min="9" max="9" width="18.77734375" style="1" bestFit="1" customWidth="1"/>
    <col min="10" max="10" width="2.10546875" style="1" customWidth="1"/>
    <col min="11" max="11" width="13.4453125" style="1" customWidth="1"/>
    <col min="12" max="12" width="1.88671875" style="1" customWidth="1"/>
    <col min="13" max="13" width="12.77734375" style="1" customWidth="1"/>
    <col min="14" max="14" width="2.88671875" style="1" customWidth="1"/>
    <col min="15" max="15" width="12.3359375" style="1" hidden="1" customWidth="1"/>
    <col min="16" max="16" width="1.77734375" style="1" hidden="1" customWidth="1"/>
    <col min="17" max="17" width="12.4453125" style="1" hidden="1" customWidth="1"/>
    <col min="18" max="18" width="12.6640625" style="1" hidden="1" customWidth="1"/>
    <col min="19" max="16384" width="9.6640625" style="1" customWidth="1"/>
  </cols>
  <sheetData>
    <row r="1" spans="1:10" ht="15.75">
      <c r="A1" s="23">
        <v>1</v>
      </c>
      <c r="B1" s="2" t="s">
        <v>78</v>
      </c>
      <c r="C1" s="3"/>
      <c r="D1" s="3"/>
      <c r="E1" s="3"/>
      <c r="F1" s="3"/>
      <c r="G1" s="3"/>
      <c r="H1" s="3"/>
      <c r="I1" s="3"/>
      <c r="J1" s="3"/>
    </row>
    <row r="2" spans="1:2" ht="15.75">
      <c r="A2" s="23">
        <f>1+$A$1</f>
        <v>2</v>
      </c>
      <c r="B2" s="2" t="s">
        <v>0</v>
      </c>
    </row>
    <row r="3" spans="1:2" ht="15.75">
      <c r="A3" s="23">
        <f>1+$A$2</f>
        <v>3</v>
      </c>
      <c r="B3" s="2" t="str">
        <f>'2008 USF separate'!B3</f>
        <v>FOR THE YEAR ENDED DECEMBER 31, 2008 PLUS 2009 PLANT ADDITIONS AND PROJECTED REVENUES</v>
      </c>
    </row>
    <row r="4" spans="1:2" ht="15.75">
      <c r="A4" s="23">
        <f>1+$A$3</f>
        <v>4</v>
      </c>
      <c r="B4" s="2"/>
    </row>
    <row r="5" ht="15">
      <c r="A5" s="23">
        <f>1+$A$4</f>
        <v>5</v>
      </c>
    </row>
    <row r="6" spans="1:18" ht="15.75">
      <c r="A6" s="23">
        <f>1+$A$5</f>
        <v>6</v>
      </c>
      <c r="E6" s="5"/>
      <c r="F6" s="5"/>
      <c r="G6" s="5"/>
      <c r="H6" s="5"/>
      <c r="I6" s="5"/>
      <c r="K6" s="12"/>
      <c r="M6" s="20"/>
      <c r="O6" s="72" t="s">
        <v>27</v>
      </c>
      <c r="P6" s="73"/>
      <c r="Q6" s="73"/>
      <c r="R6" s="73"/>
    </row>
    <row r="7" spans="1:18" ht="15.75">
      <c r="A7" s="23">
        <f>1+$A$6</f>
        <v>7</v>
      </c>
      <c r="E7" s="5"/>
      <c r="F7" s="5"/>
      <c r="G7" s="5"/>
      <c r="H7" s="5"/>
      <c r="I7" s="5"/>
      <c r="K7" s="5"/>
      <c r="M7" s="16"/>
      <c r="O7" s="72" t="s">
        <v>74</v>
      </c>
      <c r="P7" s="74"/>
      <c r="Q7" s="74"/>
      <c r="R7" s="74"/>
    </row>
    <row r="8" spans="1:18" ht="47.25">
      <c r="A8" s="23">
        <f>1+$A$7</f>
        <v>8</v>
      </c>
      <c r="E8" s="16" t="s">
        <v>72</v>
      </c>
      <c r="F8" s="18"/>
      <c r="G8" s="14" t="s">
        <v>28</v>
      </c>
      <c r="H8" s="18"/>
      <c r="I8" s="14" t="s">
        <v>29</v>
      </c>
      <c r="K8" s="19" t="s">
        <v>30</v>
      </c>
      <c r="M8" s="21" t="s">
        <v>73</v>
      </c>
      <c r="O8" s="5" t="s">
        <v>24</v>
      </c>
      <c r="Q8" s="5" t="s">
        <v>25</v>
      </c>
      <c r="R8" s="15" t="s">
        <v>26</v>
      </c>
    </row>
    <row r="9" spans="1:17" ht="15.75">
      <c r="A9" s="23">
        <f>1+$A$8</f>
        <v>9</v>
      </c>
      <c r="B9" s="4" t="s">
        <v>1</v>
      </c>
      <c r="E9" s="6"/>
      <c r="F9" s="17"/>
      <c r="G9" s="6"/>
      <c r="H9" s="17"/>
      <c r="I9" s="6"/>
      <c r="M9" s="7"/>
      <c r="O9" s="7"/>
      <c r="Q9" s="7"/>
    </row>
    <row r="10" spans="1:18" ht="15">
      <c r="A10" s="23">
        <f>1+$A$9</f>
        <v>10</v>
      </c>
      <c r="C10" s="1" t="s">
        <v>5</v>
      </c>
      <c r="E10" s="46">
        <f>'2008 USF separate'!E10</f>
        <v>0</v>
      </c>
      <c r="F10" s="10"/>
      <c r="G10" s="10">
        <f>K46</f>
        <v>0</v>
      </c>
      <c r="H10" s="10"/>
      <c r="I10" s="10">
        <f>E10+G10</f>
        <v>0</v>
      </c>
      <c r="K10" s="11">
        <v>0</v>
      </c>
      <c r="M10" s="10">
        <f>I10*K10</f>
        <v>0</v>
      </c>
      <c r="O10" s="48">
        <f>'2008 USF separate'!O10</f>
        <v>0</v>
      </c>
      <c r="P10" s="48"/>
      <c r="Q10" s="48">
        <f>'2008 USF separate'!Q10</f>
        <v>0</v>
      </c>
      <c r="R10" s="49">
        <f>Q10+O10</f>
        <v>0</v>
      </c>
    </row>
    <row r="11" spans="1:18" ht="15">
      <c r="A11" s="23">
        <f>1+$A$10</f>
        <v>11</v>
      </c>
      <c r="C11" s="1" t="s">
        <v>6</v>
      </c>
      <c r="E11" s="46">
        <v>1E-07</v>
      </c>
      <c r="F11" s="10"/>
      <c r="G11" s="10"/>
      <c r="H11" s="10"/>
      <c r="I11" s="10">
        <f>E11+G11</f>
        <v>1E-07</v>
      </c>
      <c r="M11" s="10">
        <f>I11*K11</f>
        <v>0</v>
      </c>
      <c r="O11" s="48">
        <f>'2008 USF separate'!O11</f>
        <v>0</v>
      </c>
      <c r="P11" s="48"/>
      <c r="Q11" s="48">
        <f>'2008 USF separate'!Q11</f>
        <v>1E-07</v>
      </c>
      <c r="R11" s="49">
        <v>1E-07</v>
      </c>
    </row>
    <row r="12" spans="1:18" ht="15">
      <c r="A12" s="23">
        <f>1+$A$11</f>
        <v>12</v>
      </c>
      <c r="E12" s="46"/>
      <c r="F12" s="10"/>
      <c r="G12" s="10"/>
      <c r="H12" s="10"/>
      <c r="I12" s="10"/>
      <c r="M12" s="10"/>
      <c r="O12" s="48"/>
      <c r="P12" s="48"/>
      <c r="Q12" s="48"/>
      <c r="R12" s="49"/>
    </row>
    <row r="13" spans="1:18" ht="15.75">
      <c r="A13" s="23">
        <f>1+$A$12</f>
        <v>13</v>
      </c>
      <c r="B13" s="4" t="s">
        <v>2</v>
      </c>
      <c r="E13" s="46"/>
      <c r="F13" s="10"/>
      <c r="G13" s="10"/>
      <c r="H13" s="10"/>
      <c r="I13" s="10"/>
      <c r="M13" s="10"/>
      <c r="O13" s="48"/>
      <c r="P13" s="48"/>
      <c r="Q13" s="48"/>
      <c r="R13" s="49"/>
    </row>
    <row r="14" spans="1:18" ht="15">
      <c r="A14" s="23">
        <f>1+$A$13</f>
        <v>14</v>
      </c>
      <c r="C14" s="1" t="s">
        <v>7</v>
      </c>
      <c r="E14" s="46">
        <f>'2008 USF separate'!E14</f>
        <v>1854194</v>
      </c>
      <c r="F14" s="10"/>
      <c r="G14" s="10">
        <f>'2008 USF separate'!G14</f>
        <v>3000</v>
      </c>
      <c r="H14" s="10"/>
      <c r="I14" s="10">
        <f aca="true" t="shared" si="0" ref="I14:I19">E14+G14</f>
        <v>1857194</v>
      </c>
      <c r="K14" s="11">
        <f>+Q14/(O14+Q14)</f>
        <v>0.6607106072887355</v>
      </c>
      <c r="M14" s="10">
        <f aca="true" t="shared" si="1" ref="M14:M19">I14*K14</f>
        <v>1227067.7755929958</v>
      </c>
      <c r="O14" s="48">
        <f>'2008 USF separate'!O14</f>
        <v>683547</v>
      </c>
      <c r="P14" s="48"/>
      <c r="Q14" s="46">
        <f>'2008 USF separate'!Q14</f>
        <v>1331096</v>
      </c>
      <c r="R14" s="49">
        <f aca="true" t="shared" si="2" ref="R14:R19">Q14+O14</f>
        <v>2014643</v>
      </c>
    </row>
    <row r="15" spans="1:18" ht="15">
      <c r="A15" s="23">
        <f>1+$A$14</f>
        <v>15</v>
      </c>
      <c r="C15" s="1" t="s">
        <v>8</v>
      </c>
      <c r="E15" s="46">
        <f>'2008 USF separate'!E15</f>
        <v>1E-07</v>
      </c>
      <c r="F15" s="10"/>
      <c r="G15" s="10"/>
      <c r="H15" s="10"/>
      <c r="I15" s="10">
        <f t="shared" si="0"/>
        <v>1E-07</v>
      </c>
      <c r="M15" s="10">
        <f t="shared" si="1"/>
        <v>0</v>
      </c>
      <c r="O15" s="48">
        <f>'2008 USF separate'!O15</f>
        <v>0</v>
      </c>
      <c r="P15" s="48"/>
      <c r="Q15" s="46">
        <f>'2008 USF separate'!Q15</f>
        <v>0</v>
      </c>
      <c r="R15" s="49">
        <f t="shared" si="2"/>
        <v>0</v>
      </c>
    </row>
    <row r="16" spans="1:18" ht="15">
      <c r="A16" s="23">
        <f>1+$A$15</f>
        <v>16</v>
      </c>
      <c r="C16" s="1" t="s">
        <v>9</v>
      </c>
      <c r="E16" s="46">
        <f>'2008 USF separate'!E16</f>
        <v>19415</v>
      </c>
      <c r="F16" s="10"/>
      <c r="G16" s="10">
        <f>'2008 USF separate'!G16</f>
        <v>-19415</v>
      </c>
      <c r="H16" s="10"/>
      <c r="I16" s="10">
        <f t="shared" si="0"/>
        <v>0</v>
      </c>
      <c r="K16" s="11">
        <v>0</v>
      </c>
      <c r="M16" s="10">
        <f t="shared" si="1"/>
        <v>0</v>
      </c>
      <c r="O16" s="48">
        <f>'2008 USF separate'!O16</f>
        <v>0</v>
      </c>
      <c r="P16" s="48"/>
      <c r="Q16" s="46">
        <f>'2008 USF separate'!Q16</f>
        <v>0</v>
      </c>
      <c r="R16" s="49">
        <f t="shared" si="2"/>
        <v>0</v>
      </c>
    </row>
    <row r="17" spans="1:18" ht="15">
      <c r="A17" s="23">
        <f>1+$A$16</f>
        <v>17</v>
      </c>
      <c r="C17" s="1" t="s">
        <v>10</v>
      </c>
      <c r="E17" s="46">
        <f>'2008 USF separate'!E17</f>
        <v>454803</v>
      </c>
      <c r="F17" s="10"/>
      <c r="G17" s="10">
        <f>'2008 USF separate'!G17</f>
        <v>0</v>
      </c>
      <c r="H17" s="10"/>
      <c r="I17" s="10">
        <f t="shared" si="0"/>
        <v>454803</v>
      </c>
      <c r="K17" s="11">
        <f>+Q17/(O17+Q17)</f>
        <v>0.6578077761372425</v>
      </c>
      <c r="M17" s="10">
        <f t="shared" si="1"/>
        <v>299172.9500105463</v>
      </c>
      <c r="O17" s="48">
        <f>'2008 USF separate'!O17</f>
        <v>126542</v>
      </c>
      <c r="P17" s="48"/>
      <c r="Q17" s="46">
        <f>'2008 USF separate'!Q17</f>
        <v>243256</v>
      </c>
      <c r="R17" s="49">
        <f t="shared" si="2"/>
        <v>369798</v>
      </c>
    </row>
    <row r="18" spans="1:18" ht="15">
      <c r="A18" s="23">
        <f>1+$A$17</f>
        <v>18</v>
      </c>
      <c r="C18" s="1" t="s">
        <v>11</v>
      </c>
      <c r="E18" s="46">
        <f>'2008 USF separate'!E18</f>
        <v>1E-07</v>
      </c>
      <c r="F18" s="10"/>
      <c r="G18" s="10"/>
      <c r="H18" s="10"/>
      <c r="I18" s="10">
        <f t="shared" si="0"/>
        <v>1E-07</v>
      </c>
      <c r="M18" s="10">
        <f t="shared" si="1"/>
        <v>0</v>
      </c>
      <c r="O18" s="48">
        <f>'2008 USF separate'!O18</f>
        <v>0</v>
      </c>
      <c r="P18" s="48"/>
      <c r="Q18" s="46">
        <f>'2008 USF separate'!Q18</f>
        <v>0</v>
      </c>
      <c r="R18" s="49">
        <f t="shared" si="2"/>
        <v>0</v>
      </c>
    </row>
    <row r="19" spans="1:18" ht="15">
      <c r="A19" s="23">
        <f>1+$A$18</f>
        <v>19</v>
      </c>
      <c r="C19" s="1" t="s">
        <v>12</v>
      </c>
      <c r="E19" s="46">
        <f>'2008 USF separate'!E19</f>
        <v>0</v>
      </c>
      <c r="F19" s="10"/>
      <c r="G19" s="10">
        <f>'2008 USF separate'!G19</f>
        <v>0</v>
      </c>
      <c r="H19" s="10"/>
      <c r="I19" s="10">
        <f t="shared" si="0"/>
        <v>0</v>
      </c>
      <c r="K19" s="11">
        <v>0</v>
      </c>
      <c r="M19" s="10">
        <f t="shared" si="1"/>
        <v>0</v>
      </c>
      <c r="O19" s="48">
        <f>'2008 USF separate'!O19</f>
        <v>0</v>
      </c>
      <c r="P19" s="48"/>
      <c r="Q19" s="46">
        <f>'2008 USF separate'!Q19</f>
        <v>0</v>
      </c>
      <c r="R19" s="49">
        <f t="shared" si="2"/>
        <v>0</v>
      </c>
    </row>
    <row r="20" spans="1:18" ht="15">
      <c r="A20" s="23">
        <f>1+$A$19</f>
        <v>20</v>
      </c>
      <c r="B20" s="9"/>
      <c r="E20" s="46"/>
      <c r="F20" s="10"/>
      <c r="G20" s="10"/>
      <c r="H20" s="10"/>
      <c r="I20" s="10"/>
      <c r="M20" s="10"/>
      <c r="O20" s="48"/>
      <c r="P20" s="48"/>
      <c r="Q20" s="46"/>
      <c r="R20" s="49"/>
    </row>
    <row r="21" spans="1:18" ht="15.75">
      <c r="A21" s="23">
        <f>1+$A$20</f>
        <v>21</v>
      </c>
      <c r="B21" s="4" t="s">
        <v>3</v>
      </c>
      <c r="E21" s="46"/>
      <c r="F21" s="10"/>
      <c r="G21" s="10"/>
      <c r="H21" s="10"/>
      <c r="I21" s="10"/>
      <c r="M21" s="10"/>
      <c r="O21" s="48"/>
      <c r="P21" s="48"/>
      <c r="Q21" s="46"/>
      <c r="R21" s="49"/>
    </row>
    <row r="22" spans="1:18" ht="15">
      <c r="A22" s="23">
        <f>1+$A$21</f>
        <v>22</v>
      </c>
      <c r="B22" s="9"/>
      <c r="C22" s="1" t="s">
        <v>13</v>
      </c>
      <c r="E22" s="46">
        <f>'2008 USF separate'!E22</f>
        <v>5100</v>
      </c>
      <c r="F22" s="10"/>
      <c r="G22" s="10"/>
      <c r="H22" s="10"/>
      <c r="I22" s="10">
        <f aca="true" t="shared" si="3" ref="I22:I28">E22+G22</f>
        <v>5100</v>
      </c>
      <c r="K22" s="11">
        <f aca="true" t="shared" si="4" ref="K22:K27">+Q22/(O22+Q22)</f>
        <v>1</v>
      </c>
      <c r="M22" s="10">
        <f aca="true" t="shared" si="5" ref="M22:M28">I22*K22</f>
        <v>5100</v>
      </c>
      <c r="O22" s="48"/>
      <c r="P22" s="48"/>
      <c r="Q22" s="50">
        <f>I22</f>
        <v>5100</v>
      </c>
      <c r="R22" s="49">
        <f aca="true" t="shared" si="6" ref="R22:R28">Q22+O22</f>
        <v>5100</v>
      </c>
    </row>
    <row r="23" spans="1:18" ht="15">
      <c r="A23" s="23">
        <f>1+$A$22</f>
        <v>23</v>
      </c>
      <c r="B23" s="9"/>
      <c r="C23" s="1" t="s">
        <v>14</v>
      </c>
      <c r="E23" s="46">
        <f>'2008 USF separate'!E23</f>
        <v>557204</v>
      </c>
      <c r="F23" s="10"/>
      <c r="G23" s="10">
        <f>'2008 USF separate'!G23</f>
        <v>0</v>
      </c>
      <c r="H23" s="10"/>
      <c r="I23" s="10">
        <f t="shared" si="3"/>
        <v>557204</v>
      </c>
      <c r="K23" s="11">
        <f t="shared" si="4"/>
        <v>0.5195134995441526</v>
      </c>
      <c r="M23" s="10">
        <f t="shared" si="5"/>
        <v>289475</v>
      </c>
      <c r="O23" s="51">
        <f>R23-Q23</f>
        <v>267729</v>
      </c>
      <c r="P23" s="48"/>
      <c r="Q23" s="46">
        <f>'2008 USF separate'!Q23</f>
        <v>289475</v>
      </c>
      <c r="R23" s="49">
        <f>I23</f>
        <v>557204</v>
      </c>
    </row>
    <row r="24" spans="1:18" ht="15">
      <c r="A24" s="23">
        <v>24</v>
      </c>
      <c r="B24" s="9"/>
      <c r="C24" s="1" t="s">
        <v>62</v>
      </c>
      <c r="E24" s="46">
        <f>'2008 USF separate'!E24</f>
        <v>149915</v>
      </c>
      <c r="F24" s="10"/>
      <c r="G24" s="10"/>
      <c r="H24" s="10"/>
      <c r="I24" s="10">
        <f t="shared" si="3"/>
        <v>149915</v>
      </c>
      <c r="K24" s="11">
        <v>1</v>
      </c>
      <c r="M24" s="10">
        <f t="shared" si="5"/>
        <v>149915</v>
      </c>
      <c r="O24" s="48"/>
      <c r="P24" s="48"/>
      <c r="Q24" s="50">
        <f>I24</f>
        <v>149915</v>
      </c>
      <c r="R24" s="49">
        <f t="shared" si="6"/>
        <v>149915</v>
      </c>
    </row>
    <row r="25" spans="1:18" ht="15">
      <c r="A25" s="23">
        <v>25</v>
      </c>
      <c r="B25" s="9"/>
      <c r="C25" s="1" t="s">
        <v>15</v>
      </c>
      <c r="E25" s="46">
        <f>'2008 USF separate'!E25</f>
        <v>0</v>
      </c>
      <c r="F25" s="10"/>
      <c r="G25" s="10"/>
      <c r="H25" s="10"/>
      <c r="I25" s="10">
        <f t="shared" si="3"/>
        <v>0</v>
      </c>
      <c r="K25" s="11">
        <v>0</v>
      </c>
      <c r="M25" s="10">
        <f t="shared" si="5"/>
        <v>0</v>
      </c>
      <c r="O25" s="51">
        <f>I25-Q25</f>
        <v>0</v>
      </c>
      <c r="P25" s="48"/>
      <c r="Q25" s="46">
        <f>'2008 USF separate'!Q25</f>
        <v>0</v>
      </c>
      <c r="R25" s="49">
        <f t="shared" si="6"/>
        <v>0</v>
      </c>
    </row>
    <row r="26" spans="1:18" ht="15">
      <c r="A26" s="23">
        <v>26</v>
      </c>
      <c r="B26" s="9"/>
      <c r="C26" s="1" t="s">
        <v>48</v>
      </c>
      <c r="E26" s="46">
        <f>'2008 USF separate'!E26</f>
        <v>0</v>
      </c>
      <c r="F26" s="10"/>
      <c r="G26" s="10"/>
      <c r="H26" s="10"/>
      <c r="I26" s="10">
        <f t="shared" si="3"/>
        <v>0</v>
      </c>
      <c r="K26" s="11">
        <v>0</v>
      </c>
      <c r="M26" s="10">
        <f t="shared" si="5"/>
        <v>0</v>
      </c>
      <c r="O26" s="48">
        <f>'2008 USF separate'!O26</f>
        <v>0</v>
      </c>
      <c r="P26" s="48"/>
      <c r="Q26" s="50">
        <f>I26-O26</f>
        <v>0</v>
      </c>
      <c r="R26" s="49">
        <f t="shared" si="6"/>
        <v>0</v>
      </c>
    </row>
    <row r="27" spans="1:19" ht="15">
      <c r="A27" s="23">
        <v>27</v>
      </c>
      <c r="B27" s="9"/>
      <c r="C27" s="1" t="s">
        <v>16</v>
      </c>
      <c r="E27" s="46">
        <f>'2008 USF separate'!E27</f>
        <v>27040</v>
      </c>
      <c r="F27" s="10"/>
      <c r="G27" s="10">
        <f>'2008 USF separate'!G27</f>
        <v>-9700</v>
      </c>
      <c r="H27" s="10"/>
      <c r="I27" s="10">
        <f t="shared" si="3"/>
        <v>17340</v>
      </c>
      <c r="K27" s="11">
        <f t="shared" si="4"/>
        <v>1</v>
      </c>
      <c r="M27" s="10">
        <f t="shared" si="5"/>
        <v>17340</v>
      </c>
      <c r="O27" s="48"/>
      <c r="P27" s="48"/>
      <c r="Q27" s="50">
        <f>I27</f>
        <v>17340</v>
      </c>
      <c r="R27" s="49">
        <f t="shared" si="6"/>
        <v>17340</v>
      </c>
      <c r="S27" s="13"/>
    </row>
    <row r="28" spans="1:18" ht="15">
      <c r="A28" s="23">
        <f>1+$A$27</f>
        <v>28</v>
      </c>
      <c r="B28" s="9"/>
      <c r="C28" s="1" t="s">
        <v>17</v>
      </c>
      <c r="E28" s="46">
        <f>'2008 USF separate'!E28</f>
        <v>0</v>
      </c>
      <c r="F28" s="10"/>
      <c r="G28" s="10">
        <f>'2008 USF separate'!G28</f>
        <v>0</v>
      </c>
      <c r="H28" s="10"/>
      <c r="I28" s="10">
        <f t="shared" si="3"/>
        <v>0</v>
      </c>
      <c r="K28" s="11">
        <v>0</v>
      </c>
      <c r="M28" s="10">
        <f t="shared" si="5"/>
        <v>0</v>
      </c>
      <c r="O28" s="48"/>
      <c r="P28" s="48"/>
      <c r="Q28" s="50">
        <f>I28</f>
        <v>0</v>
      </c>
      <c r="R28" s="49">
        <f t="shared" si="6"/>
        <v>0</v>
      </c>
    </row>
    <row r="29" spans="1:18" ht="15">
      <c r="A29" s="23">
        <v>29</v>
      </c>
      <c r="B29" s="9"/>
      <c r="E29" s="46"/>
      <c r="F29" s="10"/>
      <c r="G29" s="10"/>
      <c r="H29" s="10"/>
      <c r="I29" s="10"/>
      <c r="K29" s="11"/>
      <c r="M29" s="10"/>
      <c r="O29" s="48"/>
      <c r="P29" s="48"/>
      <c r="Q29" s="46"/>
      <c r="R29" s="49"/>
    </row>
    <row r="30" spans="1:18" ht="15">
      <c r="A30" s="23">
        <v>30</v>
      </c>
      <c r="B30" s="9"/>
      <c r="E30" s="46"/>
      <c r="F30" s="10"/>
      <c r="G30" s="10"/>
      <c r="H30" s="10"/>
      <c r="I30" s="10"/>
      <c r="M30" s="10"/>
      <c r="O30" s="48"/>
      <c r="P30" s="48"/>
      <c r="Q30" s="46"/>
      <c r="R30" s="49"/>
    </row>
    <row r="31" spans="1:18" ht="15.75">
      <c r="A31" s="23">
        <f>1+$A$30</f>
        <v>31</v>
      </c>
      <c r="B31" s="4" t="s">
        <v>4</v>
      </c>
      <c r="E31" s="46"/>
      <c r="F31" s="10"/>
      <c r="G31" s="10"/>
      <c r="H31" s="10"/>
      <c r="I31" s="10"/>
      <c r="M31" s="10"/>
      <c r="O31" s="48"/>
      <c r="P31" s="48"/>
      <c r="Q31" s="46"/>
      <c r="R31" s="49"/>
    </row>
    <row r="32" spans="1:18" ht="15">
      <c r="A32" s="23">
        <f>1+$A$31</f>
        <v>32</v>
      </c>
      <c r="C32" s="1" t="s">
        <v>18</v>
      </c>
      <c r="E32" s="46">
        <f>'2008 USF separate'!E32</f>
        <v>196892</v>
      </c>
      <c r="F32" s="10"/>
      <c r="G32" s="10">
        <f>'2008 USF separate'!G32</f>
        <v>-4448</v>
      </c>
      <c r="H32" s="10"/>
      <c r="I32" s="10">
        <f aca="true" t="shared" si="7" ref="I32:I37">E32+G32</f>
        <v>192444</v>
      </c>
      <c r="K32" s="11">
        <f aca="true" t="shared" si="8" ref="K32:K37">+Q32/(O32+Q32)</f>
        <v>0.6513479245910498</v>
      </c>
      <c r="M32" s="10">
        <f aca="true" t="shared" si="9" ref="M32:M37">I32*K32</f>
        <v>125348</v>
      </c>
      <c r="O32" s="48">
        <f>'2008 USF separate'!O32</f>
        <v>67096</v>
      </c>
      <c r="P32" s="48"/>
      <c r="Q32" s="46">
        <f>'2008 USF separate'!Q32</f>
        <v>125348</v>
      </c>
      <c r="R32" s="49">
        <f aca="true" t="shared" si="10" ref="R32:R37">Q32+O32</f>
        <v>192444</v>
      </c>
    </row>
    <row r="33" spans="1:18" ht="15">
      <c r="A33" s="23">
        <f>1+$A$32</f>
        <v>33</v>
      </c>
      <c r="C33" s="1" t="s">
        <v>19</v>
      </c>
      <c r="E33" s="46">
        <f>'2008 USF separate'!E33</f>
        <v>68814</v>
      </c>
      <c r="F33" s="10"/>
      <c r="G33" s="10">
        <f>'2008 USF separate'!G33</f>
        <v>-16010</v>
      </c>
      <c r="H33" s="10"/>
      <c r="I33" s="10">
        <f t="shared" si="7"/>
        <v>52804</v>
      </c>
      <c r="K33" s="11">
        <f t="shared" si="8"/>
        <v>0.6607075221574124</v>
      </c>
      <c r="M33" s="10">
        <f t="shared" si="9"/>
        <v>34888</v>
      </c>
      <c r="O33" s="48">
        <f>'2008 USF separate'!O33</f>
        <v>17916</v>
      </c>
      <c r="P33" s="48"/>
      <c r="Q33" s="46">
        <f>'2008 USF separate'!Q33</f>
        <v>34888</v>
      </c>
      <c r="R33" s="49">
        <f t="shared" si="10"/>
        <v>52804</v>
      </c>
    </row>
    <row r="34" spans="1:18" ht="15">
      <c r="A34" s="23">
        <f>1+$A$33</f>
        <v>34</v>
      </c>
      <c r="B34" s="23"/>
      <c r="C34" s="1" t="s">
        <v>20</v>
      </c>
      <c r="E34" s="46">
        <f>'2008 USF separate'!E34</f>
        <v>165504</v>
      </c>
      <c r="F34" s="10"/>
      <c r="G34" s="10">
        <f>'2008 USF separate'!G34</f>
        <v>-1031</v>
      </c>
      <c r="H34" s="10"/>
      <c r="I34" s="10">
        <f t="shared" si="7"/>
        <v>164473</v>
      </c>
      <c r="K34" s="11">
        <f t="shared" si="8"/>
        <v>0.6575000152000632</v>
      </c>
      <c r="M34" s="10">
        <f t="shared" si="9"/>
        <v>108140.99999999999</v>
      </c>
      <c r="O34" s="48">
        <f>'2008 USF separate'!O34</f>
        <v>56332</v>
      </c>
      <c r="P34" s="48"/>
      <c r="Q34" s="46">
        <f>'2008 USF separate'!Q34</f>
        <v>108141</v>
      </c>
      <c r="R34" s="49">
        <f t="shared" si="10"/>
        <v>164473</v>
      </c>
    </row>
    <row r="35" spans="1:18" ht="15">
      <c r="A35" s="23">
        <f>1+$A$34</f>
        <v>35</v>
      </c>
      <c r="C35" s="1" t="s">
        <v>21</v>
      </c>
      <c r="E35" s="46">
        <f>'2008 USF separate'!E35</f>
        <v>15773</v>
      </c>
      <c r="F35" s="10"/>
      <c r="G35" s="10">
        <f>'2008 USF separate'!G35</f>
        <v>-264</v>
      </c>
      <c r="H35" s="10"/>
      <c r="I35" s="10">
        <f t="shared" si="7"/>
        <v>15509</v>
      </c>
      <c r="K35" s="11">
        <f t="shared" si="8"/>
        <v>0.6326004255593526</v>
      </c>
      <c r="M35" s="10">
        <f t="shared" si="9"/>
        <v>9811</v>
      </c>
      <c r="O35" s="48">
        <f>'2008 USF separate'!O35</f>
        <v>5698</v>
      </c>
      <c r="P35" s="48"/>
      <c r="Q35" s="46">
        <f>'2008 USF separate'!Q35</f>
        <v>9811</v>
      </c>
      <c r="R35" s="49">
        <f t="shared" si="10"/>
        <v>15509</v>
      </c>
    </row>
    <row r="36" spans="1:18" ht="15">
      <c r="A36" s="23">
        <f>1+$A$35</f>
        <v>36</v>
      </c>
      <c r="C36" s="1" t="s">
        <v>22</v>
      </c>
      <c r="E36" s="46">
        <f>'2008 USF separate'!E36</f>
        <v>64711</v>
      </c>
      <c r="F36" s="10"/>
      <c r="G36" s="10">
        <f>'2008 USF separate'!G36</f>
        <v>14581</v>
      </c>
      <c r="H36" s="10"/>
      <c r="I36" s="10">
        <f t="shared" si="7"/>
        <v>79292</v>
      </c>
      <c r="K36" s="11">
        <f t="shared" si="8"/>
        <v>0.5168743378903294</v>
      </c>
      <c r="M36" s="10">
        <f t="shared" si="9"/>
        <v>40984</v>
      </c>
      <c r="O36" s="48">
        <f>'2008 USF separate'!O36</f>
        <v>38308</v>
      </c>
      <c r="P36" s="48"/>
      <c r="Q36" s="46">
        <f>'2008 USF separate'!Q36</f>
        <v>40984</v>
      </c>
      <c r="R36" s="49">
        <f t="shared" si="10"/>
        <v>79292</v>
      </c>
    </row>
    <row r="37" spans="1:18" ht="15">
      <c r="A37" s="23">
        <f>1+$A$36</f>
        <v>37</v>
      </c>
      <c r="C37" s="1" t="s">
        <v>23</v>
      </c>
      <c r="E37" s="46">
        <f>'2008 USF separate'!E37</f>
        <v>2382</v>
      </c>
      <c r="F37" s="10"/>
      <c r="G37" s="10">
        <f>'2008 USF separate'!G37</f>
        <v>48</v>
      </c>
      <c r="H37" s="10"/>
      <c r="I37" s="10">
        <f t="shared" si="7"/>
        <v>2430</v>
      </c>
      <c r="K37" s="11">
        <f t="shared" si="8"/>
        <v>0.6102880658436214</v>
      </c>
      <c r="M37" s="10">
        <f t="shared" si="9"/>
        <v>1483</v>
      </c>
      <c r="O37" s="48">
        <f>'2008 USF separate'!O37</f>
        <v>947</v>
      </c>
      <c r="P37" s="48"/>
      <c r="Q37" s="46">
        <f>'2008 USF separate'!Q37</f>
        <v>1483</v>
      </c>
      <c r="R37" s="49">
        <f t="shared" si="10"/>
        <v>2430</v>
      </c>
    </row>
    <row r="38" spans="1:17" ht="15">
      <c r="A38" s="3"/>
      <c r="B38" s="23"/>
      <c r="E38" s="10"/>
      <c r="F38" s="10"/>
      <c r="G38" s="10"/>
      <c r="H38" s="10"/>
      <c r="I38" s="10"/>
      <c r="M38" s="10"/>
      <c r="O38" s="8"/>
      <c r="P38" s="8"/>
      <c r="Q38" s="10"/>
    </row>
    <row r="39" spans="13:17" ht="15" hidden="1">
      <c r="M39" s="13"/>
      <c r="O39" s="13"/>
      <c r="Q39" s="13"/>
    </row>
    <row r="40" spans="13:17" ht="15" hidden="1">
      <c r="M40" s="34"/>
      <c r="O40" s="34"/>
      <c r="Q40" s="13"/>
    </row>
    <row r="41" ht="15" hidden="1">
      <c r="Q41" s="13"/>
    </row>
    <row r="42" spans="1:17" ht="15" hidden="1">
      <c r="A42" s="22" t="s">
        <v>31</v>
      </c>
      <c r="Q42" s="13"/>
    </row>
    <row r="43" ht="6.75" customHeight="1" hidden="1">
      <c r="Q43" s="13"/>
    </row>
    <row r="44" spans="1:17" ht="47.25" hidden="1">
      <c r="A44" s="23">
        <f>1+$A$7</f>
        <v>8</v>
      </c>
      <c r="E44" s="16" t="s">
        <v>66</v>
      </c>
      <c r="G44" s="19" t="s">
        <v>28</v>
      </c>
      <c r="I44" s="19" t="s">
        <v>32</v>
      </c>
      <c r="K44" s="19" t="s">
        <v>33</v>
      </c>
      <c r="Q44" s="13"/>
    </row>
    <row r="45" spans="1:17" ht="15.75" hidden="1">
      <c r="A45" s="23">
        <f>1+$A$8</f>
        <v>9</v>
      </c>
      <c r="B45" s="4" t="s">
        <v>1</v>
      </c>
      <c r="E45" s="6"/>
      <c r="Q45" s="13"/>
    </row>
    <row r="46" spans="1:17" ht="15" hidden="1">
      <c r="A46" s="23">
        <f>1+$A$9</f>
        <v>10</v>
      </c>
      <c r="C46" s="1" t="s">
        <v>5</v>
      </c>
      <c r="E46" s="46">
        <v>36809</v>
      </c>
      <c r="G46" s="47">
        <v>0</v>
      </c>
      <c r="I46" s="45">
        <f>G46/E46</f>
        <v>0</v>
      </c>
      <c r="K46" s="24"/>
      <c r="Q46" s="13"/>
    </row>
    <row r="47" spans="1:17" ht="15" hidden="1">
      <c r="A47" s="23">
        <f>1+$A$10</f>
        <v>11</v>
      </c>
      <c r="C47" s="1" t="s">
        <v>6</v>
      </c>
      <c r="E47" s="46">
        <v>1E-07</v>
      </c>
      <c r="G47" s="47">
        <v>0</v>
      </c>
      <c r="I47" s="45">
        <f>G47/E47</f>
        <v>0</v>
      </c>
      <c r="Q47" s="13"/>
    </row>
    <row r="48" spans="1:17" ht="15" hidden="1">
      <c r="A48" s="23">
        <f>1+$A$11</f>
        <v>12</v>
      </c>
      <c r="E48" s="46"/>
      <c r="G48" s="47"/>
      <c r="I48" s="45"/>
      <c r="Q48" s="13"/>
    </row>
    <row r="49" spans="1:17" ht="15.75" hidden="1">
      <c r="A49" s="23">
        <f>1+$A$12</f>
        <v>13</v>
      </c>
      <c r="B49" s="4" t="s">
        <v>2</v>
      </c>
      <c r="E49" s="46"/>
      <c r="G49" s="47"/>
      <c r="I49" s="45"/>
      <c r="Q49" s="13"/>
    </row>
    <row r="50" spans="1:17" ht="15" hidden="1">
      <c r="A50" s="23">
        <f>1+$A$13</f>
        <v>14</v>
      </c>
      <c r="C50" s="1" t="s">
        <v>7</v>
      </c>
      <c r="E50" s="46">
        <v>3282968</v>
      </c>
      <c r="G50" s="47">
        <f>36037-108966-86744</f>
        <v>-159673</v>
      </c>
      <c r="I50" s="45">
        <f aca="true" t="shared" si="11" ref="I50:I55">G50/E50</f>
        <v>-0.048636782326236506</v>
      </c>
      <c r="K50" s="24">
        <f>E14*I50</f>
        <v>-90182.02996861377</v>
      </c>
      <c r="Q50" s="13"/>
    </row>
    <row r="51" spans="1:17" ht="15" hidden="1">
      <c r="A51" s="23">
        <f>1+$A$14</f>
        <v>15</v>
      </c>
      <c r="C51" s="1" t="s">
        <v>8</v>
      </c>
      <c r="E51" s="46">
        <v>1E-07</v>
      </c>
      <c r="G51" s="47"/>
      <c r="I51" s="45">
        <f t="shared" si="11"/>
        <v>0</v>
      </c>
      <c r="K51" s="1">
        <v>0</v>
      </c>
      <c r="Q51" s="13"/>
    </row>
    <row r="52" spans="1:17" ht="15" hidden="1">
      <c r="A52" s="23">
        <f>1+$A$15</f>
        <v>16</v>
      </c>
      <c r="C52" s="1" t="s">
        <v>9</v>
      </c>
      <c r="E52" s="46">
        <v>267896</v>
      </c>
      <c r="G52" s="47"/>
      <c r="I52" s="45">
        <f t="shared" si="11"/>
        <v>0</v>
      </c>
      <c r="K52" s="1">
        <v>0</v>
      </c>
      <c r="Q52" s="13"/>
    </row>
    <row r="53" spans="1:17" ht="15" hidden="1">
      <c r="A53" s="23">
        <f>1+$A$16</f>
        <v>17</v>
      </c>
      <c r="C53" s="1" t="s">
        <v>10</v>
      </c>
      <c r="E53" s="46">
        <v>2409362</v>
      </c>
      <c r="G53" s="47">
        <f>19731-19731-59552</f>
        <v>-59552</v>
      </c>
      <c r="I53" s="45">
        <f t="shared" si="11"/>
        <v>-0.024716916760536608</v>
      </c>
      <c r="K53" s="24">
        <f>I53*E17</f>
        <v>-11241.32789344233</v>
      </c>
      <c r="Q53" s="13"/>
    </row>
    <row r="54" spans="1:17" ht="15" hidden="1">
      <c r="A54" s="23">
        <f>1+$A$17</f>
        <v>18</v>
      </c>
      <c r="C54" s="1" t="s">
        <v>11</v>
      </c>
      <c r="E54" s="46">
        <v>1E-07</v>
      </c>
      <c r="G54" s="47"/>
      <c r="I54" s="45">
        <f t="shared" si="11"/>
        <v>0</v>
      </c>
      <c r="Q54" s="13"/>
    </row>
    <row r="55" spans="1:17" ht="15" hidden="1">
      <c r="A55" s="23">
        <f>1+$A$18</f>
        <v>19</v>
      </c>
      <c r="C55" s="1" t="s">
        <v>12</v>
      </c>
      <c r="E55" s="46">
        <v>178123</v>
      </c>
      <c r="G55" s="47">
        <v>-4715</v>
      </c>
      <c r="I55" s="45">
        <f t="shared" si="11"/>
        <v>-0.026470472650920993</v>
      </c>
      <c r="K55" s="24">
        <f>I55*E19</f>
        <v>0</v>
      </c>
      <c r="Q55" s="13"/>
    </row>
    <row r="56" spans="1:17" ht="15" hidden="1">
      <c r="A56" s="23">
        <f>1+$A$19</f>
        <v>20</v>
      </c>
      <c r="B56" s="9"/>
      <c r="E56" s="46"/>
      <c r="G56" s="47"/>
      <c r="I56" s="45"/>
      <c r="Q56" s="13"/>
    </row>
    <row r="57" spans="1:17" ht="15.75" hidden="1">
      <c r="A57" s="23">
        <f>1+$A$20</f>
        <v>21</v>
      </c>
      <c r="B57" s="4" t="s">
        <v>3</v>
      </c>
      <c r="E57" s="46"/>
      <c r="G57" s="47"/>
      <c r="I57" s="45"/>
      <c r="Q57" s="13"/>
    </row>
    <row r="58" spans="1:17" ht="15" hidden="1">
      <c r="A58" s="23">
        <f>1+$A$21</f>
        <v>22</v>
      </c>
      <c r="B58" s="9"/>
      <c r="C58" s="1" t="s">
        <v>13</v>
      </c>
      <c r="E58" s="46">
        <v>119208</v>
      </c>
      <c r="G58" s="47"/>
      <c r="I58" s="45">
        <f>G58/E58</f>
        <v>0</v>
      </c>
      <c r="K58" s="25">
        <f>I58*E22</f>
        <v>0</v>
      </c>
      <c r="Q58" s="13"/>
    </row>
    <row r="59" spans="1:17" ht="15" hidden="1">
      <c r="A59" s="23">
        <f>1+$A$22</f>
        <v>23</v>
      </c>
      <c r="B59" s="9"/>
      <c r="C59" s="1" t="s">
        <v>14</v>
      </c>
      <c r="E59" s="46">
        <v>54906</v>
      </c>
      <c r="G59" s="47"/>
      <c r="I59" s="45"/>
      <c r="K59" s="25"/>
      <c r="Q59" s="13"/>
    </row>
    <row r="60" spans="1:17" ht="15" hidden="1">
      <c r="A60" s="23">
        <f>1+$A$23</f>
        <v>24</v>
      </c>
      <c r="B60" s="9"/>
      <c r="C60" s="1" t="s">
        <v>15</v>
      </c>
      <c r="E60" s="46">
        <v>673592</v>
      </c>
      <c r="G60" s="47"/>
      <c r="I60" s="45"/>
      <c r="K60" s="25"/>
      <c r="Q60" s="13"/>
    </row>
    <row r="61" spans="1:17" ht="15" hidden="1">
      <c r="A61" s="23">
        <f>1+$A$25</f>
        <v>26</v>
      </c>
      <c r="B61" s="9"/>
      <c r="C61" s="1" t="s">
        <v>48</v>
      </c>
      <c r="E61" s="46">
        <v>26940</v>
      </c>
      <c r="G61" s="47"/>
      <c r="I61" s="45"/>
      <c r="K61" s="25"/>
      <c r="Q61" s="13"/>
    </row>
    <row r="62" spans="1:17" ht="15" hidden="1">
      <c r="A62" s="23">
        <v>26</v>
      </c>
      <c r="B62" s="9"/>
      <c r="C62" s="1" t="s">
        <v>16</v>
      </c>
      <c r="E62" s="46">
        <v>9081</v>
      </c>
      <c r="G62" s="47"/>
      <c r="I62" s="45"/>
      <c r="K62" s="25"/>
      <c r="Q62" s="13"/>
    </row>
    <row r="63" spans="1:17" ht="15" hidden="1">
      <c r="A63" s="23">
        <f>1+$A$27</f>
        <v>28</v>
      </c>
      <c r="B63" s="9"/>
      <c r="C63" s="1" t="s">
        <v>17</v>
      </c>
      <c r="E63" s="46">
        <v>-102</v>
      </c>
      <c r="G63" s="47"/>
      <c r="I63" s="45"/>
      <c r="K63" s="25"/>
      <c r="Q63" s="13"/>
    </row>
    <row r="64" spans="1:17" ht="15" hidden="1">
      <c r="A64" s="23">
        <f>1+$A$28</f>
        <v>29</v>
      </c>
      <c r="B64" s="9"/>
      <c r="E64" s="46"/>
      <c r="G64" s="47"/>
      <c r="I64" s="45"/>
      <c r="K64" s="25"/>
      <c r="Q64" s="13"/>
    </row>
    <row r="65" spans="1:17" ht="15.75" hidden="1">
      <c r="A65" s="23">
        <f>1+$A$30</f>
        <v>31</v>
      </c>
      <c r="B65" s="4" t="s">
        <v>4</v>
      </c>
      <c r="E65" s="46"/>
      <c r="G65" s="47"/>
      <c r="I65" s="45"/>
      <c r="K65" s="25"/>
      <c r="Q65" s="13"/>
    </row>
    <row r="66" spans="1:17" ht="15" hidden="1">
      <c r="A66" s="23">
        <f>1+$A$31</f>
        <v>32</v>
      </c>
      <c r="C66" s="1" t="s">
        <v>18</v>
      </c>
      <c r="E66" s="46">
        <v>302655</v>
      </c>
      <c r="G66" s="47">
        <f>60292-94327-3925</f>
        <v>-37960</v>
      </c>
      <c r="I66" s="45">
        <f aca="true" t="shared" si="12" ref="I66:I71">G66/E66</f>
        <v>-0.12542333680263007</v>
      </c>
      <c r="K66" s="25">
        <f>I66*E32</f>
        <v>-24694.85162974344</v>
      </c>
      <c r="Q66" s="13"/>
    </row>
    <row r="67" spans="1:17" ht="15" hidden="1">
      <c r="A67" s="23">
        <f>1+$A$32</f>
        <v>33</v>
      </c>
      <c r="C67" s="1" t="s">
        <v>19</v>
      </c>
      <c r="E67" s="46">
        <v>24279</v>
      </c>
      <c r="G67" s="47">
        <v>0</v>
      </c>
      <c r="I67" s="45">
        <f t="shared" si="12"/>
        <v>0</v>
      </c>
      <c r="K67" s="25"/>
      <c r="Q67" s="13"/>
    </row>
    <row r="68" spans="1:17" ht="15" hidden="1">
      <c r="A68" s="23">
        <f>1+$A$33</f>
        <v>34</v>
      </c>
      <c r="B68" s="23"/>
      <c r="C68" s="1" t="s">
        <v>20</v>
      </c>
      <c r="E68" s="46">
        <v>196604</v>
      </c>
      <c r="G68" s="47">
        <f>2709-2709-8003</f>
        <v>-8003</v>
      </c>
      <c r="I68" s="45">
        <f t="shared" si="12"/>
        <v>-0.040706191125307725</v>
      </c>
      <c r="K68" s="25">
        <f>+I68*E34</f>
        <v>-6737.0374560029295</v>
      </c>
      <c r="Q68" s="13"/>
    </row>
    <row r="69" spans="1:17" ht="15" hidden="1">
      <c r="A69" s="23">
        <f>1+$A$34</f>
        <v>35</v>
      </c>
      <c r="C69" s="1" t="s">
        <v>21</v>
      </c>
      <c r="E69" s="46">
        <v>145446</v>
      </c>
      <c r="G69" s="47">
        <f>135075-142870-28369</f>
        <v>-36164</v>
      </c>
      <c r="I69" s="45">
        <f t="shared" si="12"/>
        <v>-0.24864210772382878</v>
      </c>
      <c r="K69" s="25">
        <f>I69*E35</f>
        <v>-3921.831965127951</v>
      </c>
      <c r="Q69" s="13"/>
    </row>
    <row r="70" spans="1:17" ht="15" hidden="1">
      <c r="A70" s="23">
        <f>1+$A$35</f>
        <v>36</v>
      </c>
      <c r="C70" s="1" t="s">
        <v>22</v>
      </c>
      <c r="E70" s="46">
        <v>224750</v>
      </c>
      <c r="G70" s="47">
        <f>521-10388-25655</f>
        <v>-35522</v>
      </c>
      <c r="I70" s="45">
        <f t="shared" si="12"/>
        <v>-0.15805116796440488</v>
      </c>
      <c r="K70" s="25">
        <f>I70*E36</f>
        <v>-10227.649130144604</v>
      </c>
      <c r="Q70" s="13"/>
    </row>
    <row r="71" spans="1:17" ht="15" hidden="1">
      <c r="A71" s="23">
        <f>1+$A$36</f>
        <v>37</v>
      </c>
      <c r="C71" s="1" t="s">
        <v>23</v>
      </c>
      <c r="E71" s="46">
        <f>133176-33413</f>
        <v>99763</v>
      </c>
      <c r="G71" s="47">
        <f>118-78-2532</f>
        <v>-2492</v>
      </c>
      <c r="I71" s="45">
        <f t="shared" si="12"/>
        <v>-0.024979200705672444</v>
      </c>
      <c r="K71" s="25">
        <f>I71*E37</f>
        <v>-59.50045608091176</v>
      </c>
      <c r="Q71" s="13"/>
    </row>
    <row r="72" spans="1:17" ht="15" hidden="1">
      <c r="A72" s="3"/>
      <c r="B72" s="23"/>
      <c r="E72" s="10"/>
      <c r="I72" s="45"/>
      <c r="K72" s="25"/>
      <c r="Q72" s="13"/>
    </row>
    <row r="73" spans="9:17" ht="15" hidden="1">
      <c r="I73" s="45"/>
      <c r="Q73" s="13"/>
    </row>
    <row r="74" spans="9:17" ht="15" hidden="1">
      <c r="I74" s="45"/>
      <c r="Q74" s="13"/>
    </row>
    <row r="75" ht="15" hidden="1">
      <c r="Q75" s="13"/>
    </row>
    <row r="76" ht="15" hidden="1">
      <c r="Q76" s="13"/>
    </row>
    <row r="77" ht="15" hidden="1">
      <c r="Q77" s="13"/>
    </row>
    <row r="78" ht="15" hidden="1">
      <c r="Q78" s="13"/>
    </row>
    <row r="79" ht="15" hidden="1">
      <c r="Q79" s="13"/>
    </row>
    <row r="80" ht="15" hidden="1">
      <c r="Q80" s="13"/>
    </row>
    <row r="81" ht="15" hidden="1">
      <c r="Q81" s="13"/>
    </row>
    <row r="82" ht="15" hidden="1">
      <c r="Q82" s="13"/>
    </row>
    <row r="83" ht="15" hidden="1">
      <c r="Q83" s="13"/>
    </row>
    <row r="84" ht="15" hidden="1">
      <c r="Q84" s="13"/>
    </row>
    <row r="85" ht="15" hidden="1">
      <c r="Q85" s="13"/>
    </row>
    <row r="86" ht="15" hidden="1">
      <c r="Q86" s="13"/>
    </row>
    <row r="87" ht="15" hidden="1">
      <c r="Q87" s="13"/>
    </row>
    <row r="88" ht="15" hidden="1">
      <c r="Q88" s="13"/>
    </row>
    <row r="89" ht="15" hidden="1">
      <c r="Q89" s="13"/>
    </row>
    <row r="90" ht="15" hidden="1">
      <c r="Q90" s="13"/>
    </row>
    <row r="91" ht="15" hidden="1">
      <c r="Q91" s="13"/>
    </row>
    <row r="92" ht="15">
      <c r="Q92" s="13"/>
    </row>
    <row r="93" ht="15">
      <c r="Q93" s="13"/>
    </row>
    <row r="94" ht="15">
      <c r="Q94" s="13"/>
    </row>
    <row r="95" ht="15">
      <c r="Q95" s="13"/>
    </row>
    <row r="96" ht="15">
      <c r="Q96" s="13"/>
    </row>
    <row r="97" ht="15">
      <c r="Q97" s="13"/>
    </row>
    <row r="98" ht="15">
      <c r="Q98" s="13"/>
    </row>
    <row r="99" ht="15">
      <c r="Q99" s="13"/>
    </row>
  </sheetData>
  <sheetProtection/>
  <mergeCells count="2">
    <mergeCell ref="O6:R6"/>
    <mergeCell ref="O7:R7"/>
  </mergeCells>
  <printOptions/>
  <pageMargins left="0.25" right="0.25" top="0.75" bottom="0.5" header="0" footer="0.25"/>
  <pageSetup fitToHeight="2" fitToWidth="1" horizontalDpi="600" verticalDpi="600" orientation="landscape" scale="80" r:id="rId3"/>
  <headerFooter alignWithMargins="0">
    <oddFooter>&amp;LJW &amp;A&amp;CPage &amp;P&amp;R&amp;D</oddFooter>
  </headerFooter>
  <colBreaks count="1" manualBreakCount="1">
    <brk id="13" max="3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Jenifer</cp:lastModifiedBy>
  <cp:lastPrinted>2009-10-28T16:19:58Z</cp:lastPrinted>
  <dcterms:created xsi:type="dcterms:W3CDTF">2001-04-26T15:16:00Z</dcterms:created>
  <dcterms:modified xsi:type="dcterms:W3CDTF">2009-10-28T16:46:39Z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tabName">
    <vt:lpwstr>2008 Intrastate CS plus 2009 additions</vt:lpwstr>
  </property>
  <property fmtid="{D5CDD505-2E9C-101B-9397-08002B2CF9AE}" pid="6" name="tabIndex">
    <vt:lpwstr/>
  </property>
  <property fmtid="{D5CDD505-2E9C-101B-9397-08002B2CF9AE}" pid="7" name="workpaperIndex">
    <vt:lpwstr>5115-1</vt:lpwstr>
  </property>
  <property fmtid="{D5CDD505-2E9C-101B-9397-08002B2CF9AE}" pid="8" name="DocumentSetType">
    <vt:lpwstr>Compliance</vt:lpwstr>
  </property>
  <property fmtid="{D5CDD505-2E9C-101B-9397-08002B2CF9AE}" pid="9" name="IsHighlyConfidential">
    <vt:lpwstr>0</vt:lpwstr>
  </property>
  <property fmtid="{D5CDD505-2E9C-101B-9397-08002B2CF9AE}" pid="10" name="DocketNumber">
    <vt:lpwstr>060762</vt:lpwstr>
  </property>
  <property fmtid="{D5CDD505-2E9C-101B-9397-08002B2CF9AE}" pid="11" name="IsConfidential">
    <vt:lpwstr>0</vt:lpwstr>
  </property>
  <property fmtid="{D5CDD505-2E9C-101B-9397-08002B2CF9AE}" pid="12" name="Date1">
    <vt:lpwstr>2009-10-30T00:00:00Z</vt:lpwstr>
  </property>
  <property fmtid="{D5CDD505-2E9C-101B-9397-08002B2CF9AE}" pid="13" name="CaseType">
    <vt:lpwstr>Petition</vt:lpwstr>
  </property>
  <property fmtid="{D5CDD505-2E9C-101B-9397-08002B2CF9AE}" pid="14" name="OpenedDate">
    <vt:lpwstr>2006-05-10T00:00:00Z</vt:lpwstr>
  </property>
  <property fmtid="{D5CDD505-2E9C-101B-9397-08002B2CF9AE}" pid="15" name="Prefix">
    <vt:lpwstr>UT</vt:lpwstr>
  </property>
  <property fmtid="{D5CDD505-2E9C-101B-9397-08002B2CF9AE}" pid="16" name="CaseCompanyNames">
    <vt:lpwstr>Westgate Communications LLC</vt:lpwstr>
  </property>
  <property fmtid="{D5CDD505-2E9C-101B-9397-08002B2CF9AE}" pid="17" name="IndustryCode">
    <vt:lpwstr>170</vt:lpwstr>
  </property>
  <property fmtid="{D5CDD505-2E9C-101B-9397-08002B2CF9AE}" pid="18" name="CaseStatus">
    <vt:lpwstr>Closed</vt:lpwstr>
  </property>
  <property fmtid="{D5CDD505-2E9C-101B-9397-08002B2CF9AE}" pid="19" name="_docset_NoMedatataSyncRequired">
    <vt:lpwstr>False</vt:lpwstr>
  </property>
  <property fmtid="{D5CDD505-2E9C-101B-9397-08002B2CF9AE}" pid="20" name="Nickname">
    <vt:lpwstr/>
  </property>
  <property fmtid="{D5CDD505-2E9C-101B-9397-08002B2CF9AE}" pid="21" name="Process">
    <vt:lpwstr/>
  </property>
  <property fmtid="{D5CDD505-2E9C-101B-9397-08002B2CF9AE}" pid="22" name="Visibility">
    <vt:lpwstr/>
  </property>
  <property fmtid="{D5CDD505-2E9C-101B-9397-08002B2CF9AE}" pid="23" name="DocumentGroup">
    <vt:lpwstr/>
  </property>
</Properties>
</file>