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3.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2.xml" ContentType="application/vnd.openxmlformats-officedocument.drawing+xml"/>
  <Override PartName="/xl/worksheets/sheet1.xml" ContentType="application/vnd.openxmlformats-officedocument.spreadsheetml.worksheet+xml"/>
  <Override PartName="/xl/charts/style1.xml" ContentType="application/vnd.ms-office.chartstyle+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olors1.xml" ContentType="application/vnd.ms-office.chartcolorstyle+xml"/>
  <Override PartName="/xl/charts/chart1.xml" ContentType="application/vnd.openxmlformats-officedocument.drawingml.chart+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43320" yWindow="-60" windowWidth="21840" windowHeight="13140" tabRatio="889"/>
  </bookViews>
  <sheets>
    <sheet name="Exhibit AEB-4 Summary" sheetId="53" r:id="rId1"/>
    <sheet name="Exhibit AEB-5 Proxy Group" sheetId="62" r:id="rId2"/>
    <sheet name="Exhibit AEB-6 Constant DCF" sheetId="20" r:id="rId3"/>
    <sheet name="Exhibit AEB-7 Projected DCF" sheetId="68" r:id="rId4"/>
    <sheet name="Exhibit AEB-8 CAPM 1" sheetId="63" r:id="rId5"/>
    <sheet name="Exhibit AEB-8 CAPM 2" sheetId="71" r:id="rId6"/>
    <sheet name="Exhibit AEB-8 CAPM 3" sheetId="64" r:id="rId7"/>
    <sheet name="Exhibit AEB-9 Risk Premium" sheetId="55" r:id="rId8"/>
    <sheet name="Exhibit AEB-10 Expected Earning" sheetId="56" r:id="rId9"/>
    <sheet name="Exhibit AEB-11 CapEx 1" sheetId="65" r:id="rId10"/>
    <sheet name="Exhibit AEB-11 CapEx 2" sheetId="66" r:id="rId11"/>
    <sheet name="Exhibit AEB-12  Reg Risk" sheetId="57" r:id="rId12"/>
    <sheet name="Exhibit AEB-13 Cap. Str." sheetId="70" r:id="rId1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8">'Exhibit AEB-10 Expected Earning'!$A$1:$M$44</definedName>
    <definedName name="_xlnm.Print_Area" localSheetId="9">'Exhibit AEB-11 CapEx 1'!$A$1:$J$143</definedName>
    <definedName name="_xlnm.Print_Area" localSheetId="10">'Exhibit AEB-11 CapEx 2'!$A$1:$F$59</definedName>
    <definedName name="_xlnm.Print_Area" localSheetId="12">'Exhibit AEB-13 Cap. Str.'!$A$1:$AM$103</definedName>
    <definedName name="_xlnm.Print_Area" localSheetId="0">'Exhibit AEB-4 Summary'!$B$1:$E$37</definedName>
    <definedName name="_xlnm.Print_Area" localSheetId="1">'Exhibit AEB-5 Proxy Group'!$A$1:$K$37</definedName>
    <definedName name="_xlnm.Print_Area" localSheetId="4">'Exhibit AEB-8 CAPM 1'!$B$2:$H$240</definedName>
    <definedName name="_xlnm.Print_Area" localSheetId="5">'Exhibit AEB-8 CAPM 2'!$B$2:$H$240</definedName>
    <definedName name="_xlnm.Print_Area" localSheetId="6">'Exhibit AEB-8 CAPM 3'!$A$1:$G$547</definedName>
    <definedName name="_xlnm.Print_Area" localSheetId="7">'Exhibit AEB-9 Risk Premium'!$B$1:$E$120,'Exhibit AEB-9 Risk Premium'!$G$1:$O$66</definedName>
    <definedName name="_xlnm.Print_Titles" localSheetId="9">'Exhibit AEB-11 CapEx 1'!$2:$10</definedName>
    <definedName name="_xlnm.Print_Titles" localSheetId="11">'Exhibit AEB-12  Reg Risk'!$1:$7</definedName>
    <definedName name="_xlnm.Print_Titles" localSheetId="6">'Exhibit AEB-8 CAPM 3'!$22:$28</definedName>
    <definedName name="_xlnm.Print_Titles" localSheetId="7">'Exhibit AEB-9 Risk Premium'!$1:$5</definedName>
  </definedNames>
  <calcPr calcId="191029" iterate="1"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64" l="1"/>
  <c r="AL64" i="70" l="1"/>
  <c r="AL65" i="70"/>
  <c r="AL66" i="70"/>
  <c r="AL67" i="70"/>
  <c r="AL68" i="70"/>
  <c r="AL69" i="70"/>
  <c r="Y36" i="70"/>
  <c r="Y37" i="70"/>
  <c r="Y38" i="70"/>
  <c r="Y39" i="70"/>
  <c r="Y40" i="70"/>
  <c r="Y41" i="70"/>
  <c r="Y42" i="70"/>
  <c r="Y43" i="70"/>
  <c r="Y44" i="70"/>
  <c r="Y45" i="70"/>
  <c r="Y46" i="70"/>
  <c r="Y47" i="70"/>
  <c r="Y48" i="70"/>
  <c r="Y49" i="70"/>
  <c r="Y50" i="70"/>
  <c r="Y51" i="70"/>
  <c r="Y52" i="70"/>
  <c r="Y53" i="70"/>
  <c r="Y54" i="70"/>
  <c r="Y55" i="70"/>
  <c r="Y56" i="70"/>
  <c r="Y57" i="70"/>
  <c r="Y58" i="70"/>
  <c r="Y59" i="70"/>
  <c r="Y60" i="70"/>
  <c r="Y61" i="70"/>
  <c r="Y62" i="70"/>
  <c r="Y63" i="70"/>
  <c r="Y64" i="70"/>
  <c r="Y65" i="70"/>
  <c r="Y66" i="70"/>
  <c r="Y67" i="70"/>
  <c r="Y68" i="70"/>
  <c r="Y69" i="70"/>
  <c r="Y70" i="70"/>
  <c r="Y71" i="70"/>
  <c r="Y72" i="70"/>
  <c r="Y73" i="70"/>
  <c r="Y74" i="70"/>
  <c r="Y75" i="70"/>
  <c r="Y76" i="70"/>
  <c r="Y77" i="70"/>
  <c r="Y78" i="70"/>
  <c r="Y79" i="70"/>
  <c r="Y80" i="70"/>
  <c r="Y81" i="70"/>
  <c r="Y82" i="70"/>
  <c r="Y83" i="70"/>
  <c r="Y84" i="70"/>
  <c r="Y85" i="70"/>
  <c r="Y86" i="70"/>
  <c r="Y87" i="70"/>
  <c r="Y88" i="70"/>
  <c r="Y89" i="70"/>
  <c r="Y90" i="70"/>
  <c r="Y91" i="70"/>
  <c r="Y92" i="70"/>
  <c r="Y93" i="70"/>
  <c r="Y94" i="70"/>
  <c r="Y95" i="70"/>
  <c r="Y96" i="70"/>
  <c r="Y97" i="70"/>
  <c r="Y98" i="70"/>
  <c r="Y99" i="70"/>
  <c r="J134" i="65" l="1"/>
  <c r="J133" i="65"/>
  <c r="J130" i="65"/>
  <c r="B236" i="71"/>
  <c r="D232" i="71"/>
  <c r="D231" i="71"/>
  <c r="D230" i="71"/>
  <c r="D229" i="71"/>
  <c r="D228" i="71"/>
  <c r="D227" i="71"/>
  <c r="D226" i="71"/>
  <c r="D225" i="71"/>
  <c r="D224" i="71"/>
  <c r="D223" i="71"/>
  <c r="D222" i="71"/>
  <c r="D221" i="71"/>
  <c r="E220" i="71"/>
  <c r="D220" i="71"/>
  <c r="D219" i="71"/>
  <c r="D218" i="71"/>
  <c r="D217" i="71"/>
  <c r="D216" i="71"/>
  <c r="D215" i="71"/>
  <c r="D214" i="71"/>
  <c r="D213" i="71"/>
  <c r="D212" i="71"/>
  <c r="E211" i="71"/>
  <c r="D211" i="71"/>
  <c r="D210" i="71"/>
  <c r="D209" i="71"/>
  <c r="B196" i="71"/>
  <c r="E192" i="71"/>
  <c r="E232" i="71" s="1"/>
  <c r="E191" i="71"/>
  <c r="E231" i="71" s="1"/>
  <c r="E190" i="71"/>
  <c r="E230" i="71" s="1"/>
  <c r="E189" i="71"/>
  <c r="E229" i="71" s="1"/>
  <c r="E188" i="71"/>
  <c r="E228" i="71" s="1"/>
  <c r="E187" i="71"/>
  <c r="E227" i="71" s="1"/>
  <c r="E186" i="71"/>
  <c r="E226" i="71" s="1"/>
  <c r="E185" i="71"/>
  <c r="E225" i="71" s="1"/>
  <c r="E184" i="71"/>
  <c r="E224" i="71" s="1"/>
  <c r="E183" i="71"/>
  <c r="E223" i="71" s="1"/>
  <c r="D183" i="71"/>
  <c r="E182" i="71"/>
  <c r="E222" i="71" s="1"/>
  <c r="E181" i="71"/>
  <c r="E221" i="71" s="1"/>
  <c r="E180" i="71"/>
  <c r="E179" i="71"/>
  <c r="E219" i="71" s="1"/>
  <c r="E178" i="71"/>
  <c r="E218" i="71" s="1"/>
  <c r="E177" i="71"/>
  <c r="E217" i="71" s="1"/>
  <c r="E176" i="71"/>
  <c r="E216" i="71" s="1"/>
  <c r="E175" i="71"/>
  <c r="E215" i="71" s="1"/>
  <c r="E174" i="71"/>
  <c r="E214" i="71" s="1"/>
  <c r="E173" i="71"/>
  <c r="E213" i="71" s="1"/>
  <c r="E172" i="71"/>
  <c r="E212" i="71" s="1"/>
  <c r="E171" i="71"/>
  <c r="E170" i="71"/>
  <c r="E210" i="71" s="1"/>
  <c r="D169" i="71"/>
  <c r="D152" i="71"/>
  <c r="D151" i="71"/>
  <c r="D150" i="71"/>
  <c r="D149" i="71"/>
  <c r="D148" i="71"/>
  <c r="D147" i="71"/>
  <c r="D146" i="71"/>
  <c r="D145" i="71"/>
  <c r="D144" i="71"/>
  <c r="D143" i="71"/>
  <c r="D142" i="71"/>
  <c r="D141" i="71"/>
  <c r="D140" i="71"/>
  <c r="D139" i="71"/>
  <c r="D138" i="71"/>
  <c r="D137" i="71"/>
  <c r="D136" i="71"/>
  <c r="D135" i="71"/>
  <c r="D134" i="71"/>
  <c r="D133" i="71"/>
  <c r="D132" i="71"/>
  <c r="D131" i="71"/>
  <c r="D130" i="71"/>
  <c r="D129" i="71"/>
  <c r="B102" i="71"/>
  <c r="B143" i="71" s="1"/>
  <c r="B183" i="71" s="1"/>
  <c r="B223" i="71" s="1"/>
  <c r="E99" i="71"/>
  <c r="E71" i="71"/>
  <c r="E111" i="71" s="1"/>
  <c r="D71" i="71"/>
  <c r="D192" i="71" s="1"/>
  <c r="C71" i="71"/>
  <c r="C111" i="71" s="1"/>
  <c r="C152" i="71" s="1"/>
  <c r="C192" i="71" s="1"/>
  <c r="C232" i="71" s="1"/>
  <c r="B71" i="71"/>
  <c r="B111" i="71" s="1"/>
  <c r="B152" i="71" s="1"/>
  <c r="B192" i="71" s="1"/>
  <c r="B232" i="71" s="1"/>
  <c r="E70" i="71"/>
  <c r="E110" i="71" s="1"/>
  <c r="D70" i="71"/>
  <c r="D191" i="71" s="1"/>
  <c r="C70" i="71"/>
  <c r="C110" i="71" s="1"/>
  <c r="C151" i="71" s="1"/>
  <c r="C191" i="71" s="1"/>
  <c r="C231" i="71" s="1"/>
  <c r="B70" i="71"/>
  <c r="B110" i="71" s="1"/>
  <c r="B151" i="71" s="1"/>
  <c r="B191" i="71" s="1"/>
  <c r="B231" i="71" s="1"/>
  <c r="E69" i="71"/>
  <c r="E109" i="71" s="1"/>
  <c r="D69" i="71"/>
  <c r="D190" i="71" s="1"/>
  <c r="C69" i="71"/>
  <c r="C109" i="71" s="1"/>
  <c r="C150" i="71" s="1"/>
  <c r="C190" i="71" s="1"/>
  <c r="C230" i="71" s="1"/>
  <c r="B69" i="71"/>
  <c r="B109" i="71" s="1"/>
  <c r="B150" i="71" s="1"/>
  <c r="B190" i="71" s="1"/>
  <c r="B230" i="71" s="1"/>
  <c r="E68" i="71"/>
  <c r="E108" i="71" s="1"/>
  <c r="D68" i="71"/>
  <c r="D189" i="71" s="1"/>
  <c r="C68" i="71"/>
  <c r="C108" i="71" s="1"/>
  <c r="C149" i="71" s="1"/>
  <c r="C189" i="71" s="1"/>
  <c r="C229" i="71" s="1"/>
  <c r="B68" i="71"/>
  <c r="B108" i="71" s="1"/>
  <c r="B149" i="71" s="1"/>
  <c r="B189" i="71" s="1"/>
  <c r="B229" i="71" s="1"/>
  <c r="E67" i="71"/>
  <c r="E107" i="71" s="1"/>
  <c r="D67" i="71"/>
  <c r="D188" i="71" s="1"/>
  <c r="C67" i="71"/>
  <c r="C107" i="71" s="1"/>
  <c r="C148" i="71" s="1"/>
  <c r="C188" i="71" s="1"/>
  <c r="C228" i="71" s="1"/>
  <c r="B67" i="71"/>
  <c r="B107" i="71" s="1"/>
  <c r="B148" i="71" s="1"/>
  <c r="B188" i="71" s="1"/>
  <c r="B228" i="71" s="1"/>
  <c r="E66" i="71"/>
  <c r="E106" i="71" s="1"/>
  <c r="D66" i="71"/>
  <c r="D187" i="71" s="1"/>
  <c r="C66" i="71"/>
  <c r="C106" i="71" s="1"/>
  <c r="C147" i="71" s="1"/>
  <c r="C187" i="71" s="1"/>
  <c r="C227" i="71" s="1"/>
  <c r="B66" i="71"/>
  <c r="B106" i="71" s="1"/>
  <c r="B147" i="71" s="1"/>
  <c r="B187" i="71" s="1"/>
  <c r="B227" i="71" s="1"/>
  <c r="E65" i="71"/>
  <c r="E105" i="71" s="1"/>
  <c r="D65" i="71"/>
  <c r="D186" i="71" s="1"/>
  <c r="C65" i="71"/>
  <c r="C105" i="71" s="1"/>
  <c r="C146" i="71" s="1"/>
  <c r="C186" i="71" s="1"/>
  <c r="C226" i="71" s="1"/>
  <c r="B65" i="71"/>
  <c r="B105" i="71" s="1"/>
  <c r="B146" i="71" s="1"/>
  <c r="B186" i="71" s="1"/>
  <c r="B226" i="71" s="1"/>
  <c r="E64" i="71"/>
  <c r="E104" i="71" s="1"/>
  <c r="D64" i="71"/>
  <c r="D185" i="71" s="1"/>
  <c r="C64" i="71"/>
  <c r="C104" i="71" s="1"/>
  <c r="C145" i="71" s="1"/>
  <c r="C185" i="71" s="1"/>
  <c r="C225" i="71" s="1"/>
  <c r="B64" i="71"/>
  <c r="B104" i="71" s="1"/>
  <c r="B145" i="71" s="1"/>
  <c r="B185" i="71" s="1"/>
  <c r="B225" i="71" s="1"/>
  <c r="E63" i="71"/>
  <c r="E103" i="71" s="1"/>
  <c r="D63" i="71"/>
  <c r="D184" i="71" s="1"/>
  <c r="C63" i="71"/>
  <c r="C103" i="71" s="1"/>
  <c r="C144" i="71" s="1"/>
  <c r="C184" i="71" s="1"/>
  <c r="C224" i="71" s="1"/>
  <c r="B63" i="71"/>
  <c r="B103" i="71" s="1"/>
  <c r="B144" i="71" s="1"/>
  <c r="B184" i="71" s="1"/>
  <c r="B224" i="71" s="1"/>
  <c r="E62" i="71"/>
  <c r="E102" i="71" s="1"/>
  <c r="D62" i="71"/>
  <c r="C62" i="71"/>
  <c r="C102" i="71" s="1"/>
  <c r="C143" i="71" s="1"/>
  <c r="C183" i="71" s="1"/>
  <c r="C223" i="71" s="1"/>
  <c r="B62" i="71"/>
  <c r="E61" i="71"/>
  <c r="E101" i="71" s="1"/>
  <c r="D61" i="71"/>
  <c r="D182" i="71" s="1"/>
  <c r="C61" i="71"/>
  <c r="C101" i="71" s="1"/>
  <c r="C142" i="71" s="1"/>
  <c r="C182" i="71" s="1"/>
  <c r="C222" i="71" s="1"/>
  <c r="B61" i="71"/>
  <c r="B101" i="71" s="1"/>
  <c r="B142" i="71" s="1"/>
  <c r="B182" i="71" s="1"/>
  <c r="B222" i="71" s="1"/>
  <c r="E60" i="71"/>
  <c r="E100" i="71" s="1"/>
  <c r="D60" i="71"/>
  <c r="D181" i="71" s="1"/>
  <c r="C60" i="71"/>
  <c r="C100" i="71" s="1"/>
  <c r="C141" i="71" s="1"/>
  <c r="C181" i="71" s="1"/>
  <c r="C221" i="71" s="1"/>
  <c r="B60" i="71"/>
  <c r="B100" i="71" s="1"/>
  <c r="B141" i="71" s="1"/>
  <c r="B181" i="71" s="1"/>
  <c r="B221" i="71" s="1"/>
  <c r="E59" i="71"/>
  <c r="D59" i="71"/>
  <c r="D180" i="71" s="1"/>
  <c r="C59" i="71"/>
  <c r="C99" i="71" s="1"/>
  <c r="C140" i="71" s="1"/>
  <c r="C180" i="71" s="1"/>
  <c r="C220" i="71" s="1"/>
  <c r="B59" i="71"/>
  <c r="B99" i="71" s="1"/>
  <c r="B140" i="71" s="1"/>
  <c r="B180" i="71" s="1"/>
  <c r="B220" i="71" s="1"/>
  <c r="E58" i="71"/>
  <c r="E98" i="71" s="1"/>
  <c r="D58" i="71"/>
  <c r="D179" i="71" s="1"/>
  <c r="C58" i="71"/>
  <c r="C98" i="71" s="1"/>
  <c r="C139" i="71" s="1"/>
  <c r="C179" i="71" s="1"/>
  <c r="C219" i="71" s="1"/>
  <c r="B58" i="71"/>
  <c r="B98" i="71" s="1"/>
  <c r="B139" i="71" s="1"/>
  <c r="B179" i="71" s="1"/>
  <c r="B219" i="71" s="1"/>
  <c r="E57" i="71"/>
  <c r="E97" i="71" s="1"/>
  <c r="D57" i="71"/>
  <c r="D178" i="71" s="1"/>
  <c r="C57" i="71"/>
  <c r="C97" i="71" s="1"/>
  <c r="C138" i="71" s="1"/>
  <c r="C178" i="71" s="1"/>
  <c r="C218" i="71" s="1"/>
  <c r="B57" i="71"/>
  <c r="B97" i="71" s="1"/>
  <c r="B138" i="71" s="1"/>
  <c r="B178" i="71" s="1"/>
  <c r="B218" i="71" s="1"/>
  <c r="E56" i="71"/>
  <c r="E96" i="71" s="1"/>
  <c r="D56" i="71"/>
  <c r="D177" i="71" s="1"/>
  <c r="C56" i="71"/>
  <c r="C96" i="71" s="1"/>
  <c r="C137" i="71" s="1"/>
  <c r="C177" i="71" s="1"/>
  <c r="C217" i="71" s="1"/>
  <c r="B56" i="71"/>
  <c r="B96" i="71" s="1"/>
  <c r="B137" i="71" s="1"/>
  <c r="B177" i="71" s="1"/>
  <c r="B217" i="71" s="1"/>
  <c r="E55" i="71"/>
  <c r="E95" i="71" s="1"/>
  <c r="D55" i="71"/>
  <c r="D176" i="71" s="1"/>
  <c r="C55" i="71"/>
  <c r="C95" i="71" s="1"/>
  <c r="C136" i="71" s="1"/>
  <c r="C176" i="71" s="1"/>
  <c r="C216" i="71" s="1"/>
  <c r="B55" i="71"/>
  <c r="B95" i="71" s="1"/>
  <c r="B136" i="71" s="1"/>
  <c r="B176" i="71" s="1"/>
  <c r="B216" i="71" s="1"/>
  <c r="E54" i="71"/>
  <c r="E94" i="71" s="1"/>
  <c r="D54" i="71"/>
  <c r="D175" i="71" s="1"/>
  <c r="C54" i="71"/>
  <c r="C94" i="71" s="1"/>
  <c r="C135" i="71" s="1"/>
  <c r="C175" i="71" s="1"/>
  <c r="C215" i="71" s="1"/>
  <c r="B54" i="71"/>
  <c r="B94" i="71" s="1"/>
  <c r="B135" i="71" s="1"/>
  <c r="B175" i="71" s="1"/>
  <c r="B215" i="71" s="1"/>
  <c r="E53" i="71"/>
  <c r="E93" i="71" s="1"/>
  <c r="D53" i="71"/>
  <c r="D174" i="71" s="1"/>
  <c r="C53" i="71"/>
  <c r="C93" i="71" s="1"/>
  <c r="C134" i="71" s="1"/>
  <c r="C174" i="71" s="1"/>
  <c r="C214" i="71" s="1"/>
  <c r="B53" i="71"/>
  <c r="B93" i="71" s="1"/>
  <c r="B134" i="71" s="1"/>
  <c r="B174" i="71" s="1"/>
  <c r="B214" i="71" s="1"/>
  <c r="E52" i="71"/>
  <c r="E92" i="71" s="1"/>
  <c r="D52" i="71"/>
  <c r="D173" i="71" s="1"/>
  <c r="C52" i="71"/>
  <c r="C92" i="71" s="1"/>
  <c r="C133" i="71" s="1"/>
  <c r="C173" i="71" s="1"/>
  <c r="C213" i="71" s="1"/>
  <c r="B52" i="71"/>
  <c r="B92" i="71" s="1"/>
  <c r="B133" i="71" s="1"/>
  <c r="B173" i="71" s="1"/>
  <c r="B213" i="71" s="1"/>
  <c r="E51" i="71"/>
  <c r="E91" i="71" s="1"/>
  <c r="D51" i="71"/>
  <c r="D172" i="71" s="1"/>
  <c r="C51" i="71"/>
  <c r="C91" i="71" s="1"/>
  <c r="C132" i="71" s="1"/>
  <c r="C172" i="71" s="1"/>
  <c r="C212" i="71" s="1"/>
  <c r="B51" i="71"/>
  <c r="B91" i="71" s="1"/>
  <c r="B132" i="71" s="1"/>
  <c r="B172" i="71" s="1"/>
  <c r="B212" i="71" s="1"/>
  <c r="E50" i="71"/>
  <c r="E90" i="71" s="1"/>
  <c r="D50" i="71"/>
  <c r="D171" i="71" s="1"/>
  <c r="C50" i="71"/>
  <c r="C90" i="71" s="1"/>
  <c r="C131" i="71" s="1"/>
  <c r="C171" i="71" s="1"/>
  <c r="C211" i="71" s="1"/>
  <c r="B50" i="71"/>
  <c r="B90" i="71" s="1"/>
  <c r="B131" i="71" s="1"/>
  <c r="B171" i="71" s="1"/>
  <c r="B211" i="71" s="1"/>
  <c r="E49" i="71"/>
  <c r="E89" i="71" s="1"/>
  <c r="D49" i="71"/>
  <c r="D170" i="71" s="1"/>
  <c r="C49" i="71"/>
  <c r="C89" i="71" s="1"/>
  <c r="C130" i="71" s="1"/>
  <c r="C170" i="71" s="1"/>
  <c r="C210" i="71" s="1"/>
  <c r="B49" i="71"/>
  <c r="B89" i="71" s="1"/>
  <c r="B130" i="71" s="1"/>
  <c r="B170" i="71" s="1"/>
  <c r="B210" i="71" s="1"/>
  <c r="B8" i="64"/>
  <c r="F9" i="71" s="1"/>
  <c r="F10" i="71" l="1"/>
  <c r="F11" i="71" s="1"/>
  <c r="F12" i="71" s="1"/>
  <c r="F13" i="71" s="1"/>
  <c r="G9" i="71"/>
  <c r="H9" i="71" s="1"/>
  <c r="F49" i="71"/>
  <c r="F89" i="71" s="1"/>
  <c r="F14" i="71"/>
  <c r="G13" i="71"/>
  <c r="H13" i="71" s="1"/>
  <c r="F53" i="71"/>
  <c r="F93" i="71" s="1"/>
  <c r="F134" i="71" s="1"/>
  <c r="F52" i="71"/>
  <c r="G52" i="71" s="1"/>
  <c r="H52" i="71" s="1"/>
  <c r="G12" i="71"/>
  <c r="H12" i="71" s="1"/>
  <c r="F51" i="71"/>
  <c r="G11" i="71"/>
  <c r="H11" i="71" s="1"/>
  <c r="G10" i="71"/>
  <c r="H10" i="71" s="1"/>
  <c r="F50" i="71"/>
  <c r="G89" i="71"/>
  <c r="H89" i="71" s="1"/>
  <c r="F130" i="71"/>
  <c r="F92" i="71" l="1"/>
  <c r="G49" i="71"/>
  <c r="H49" i="71" s="1"/>
  <c r="G93" i="71"/>
  <c r="H93" i="71" s="1"/>
  <c r="G53" i="71"/>
  <c r="H53" i="71" s="1"/>
  <c r="F54" i="71"/>
  <c r="G14" i="71"/>
  <c r="H14" i="71" s="1"/>
  <c r="F15" i="71"/>
  <c r="G50" i="71"/>
  <c r="H50" i="71" s="1"/>
  <c r="F90" i="71"/>
  <c r="G51" i="71"/>
  <c r="H51" i="71" s="1"/>
  <c r="F91" i="71"/>
  <c r="F174" i="71"/>
  <c r="G134" i="71"/>
  <c r="H134" i="71" s="1"/>
  <c r="G92" i="71"/>
  <c r="H92" i="71" s="1"/>
  <c r="F133" i="71"/>
  <c r="F170" i="71"/>
  <c r="G130" i="71"/>
  <c r="H130" i="71" s="1"/>
  <c r="F55" i="71" l="1"/>
  <c r="F16" i="71"/>
  <c r="G15" i="71"/>
  <c r="H15" i="71" s="1"/>
  <c r="F94" i="71"/>
  <c r="G54" i="71"/>
  <c r="H54" i="71" s="1"/>
  <c r="F210" i="71"/>
  <c r="G210" i="71" s="1"/>
  <c r="H210" i="71" s="1"/>
  <c r="G170" i="71"/>
  <c r="H170" i="71" s="1"/>
  <c r="F214" i="71"/>
  <c r="G214" i="71" s="1"/>
  <c r="H214" i="71" s="1"/>
  <c r="G174" i="71"/>
  <c r="H174" i="71" s="1"/>
  <c r="F132" i="71"/>
  <c r="G91" i="71"/>
  <c r="H91" i="71" s="1"/>
  <c r="G90" i="71"/>
  <c r="H90" i="71" s="1"/>
  <c r="F131" i="71"/>
  <c r="G133" i="71"/>
  <c r="H133" i="71" s="1"/>
  <c r="F173" i="71"/>
  <c r="G94" i="71" l="1"/>
  <c r="H94" i="71" s="1"/>
  <c r="F135" i="71"/>
  <c r="F56" i="71"/>
  <c r="F17" i="71"/>
  <c r="G16" i="71"/>
  <c r="H16" i="71" s="1"/>
  <c r="F95" i="71"/>
  <c r="G55" i="71"/>
  <c r="H55" i="71" s="1"/>
  <c r="G173" i="71"/>
  <c r="H173" i="71" s="1"/>
  <c r="F213" i="71"/>
  <c r="G213" i="71" s="1"/>
  <c r="H213" i="71" s="1"/>
  <c r="G132" i="71"/>
  <c r="H132" i="71" s="1"/>
  <c r="F172" i="71"/>
  <c r="G131" i="71"/>
  <c r="H131" i="71" s="1"/>
  <c r="F171" i="71"/>
  <c r="F136" i="71" l="1"/>
  <c r="G95" i="71"/>
  <c r="H95" i="71" s="1"/>
  <c r="F57" i="71"/>
  <c r="F18" i="71"/>
  <c r="G17" i="71"/>
  <c r="H17" i="71" s="1"/>
  <c r="G56" i="71"/>
  <c r="H56" i="71" s="1"/>
  <c r="F96" i="71"/>
  <c r="G135" i="71"/>
  <c r="H135" i="71" s="1"/>
  <c r="F175" i="71"/>
  <c r="F212" i="71"/>
  <c r="G212" i="71" s="1"/>
  <c r="H212" i="71" s="1"/>
  <c r="G172" i="71"/>
  <c r="H172" i="71" s="1"/>
  <c r="G171" i="71"/>
  <c r="H171" i="71" s="1"/>
  <c r="F211" i="71"/>
  <c r="G211" i="71" s="1"/>
  <c r="H211" i="71" s="1"/>
  <c r="F137" i="71" l="1"/>
  <c r="G96" i="71"/>
  <c r="H96" i="71" s="1"/>
  <c r="F19" i="71"/>
  <c r="G18" i="71"/>
  <c r="H18" i="71" s="1"/>
  <c r="F58" i="71"/>
  <c r="G136" i="71"/>
  <c r="H136" i="71" s="1"/>
  <c r="F176" i="71"/>
  <c r="F97" i="71"/>
  <c r="G57" i="71"/>
  <c r="H57" i="71" s="1"/>
  <c r="G175" i="71"/>
  <c r="H175" i="71" s="1"/>
  <c r="F215" i="71"/>
  <c r="G215" i="71" s="1"/>
  <c r="H215" i="71" s="1"/>
  <c r="F216" i="71" l="1"/>
  <c r="G216" i="71" s="1"/>
  <c r="H216" i="71" s="1"/>
  <c r="G176" i="71"/>
  <c r="H176" i="71" s="1"/>
  <c r="G137" i="71"/>
  <c r="H137" i="71" s="1"/>
  <c r="F177" i="71"/>
  <c r="F98" i="71"/>
  <c r="G58" i="71"/>
  <c r="H58" i="71" s="1"/>
  <c r="F20" i="71"/>
  <c r="F59" i="71"/>
  <c r="G19" i="71"/>
  <c r="H19" i="71" s="1"/>
  <c r="G97" i="71"/>
  <c r="H97" i="71" s="1"/>
  <c r="F138" i="71"/>
  <c r="G59" i="71" l="1"/>
  <c r="H59" i="71" s="1"/>
  <c r="F99" i="71"/>
  <c r="F21" i="71"/>
  <c r="F60" i="71"/>
  <c r="G20" i="71"/>
  <c r="H20" i="71" s="1"/>
  <c r="F139" i="71"/>
  <c r="G98" i="71"/>
  <c r="H98" i="71" s="1"/>
  <c r="F178" i="71"/>
  <c r="G138" i="71"/>
  <c r="H138" i="71" s="1"/>
  <c r="G177" i="71"/>
  <c r="H177" i="71" s="1"/>
  <c r="F217" i="71"/>
  <c r="G217" i="71" s="1"/>
  <c r="H217" i="71" s="1"/>
  <c r="G60" i="71" l="1"/>
  <c r="H60" i="71" s="1"/>
  <c r="F100" i="71"/>
  <c r="G21" i="71"/>
  <c r="H21" i="71" s="1"/>
  <c r="F22" i="71"/>
  <c r="F61" i="71"/>
  <c r="G139" i="71"/>
  <c r="H139" i="71" s="1"/>
  <c r="F179" i="71"/>
  <c r="G99" i="71"/>
  <c r="H99" i="71" s="1"/>
  <c r="F140" i="71"/>
  <c r="G178" i="71"/>
  <c r="H178" i="71" s="1"/>
  <c r="F218" i="71"/>
  <c r="G218" i="71" s="1"/>
  <c r="H218" i="71" s="1"/>
  <c r="F101" i="71" l="1"/>
  <c r="G61" i="71"/>
  <c r="H61" i="71" s="1"/>
  <c r="G22" i="71"/>
  <c r="H22" i="71" s="1"/>
  <c r="F23" i="71"/>
  <c r="F62" i="71"/>
  <c r="G179" i="71"/>
  <c r="H179" i="71" s="1"/>
  <c r="F219" i="71"/>
  <c r="G219" i="71" s="1"/>
  <c r="H219" i="71" s="1"/>
  <c r="F180" i="71"/>
  <c r="G140" i="71"/>
  <c r="H140" i="71" s="1"/>
  <c r="G100" i="71"/>
  <c r="H100" i="71" s="1"/>
  <c r="F141" i="71"/>
  <c r="G141" i="71" l="1"/>
  <c r="H141" i="71" s="1"/>
  <c r="F181" i="71"/>
  <c r="G62" i="71"/>
  <c r="H62" i="71" s="1"/>
  <c r="F102" i="71"/>
  <c r="F24" i="71"/>
  <c r="G23" i="71"/>
  <c r="H23" i="71" s="1"/>
  <c r="F63" i="71"/>
  <c r="G180" i="71"/>
  <c r="H180" i="71" s="1"/>
  <c r="F220" i="71"/>
  <c r="G220" i="71" s="1"/>
  <c r="H220" i="71" s="1"/>
  <c r="G101" i="71"/>
  <c r="H101" i="71" s="1"/>
  <c r="F142" i="71"/>
  <c r="F221" i="71" l="1"/>
  <c r="G221" i="71" s="1"/>
  <c r="H221" i="71" s="1"/>
  <c r="G181" i="71"/>
  <c r="H181" i="71" s="1"/>
  <c r="F103" i="71"/>
  <c r="G63" i="71"/>
  <c r="H63" i="71" s="1"/>
  <c r="F25" i="71"/>
  <c r="F64" i="71"/>
  <c r="G24" i="71"/>
  <c r="H24" i="71" s="1"/>
  <c r="G102" i="71"/>
  <c r="H102" i="71" s="1"/>
  <c r="F143" i="71"/>
  <c r="F182" i="71"/>
  <c r="G142" i="71"/>
  <c r="H142" i="71" s="1"/>
  <c r="F104" i="71" l="1"/>
  <c r="G64" i="71"/>
  <c r="H64" i="71" s="1"/>
  <c r="G25" i="71"/>
  <c r="H25" i="71" s="1"/>
  <c r="F65" i="71"/>
  <c r="F26" i="71"/>
  <c r="F144" i="71"/>
  <c r="G103" i="71"/>
  <c r="H103" i="71" s="1"/>
  <c r="F222" i="71"/>
  <c r="G222" i="71" s="1"/>
  <c r="H222" i="71" s="1"/>
  <c r="G182" i="71"/>
  <c r="H182" i="71" s="1"/>
  <c r="G143" i="71"/>
  <c r="H143" i="71" s="1"/>
  <c r="F183" i="71"/>
  <c r="F184" i="71" l="1"/>
  <c r="G144" i="71"/>
  <c r="H144" i="71" s="1"/>
  <c r="F27" i="71"/>
  <c r="G26" i="71"/>
  <c r="H26" i="71" s="1"/>
  <c r="F66" i="71"/>
  <c r="F105" i="71"/>
  <c r="G65" i="71"/>
  <c r="H65" i="71" s="1"/>
  <c r="F223" i="71"/>
  <c r="G223" i="71" s="1"/>
  <c r="H223" i="71" s="1"/>
  <c r="G183" i="71"/>
  <c r="H183" i="71" s="1"/>
  <c r="G104" i="71"/>
  <c r="H104" i="71" s="1"/>
  <c r="F145" i="71"/>
  <c r="G105" i="71" l="1"/>
  <c r="H105" i="71" s="1"/>
  <c r="F146" i="71"/>
  <c r="G66" i="71"/>
  <c r="H66" i="71" s="1"/>
  <c r="F106" i="71"/>
  <c r="G145" i="71"/>
  <c r="H145" i="71" s="1"/>
  <c r="F185" i="71"/>
  <c r="F67" i="71"/>
  <c r="F28" i="71"/>
  <c r="G27" i="71"/>
  <c r="H27" i="71" s="1"/>
  <c r="F224" i="71"/>
  <c r="G224" i="71" s="1"/>
  <c r="H224" i="71" s="1"/>
  <c r="G184" i="71"/>
  <c r="H184" i="71" s="1"/>
  <c r="G185" i="71" l="1"/>
  <c r="H185" i="71" s="1"/>
  <c r="F225" i="71"/>
  <c r="G225" i="71" s="1"/>
  <c r="H225" i="71" s="1"/>
  <c r="G146" i="71"/>
  <c r="H146" i="71" s="1"/>
  <c r="F186" i="71"/>
  <c r="F29" i="71"/>
  <c r="G28" i="71"/>
  <c r="H28" i="71" s="1"/>
  <c r="F68" i="71"/>
  <c r="G67" i="71"/>
  <c r="H67" i="71" s="1"/>
  <c r="F107" i="71"/>
  <c r="G106" i="71"/>
  <c r="H106" i="71" s="1"/>
  <c r="F147" i="71"/>
  <c r="G68" i="71" l="1"/>
  <c r="H68" i="71" s="1"/>
  <c r="F108" i="71"/>
  <c r="F30" i="71"/>
  <c r="G29" i="71"/>
  <c r="H29" i="71" s="1"/>
  <c r="F69" i="71"/>
  <c r="G186" i="71"/>
  <c r="H186" i="71" s="1"/>
  <c r="F226" i="71"/>
  <c r="G226" i="71" s="1"/>
  <c r="H226" i="71" s="1"/>
  <c r="F187" i="71"/>
  <c r="G147" i="71"/>
  <c r="H147" i="71" s="1"/>
  <c r="G107" i="71"/>
  <c r="H107" i="71" s="1"/>
  <c r="F148" i="71"/>
  <c r="F109" i="71" l="1"/>
  <c r="G69" i="71"/>
  <c r="H69" i="71" s="1"/>
  <c r="G148" i="71"/>
  <c r="H148" i="71" s="1"/>
  <c r="F188" i="71"/>
  <c r="G108" i="71"/>
  <c r="H108" i="71" s="1"/>
  <c r="F149" i="71"/>
  <c r="G187" i="71"/>
  <c r="H187" i="71" s="1"/>
  <c r="F227" i="71"/>
  <c r="G227" i="71" s="1"/>
  <c r="H227" i="71" s="1"/>
  <c r="G30" i="71"/>
  <c r="H30" i="71" s="1"/>
  <c r="F31" i="71"/>
  <c r="F70" i="71"/>
  <c r="G149" i="71" l="1"/>
  <c r="H149" i="71" s="1"/>
  <c r="F189" i="71"/>
  <c r="G31" i="71"/>
  <c r="H31" i="71" s="1"/>
  <c r="H32" i="71" s="1"/>
  <c r="C19" i="53" s="1"/>
  <c r="F71" i="71"/>
  <c r="G188" i="71"/>
  <c r="H188" i="71" s="1"/>
  <c r="F228" i="71"/>
  <c r="G228" i="71" s="1"/>
  <c r="H228" i="71" s="1"/>
  <c r="G70" i="71"/>
  <c r="H70" i="71" s="1"/>
  <c r="F110" i="71"/>
  <c r="F150" i="71"/>
  <c r="G109" i="71"/>
  <c r="H109" i="71" s="1"/>
  <c r="F151" i="71" l="1"/>
  <c r="G110" i="71"/>
  <c r="H110" i="71" s="1"/>
  <c r="F111" i="71"/>
  <c r="G71" i="71"/>
  <c r="H71" i="71" s="1"/>
  <c r="H72" i="71" s="1"/>
  <c r="D19" i="53" s="1"/>
  <c r="G189" i="71"/>
  <c r="H189" i="71" s="1"/>
  <c r="F229" i="71"/>
  <c r="G229" i="71" s="1"/>
  <c r="H229" i="71" s="1"/>
  <c r="G150" i="71"/>
  <c r="H150" i="71" s="1"/>
  <c r="F190" i="71"/>
  <c r="F230" i="71" l="1"/>
  <c r="G230" i="71" s="1"/>
  <c r="H230" i="71" s="1"/>
  <c r="G190" i="71"/>
  <c r="H190" i="71" s="1"/>
  <c r="F152" i="71"/>
  <c r="G111" i="71"/>
  <c r="H111" i="71" s="1"/>
  <c r="H112" i="71" s="1"/>
  <c r="E19" i="53" s="1"/>
  <c r="F191" i="71"/>
  <c r="G151" i="71"/>
  <c r="H151" i="71" s="1"/>
  <c r="G191" i="71" l="1"/>
  <c r="H191" i="71" s="1"/>
  <c r="F231" i="71"/>
  <c r="G231" i="71" s="1"/>
  <c r="H231" i="71" s="1"/>
  <c r="F192" i="71"/>
  <c r="G152" i="71"/>
  <c r="H152" i="71" s="1"/>
  <c r="H153" i="71" s="1"/>
  <c r="C20" i="53" s="1"/>
  <c r="F232" i="71" l="1"/>
  <c r="G232" i="71" s="1"/>
  <c r="H232" i="71" s="1"/>
  <c r="H233" i="71" s="1"/>
  <c r="E20" i="53" s="1"/>
  <c r="G192" i="71"/>
  <c r="H192" i="71" s="1"/>
  <c r="H193" i="71" s="1"/>
  <c r="D20" i="53" s="1"/>
  <c r="P99" i="70" l="1"/>
  <c r="AC99" i="70" s="1"/>
  <c r="O99" i="70"/>
  <c r="AB99" i="70" s="1"/>
  <c r="P98" i="70"/>
  <c r="AC98" i="70" s="1"/>
  <c r="O98" i="70"/>
  <c r="AB98" i="70" s="1"/>
  <c r="P97" i="70"/>
  <c r="AC97" i="70" s="1"/>
  <c r="O97" i="70"/>
  <c r="AB97" i="70" s="1"/>
  <c r="P96" i="70"/>
  <c r="AC96" i="70" s="1"/>
  <c r="O96" i="70"/>
  <c r="AB96" i="70" s="1"/>
  <c r="P95" i="70"/>
  <c r="AC95" i="70" s="1"/>
  <c r="O95" i="70"/>
  <c r="AB95" i="70" s="1"/>
  <c r="L95" i="70"/>
  <c r="P94" i="70"/>
  <c r="AC94" i="70" s="1"/>
  <c r="O94" i="70"/>
  <c r="AB94" i="70" s="1"/>
  <c r="P93" i="70"/>
  <c r="AC93" i="70" s="1"/>
  <c r="O93" i="70"/>
  <c r="AB93" i="70" s="1"/>
  <c r="AC92" i="70"/>
  <c r="P92" i="70"/>
  <c r="O92" i="70"/>
  <c r="AB92" i="70" s="1"/>
  <c r="P91" i="70"/>
  <c r="AC91" i="70" s="1"/>
  <c r="O91" i="70"/>
  <c r="AB91" i="70" s="1"/>
  <c r="P90" i="70"/>
  <c r="AC90" i="70" s="1"/>
  <c r="O90" i="70"/>
  <c r="AB90" i="70" s="1"/>
  <c r="P89" i="70"/>
  <c r="AC89" i="70" s="1"/>
  <c r="O89" i="70"/>
  <c r="AB89" i="70" s="1"/>
  <c r="L89" i="70"/>
  <c r="P88" i="70"/>
  <c r="AC88" i="70" s="1"/>
  <c r="O88" i="70"/>
  <c r="AB88" i="70" s="1"/>
  <c r="P87" i="70"/>
  <c r="AC87" i="70" s="1"/>
  <c r="O87" i="70"/>
  <c r="AB87" i="70" s="1"/>
  <c r="AB86" i="70"/>
  <c r="P86" i="70"/>
  <c r="AC86" i="70" s="1"/>
  <c r="O86" i="70"/>
  <c r="P85" i="70"/>
  <c r="AC85" i="70" s="1"/>
  <c r="O85" i="70"/>
  <c r="AB85" i="70" s="1"/>
  <c r="AC84" i="70"/>
  <c r="P84" i="70"/>
  <c r="O84" i="70"/>
  <c r="AB84" i="70" s="1"/>
  <c r="P83" i="70"/>
  <c r="AC83" i="70" s="1"/>
  <c r="O83" i="70"/>
  <c r="AB83" i="70" s="1"/>
  <c r="P82" i="70"/>
  <c r="AC82" i="70" s="1"/>
  <c r="O82" i="70"/>
  <c r="AB82" i="70" s="1"/>
  <c r="P81" i="70"/>
  <c r="AC81" i="70" s="1"/>
  <c r="O81" i="70"/>
  <c r="AB81" i="70" s="1"/>
  <c r="L81" i="70"/>
  <c r="P80" i="70"/>
  <c r="AC80" i="70" s="1"/>
  <c r="O80" i="70"/>
  <c r="AB80" i="70" s="1"/>
  <c r="P79" i="70"/>
  <c r="AC79" i="70" s="1"/>
  <c r="O79" i="70"/>
  <c r="AB79" i="70" s="1"/>
  <c r="P78" i="70"/>
  <c r="AC78" i="70" s="1"/>
  <c r="O78" i="70"/>
  <c r="AB78" i="70" s="1"/>
  <c r="P77" i="70"/>
  <c r="AC77" i="70" s="1"/>
  <c r="O77" i="70"/>
  <c r="AB77" i="70" s="1"/>
  <c r="P76" i="70"/>
  <c r="AC76" i="70" s="1"/>
  <c r="O76" i="70"/>
  <c r="AB76" i="70" s="1"/>
  <c r="L76" i="70"/>
  <c r="P75" i="70"/>
  <c r="AC75" i="70" s="1"/>
  <c r="O75" i="70"/>
  <c r="AB75" i="70" s="1"/>
  <c r="P74" i="70"/>
  <c r="AC74" i="70" s="1"/>
  <c r="O74" i="70"/>
  <c r="AB74" i="70" s="1"/>
  <c r="P73" i="70"/>
  <c r="AC73" i="70" s="1"/>
  <c r="O73" i="70"/>
  <c r="AB73" i="70" s="1"/>
  <c r="P72" i="70"/>
  <c r="AC72" i="70" s="1"/>
  <c r="O72" i="70"/>
  <c r="AB72" i="70" s="1"/>
  <c r="P71" i="70"/>
  <c r="AC71" i="70" s="1"/>
  <c r="O71" i="70"/>
  <c r="AB71" i="70" s="1"/>
  <c r="L71" i="70"/>
  <c r="P70" i="70"/>
  <c r="AC70" i="70" s="1"/>
  <c r="O70" i="70"/>
  <c r="AB70" i="70" s="1"/>
  <c r="P69" i="70"/>
  <c r="AC69" i="70" s="1"/>
  <c r="O69" i="70"/>
  <c r="AB69" i="70" s="1"/>
  <c r="P68" i="70"/>
  <c r="AC68" i="70" s="1"/>
  <c r="O68" i="70"/>
  <c r="AB68" i="70" s="1"/>
  <c r="L68" i="70"/>
  <c r="P67" i="70"/>
  <c r="AC67" i="70" s="1"/>
  <c r="O67" i="70"/>
  <c r="AB67" i="70" s="1"/>
  <c r="P66" i="70"/>
  <c r="AC66" i="70" s="1"/>
  <c r="O66" i="70"/>
  <c r="AB66" i="70" s="1"/>
  <c r="P65" i="70"/>
  <c r="AC65" i="70" s="1"/>
  <c r="O65" i="70"/>
  <c r="AB65" i="70" s="1"/>
  <c r="P64" i="70"/>
  <c r="AC64" i="70" s="1"/>
  <c r="O64" i="70"/>
  <c r="AB64" i="70" s="1"/>
  <c r="P63" i="70"/>
  <c r="AC63" i="70" s="1"/>
  <c r="O63" i="70"/>
  <c r="AB63" i="70" s="1"/>
  <c r="P62" i="70"/>
  <c r="AC62" i="70" s="1"/>
  <c r="O62" i="70"/>
  <c r="AB62" i="70" s="1"/>
  <c r="P61" i="70"/>
  <c r="AC61" i="70" s="1"/>
  <c r="O61" i="70"/>
  <c r="AB61" i="70" s="1"/>
  <c r="AB60" i="70"/>
  <c r="P60" i="70"/>
  <c r="AC60" i="70" s="1"/>
  <c r="O60" i="70"/>
  <c r="P59" i="70"/>
  <c r="AC59" i="70" s="1"/>
  <c r="O59" i="70"/>
  <c r="AB59" i="70" s="1"/>
  <c r="P58" i="70"/>
  <c r="AC58" i="70" s="1"/>
  <c r="O58" i="70"/>
  <c r="AB58" i="70" s="1"/>
  <c r="P57" i="70"/>
  <c r="AC57" i="70" s="1"/>
  <c r="O57" i="70"/>
  <c r="AB57" i="70" s="1"/>
  <c r="P56" i="70"/>
  <c r="AC56" i="70" s="1"/>
  <c r="O56" i="70"/>
  <c r="AB56" i="70" s="1"/>
  <c r="P55" i="70"/>
  <c r="AC55" i="70" s="1"/>
  <c r="O55" i="70"/>
  <c r="AB55" i="70" s="1"/>
  <c r="P54" i="70"/>
  <c r="AC54" i="70" s="1"/>
  <c r="O54" i="70"/>
  <c r="AB54" i="70" s="1"/>
  <c r="P53" i="70"/>
  <c r="AC53" i="70" s="1"/>
  <c r="O53" i="70"/>
  <c r="AB53" i="70" s="1"/>
  <c r="P52" i="70"/>
  <c r="AC52" i="70" s="1"/>
  <c r="O52" i="70"/>
  <c r="AB52" i="70" s="1"/>
  <c r="P51" i="70"/>
  <c r="AC51" i="70" s="1"/>
  <c r="O51" i="70"/>
  <c r="AB51" i="70" s="1"/>
  <c r="P50" i="70"/>
  <c r="AC50" i="70" s="1"/>
  <c r="O50" i="70"/>
  <c r="AB50" i="70" s="1"/>
  <c r="P49" i="70"/>
  <c r="AC49" i="70" s="1"/>
  <c r="O49" i="70"/>
  <c r="AB49" i="70" s="1"/>
  <c r="P48" i="70"/>
  <c r="AC48" i="70" s="1"/>
  <c r="O48" i="70"/>
  <c r="AB48" i="70" s="1"/>
  <c r="P47" i="70"/>
  <c r="AC47" i="70" s="1"/>
  <c r="O47" i="70"/>
  <c r="AB47" i="70" s="1"/>
  <c r="L47" i="70"/>
  <c r="P46" i="70"/>
  <c r="AC46" i="70" s="1"/>
  <c r="O46" i="70"/>
  <c r="AB46" i="70" s="1"/>
  <c r="P45" i="70"/>
  <c r="AC45" i="70" s="1"/>
  <c r="O45" i="70"/>
  <c r="AB45" i="70" s="1"/>
  <c r="P44" i="70"/>
  <c r="AC44" i="70" s="1"/>
  <c r="O44" i="70"/>
  <c r="AB44" i="70" s="1"/>
  <c r="P43" i="70"/>
  <c r="AC43" i="70" s="1"/>
  <c r="O43" i="70"/>
  <c r="AB43" i="70" s="1"/>
  <c r="P42" i="70"/>
  <c r="AC42" i="70" s="1"/>
  <c r="O42" i="70"/>
  <c r="AB42" i="70" s="1"/>
  <c r="P41" i="70"/>
  <c r="AC41" i="70" s="1"/>
  <c r="O41" i="70"/>
  <c r="AB41" i="70" s="1"/>
  <c r="P40" i="70"/>
  <c r="AC40" i="70" s="1"/>
  <c r="O40" i="70"/>
  <c r="AB40" i="70" s="1"/>
  <c r="L40" i="70"/>
  <c r="P39" i="70"/>
  <c r="AC39" i="70" s="1"/>
  <c r="O39" i="70"/>
  <c r="AB39" i="70" s="1"/>
  <c r="P38" i="70"/>
  <c r="AC38" i="70" s="1"/>
  <c r="O38" i="70"/>
  <c r="AB38" i="70" s="1"/>
  <c r="P37" i="70"/>
  <c r="AC37" i="70" s="1"/>
  <c r="O37" i="70"/>
  <c r="AB37" i="70" s="1"/>
  <c r="P36" i="70"/>
  <c r="AC36" i="70" s="1"/>
  <c r="O36" i="70"/>
  <c r="AB36" i="70" s="1"/>
  <c r="P35" i="70"/>
  <c r="AC35" i="70" s="1"/>
  <c r="O35" i="70"/>
  <c r="AB35" i="70" s="1"/>
  <c r="P34" i="70"/>
  <c r="AC34" i="70" s="1"/>
  <c r="O34" i="70"/>
  <c r="AB34" i="70" s="1"/>
  <c r="X33" i="70"/>
  <c r="AK33" i="70" s="1"/>
  <c r="W33" i="70"/>
  <c r="AJ33" i="70" s="1"/>
  <c r="V33" i="70"/>
  <c r="AI33" i="70" s="1"/>
  <c r="U33" i="70"/>
  <c r="AH33" i="70" s="1"/>
  <c r="T33" i="70"/>
  <c r="AG33" i="70" s="1"/>
  <c r="S33" i="70"/>
  <c r="AF33" i="70" s="1"/>
  <c r="R33" i="70"/>
  <c r="AE33" i="70" s="1"/>
  <c r="Q33" i="70"/>
  <c r="AD33" i="70" s="1"/>
  <c r="P27" i="70"/>
  <c r="AC27" i="70" s="1"/>
  <c r="O27" i="70"/>
  <c r="AB27" i="70" s="1"/>
  <c r="P26" i="70"/>
  <c r="AC26" i="70" s="1"/>
  <c r="O26" i="70"/>
  <c r="AB26" i="70" s="1"/>
  <c r="P25" i="70"/>
  <c r="AC25" i="70" s="1"/>
  <c r="O25" i="70"/>
  <c r="AB25" i="70" s="1"/>
  <c r="P24" i="70"/>
  <c r="AC24" i="70" s="1"/>
  <c r="O24" i="70"/>
  <c r="AB24" i="70" s="1"/>
  <c r="Y23" i="70"/>
  <c r="P23" i="70"/>
  <c r="AC23" i="70" s="1"/>
  <c r="O23" i="70"/>
  <c r="AB23" i="70" s="1"/>
  <c r="P22" i="70"/>
  <c r="AC22" i="70" s="1"/>
  <c r="O22" i="70"/>
  <c r="AB22" i="70" s="1"/>
  <c r="P21" i="70"/>
  <c r="AC21" i="70" s="1"/>
  <c r="O21" i="70"/>
  <c r="AB21" i="70" s="1"/>
  <c r="P20" i="70"/>
  <c r="AC20" i="70" s="1"/>
  <c r="O20" i="70"/>
  <c r="AB20" i="70" s="1"/>
  <c r="P19" i="70"/>
  <c r="AC19" i="70" s="1"/>
  <c r="O19" i="70"/>
  <c r="AB19" i="70" s="1"/>
  <c r="P18" i="70"/>
  <c r="AC18" i="70" s="1"/>
  <c r="O18" i="70"/>
  <c r="AB18" i="70" s="1"/>
  <c r="P17" i="70"/>
  <c r="AC17" i="70" s="1"/>
  <c r="O17" i="70"/>
  <c r="AB17" i="70" s="1"/>
  <c r="P16" i="70"/>
  <c r="AC16" i="70" s="1"/>
  <c r="O16" i="70"/>
  <c r="AB16" i="70" s="1"/>
  <c r="P15" i="70"/>
  <c r="AC15" i="70" s="1"/>
  <c r="O15" i="70"/>
  <c r="AB15" i="70" s="1"/>
  <c r="P14" i="70"/>
  <c r="AC14" i="70" s="1"/>
  <c r="O14" i="70"/>
  <c r="AB14" i="70" s="1"/>
  <c r="P13" i="70"/>
  <c r="AC13" i="70" s="1"/>
  <c r="O13" i="70"/>
  <c r="AB13" i="70" s="1"/>
  <c r="P12" i="70"/>
  <c r="AC12" i="70" s="1"/>
  <c r="O12" i="70"/>
  <c r="AB12" i="70" s="1"/>
  <c r="P11" i="70"/>
  <c r="AC11" i="70" s="1"/>
  <c r="O11" i="70"/>
  <c r="AB11" i="70" s="1"/>
  <c r="P10" i="70"/>
  <c r="AC10" i="70" s="1"/>
  <c r="O10" i="70"/>
  <c r="AB10" i="70" s="1"/>
  <c r="P9" i="70"/>
  <c r="AC9" i="70" s="1"/>
  <c r="O9" i="70"/>
  <c r="AB9" i="70" s="1"/>
  <c r="P8" i="70"/>
  <c r="AC8" i="70" s="1"/>
  <c r="O8" i="70"/>
  <c r="AB8" i="70" s="1"/>
  <c r="P7" i="70"/>
  <c r="AC7" i="70" s="1"/>
  <c r="O7" i="70"/>
  <c r="AB7" i="70" s="1"/>
  <c r="P6" i="70"/>
  <c r="AC6" i="70" s="1"/>
  <c r="O6" i="70"/>
  <c r="AB6" i="70" s="1"/>
  <c r="P5" i="70"/>
  <c r="AC5" i="70" s="1"/>
  <c r="O5" i="70"/>
  <c r="AB5" i="70" s="1"/>
  <c r="D30" i="70"/>
  <c r="X4" i="70"/>
  <c r="AK4" i="70" s="1"/>
  <c r="W4" i="70"/>
  <c r="AJ4" i="70" s="1"/>
  <c r="V4" i="70"/>
  <c r="AI4" i="70" s="1"/>
  <c r="U4" i="70"/>
  <c r="AH4" i="70" s="1"/>
  <c r="T4" i="70"/>
  <c r="AG4" i="70" s="1"/>
  <c r="S4" i="70"/>
  <c r="AF4" i="70" s="1"/>
  <c r="R4" i="70"/>
  <c r="AE4" i="70" s="1"/>
  <c r="Q4" i="70"/>
  <c r="AD4" i="70" s="1"/>
  <c r="AL74" i="70" l="1"/>
  <c r="AL46" i="70"/>
  <c r="AL39" i="70"/>
  <c r="AL72" i="70"/>
  <c r="Y16" i="70"/>
  <c r="AL20" i="70"/>
  <c r="L36" i="70"/>
  <c r="AL49" i="70"/>
  <c r="E30" i="70"/>
  <c r="L27" i="70"/>
  <c r="AL8" i="70"/>
  <c r="AL35" i="70"/>
  <c r="F28" i="70"/>
  <c r="L6" i="70"/>
  <c r="Y9" i="70"/>
  <c r="AL9" i="70"/>
  <c r="L10" i="70"/>
  <c r="Y13" i="70"/>
  <c r="AL13" i="70"/>
  <c r="L14" i="70"/>
  <c r="Y17" i="70"/>
  <c r="AL17" i="70"/>
  <c r="L18" i="70"/>
  <c r="Y21" i="70"/>
  <c r="AL21" i="70"/>
  <c r="L22" i="70"/>
  <c r="Y24" i="70"/>
  <c r="AL36" i="70"/>
  <c r="L37" i="70"/>
  <c r="AL47" i="70"/>
  <c r="AL53" i="70"/>
  <c r="L54" i="70"/>
  <c r="L78" i="70"/>
  <c r="AL12" i="70"/>
  <c r="AL24" i="70"/>
  <c r="L25" i="70"/>
  <c r="Y27" i="70"/>
  <c r="AL50" i="70"/>
  <c r="L51" i="70"/>
  <c r="Y8" i="70"/>
  <c r="Y12" i="70"/>
  <c r="L17" i="70"/>
  <c r="AL23" i="70"/>
  <c r="Y26" i="70"/>
  <c r="Y6" i="70"/>
  <c r="AL6" i="70"/>
  <c r="L7" i="70"/>
  <c r="Y10" i="70"/>
  <c r="AL10" i="70"/>
  <c r="L11" i="70"/>
  <c r="Y14" i="70"/>
  <c r="AL14" i="70"/>
  <c r="L15" i="70"/>
  <c r="Y18" i="70"/>
  <c r="AL18" i="70"/>
  <c r="L19" i="70"/>
  <c r="Y22" i="70"/>
  <c r="AL27" i="70"/>
  <c r="L34" i="70"/>
  <c r="AL37" i="70"/>
  <c r="L38" i="70"/>
  <c r="AL44" i="70"/>
  <c r="L45" i="70"/>
  <c r="AL58" i="70"/>
  <c r="L59" i="70"/>
  <c r="L66" i="70"/>
  <c r="L21" i="70"/>
  <c r="L24" i="70"/>
  <c r="AL52" i="70"/>
  <c r="AL26" i="70"/>
  <c r="I28" i="70"/>
  <c r="AL22" i="70"/>
  <c r="L23" i="70"/>
  <c r="Y25" i="70"/>
  <c r="AL41" i="70"/>
  <c r="L42" i="70"/>
  <c r="L9" i="70"/>
  <c r="L13" i="70"/>
  <c r="AL16" i="70"/>
  <c r="Y20" i="70"/>
  <c r="Y35" i="70"/>
  <c r="L50" i="70"/>
  <c r="L53" i="70"/>
  <c r="J28" i="70"/>
  <c r="Y7" i="70"/>
  <c r="AL7" i="70"/>
  <c r="L8" i="70"/>
  <c r="Y11" i="70"/>
  <c r="AL11" i="70"/>
  <c r="L12" i="70"/>
  <c r="Y15" i="70"/>
  <c r="AL15" i="70"/>
  <c r="L16" i="70"/>
  <c r="Y19" i="70"/>
  <c r="AL19" i="70"/>
  <c r="L20" i="70"/>
  <c r="AL25" i="70"/>
  <c r="L26" i="70"/>
  <c r="Y34" i="70"/>
  <c r="AL34" i="70"/>
  <c r="L35" i="70"/>
  <c r="AL55" i="70"/>
  <c r="L56" i="70"/>
  <c r="AL42" i="70"/>
  <c r="L43" i="70"/>
  <c r="AL61" i="70"/>
  <c r="L62" i="70"/>
  <c r="L65" i="70"/>
  <c r="L70" i="70"/>
  <c r="L74" i="70"/>
  <c r="AL77" i="70"/>
  <c r="L97" i="70"/>
  <c r="AL40" i="70"/>
  <c r="L41" i="70"/>
  <c r="AL43" i="70"/>
  <c r="L44" i="70"/>
  <c r="AL59" i="70"/>
  <c r="L60" i="70"/>
  <c r="AL62" i="70"/>
  <c r="L63" i="70"/>
  <c r="L73" i="70"/>
  <c r="AL76" i="70"/>
  <c r="L83" i="70"/>
  <c r="L91" i="70"/>
  <c r="L93" i="70"/>
  <c r="AL56" i="70"/>
  <c r="L57" i="70"/>
  <c r="L75" i="70"/>
  <c r="AL63" i="70"/>
  <c r="L64" i="70"/>
  <c r="L69" i="70"/>
  <c r="AL71" i="70"/>
  <c r="L77" i="70"/>
  <c r="AL78" i="70"/>
  <c r="L85" i="70"/>
  <c r="L48" i="70"/>
  <c r="AL57" i="70"/>
  <c r="L58" i="70"/>
  <c r="AL60" i="70"/>
  <c r="L61" i="70"/>
  <c r="AL73" i="70"/>
  <c r="L99" i="70"/>
  <c r="AL38" i="70"/>
  <c r="L39" i="70"/>
  <c r="AL45" i="70"/>
  <c r="L46" i="70"/>
  <c r="AL51" i="70"/>
  <c r="L52" i="70"/>
  <c r="AL54" i="70"/>
  <c r="L55" i="70"/>
  <c r="L72" i="70"/>
  <c r="AL75" i="70"/>
  <c r="L79" i="70"/>
  <c r="L87" i="70"/>
  <c r="G30" i="70"/>
  <c r="G29" i="70"/>
  <c r="K30" i="70"/>
  <c r="K29" i="70"/>
  <c r="Q30" i="70"/>
  <c r="Q29" i="70"/>
  <c r="U30" i="70"/>
  <c r="U29" i="70"/>
  <c r="Y5" i="70"/>
  <c r="AE30" i="70"/>
  <c r="AE29" i="70"/>
  <c r="AI30" i="70"/>
  <c r="AI29" i="70"/>
  <c r="E28" i="70"/>
  <c r="Q28" i="70"/>
  <c r="U28" i="70"/>
  <c r="AG28" i="70"/>
  <c r="AK28" i="70"/>
  <c r="E29" i="70"/>
  <c r="H30" i="70"/>
  <c r="H29" i="70"/>
  <c r="L5" i="70"/>
  <c r="R30" i="70"/>
  <c r="R29" i="70"/>
  <c r="V30" i="70"/>
  <c r="V29" i="70"/>
  <c r="AF30" i="70"/>
  <c r="AF29" i="70"/>
  <c r="AJ30" i="70"/>
  <c r="AJ29" i="70"/>
  <c r="R28" i="70"/>
  <c r="V28" i="70"/>
  <c r="AD28" i="70"/>
  <c r="AH28" i="70"/>
  <c r="I30" i="70"/>
  <c r="I29" i="70"/>
  <c r="S30" i="70"/>
  <c r="S29" i="70"/>
  <c r="W30" i="70"/>
  <c r="W29" i="70"/>
  <c r="AG30" i="70"/>
  <c r="AG29" i="70"/>
  <c r="AK30" i="70"/>
  <c r="AK29" i="70"/>
  <c r="G28" i="70"/>
  <c r="K28" i="70"/>
  <c r="S28" i="70"/>
  <c r="W28" i="70"/>
  <c r="AE28" i="70"/>
  <c r="AI28" i="70"/>
  <c r="F30" i="70"/>
  <c r="F29" i="70"/>
  <c r="J30" i="70"/>
  <c r="J29" i="70"/>
  <c r="T30" i="70"/>
  <c r="T29" i="70"/>
  <c r="X30" i="70"/>
  <c r="X29" i="70"/>
  <c r="AD30" i="70"/>
  <c r="AD29" i="70"/>
  <c r="AH30" i="70"/>
  <c r="AH29" i="70"/>
  <c r="AL5" i="70"/>
  <c r="D28" i="70"/>
  <c r="H28" i="70"/>
  <c r="T28" i="70"/>
  <c r="X28" i="70"/>
  <c r="AF28" i="70"/>
  <c r="AJ28" i="70"/>
  <c r="D29" i="70"/>
  <c r="L49" i="70"/>
  <c r="AL48" i="70"/>
  <c r="L67" i="70"/>
  <c r="AL70" i="70"/>
  <c r="L80" i="70"/>
  <c r="L82" i="70"/>
  <c r="L84" i="70"/>
  <c r="L86" i="70"/>
  <c r="L88" i="70"/>
  <c r="L90" i="70"/>
  <c r="L92" i="70"/>
  <c r="L94" i="70"/>
  <c r="L96" i="70"/>
  <c r="L98" i="70"/>
  <c r="AL80" i="70"/>
  <c r="AL82" i="70"/>
  <c r="AL84" i="70"/>
  <c r="AL86" i="70"/>
  <c r="AL88" i="70"/>
  <c r="AL90" i="70"/>
  <c r="AL92" i="70"/>
  <c r="AL94" i="70"/>
  <c r="AL96" i="70"/>
  <c r="AL98" i="70"/>
  <c r="AL79" i="70"/>
  <c r="AL81" i="70"/>
  <c r="AL83" i="70"/>
  <c r="AL85" i="70"/>
  <c r="AL87" i="70"/>
  <c r="AL89" i="70"/>
  <c r="AL91" i="70"/>
  <c r="AL93" i="70"/>
  <c r="AL95" i="70"/>
  <c r="AL97" i="70"/>
  <c r="AL99" i="70"/>
  <c r="L30" i="70" l="1"/>
  <c r="L29" i="70"/>
  <c r="L28" i="70"/>
  <c r="Y30" i="70"/>
  <c r="Y29" i="70"/>
  <c r="Y28" i="70"/>
  <c r="AL30" i="70"/>
  <c r="AL29" i="70"/>
  <c r="AL28" i="70"/>
  <c r="D125" i="57"/>
  <c r="I9" i="68" l="1"/>
  <c r="J9" i="68"/>
  <c r="K9" i="68"/>
  <c r="I10" i="68"/>
  <c r="J10" i="68"/>
  <c r="K10" i="68"/>
  <c r="I11" i="68"/>
  <c r="L11" i="68" s="1"/>
  <c r="J11" i="68"/>
  <c r="K11" i="68"/>
  <c r="I12" i="68"/>
  <c r="J12" i="68"/>
  <c r="K12" i="68"/>
  <c r="I13" i="68"/>
  <c r="J13" i="68"/>
  <c r="K13" i="68"/>
  <c r="I14" i="68"/>
  <c r="J14" i="68"/>
  <c r="K14" i="68"/>
  <c r="I15" i="68"/>
  <c r="J15" i="68"/>
  <c r="K15" i="68"/>
  <c r="I16" i="68"/>
  <c r="J16" i="68"/>
  <c r="K16" i="68"/>
  <c r="I17" i="68"/>
  <c r="L17" i="68" s="1"/>
  <c r="J17" i="68"/>
  <c r="K17" i="68"/>
  <c r="I18" i="68"/>
  <c r="J18" i="68"/>
  <c r="K18" i="68"/>
  <c r="I19" i="68"/>
  <c r="L19" i="68" s="1"/>
  <c r="J19" i="68"/>
  <c r="K19" i="68"/>
  <c r="I20" i="68"/>
  <c r="J20" i="68"/>
  <c r="K20" i="68"/>
  <c r="I21" i="68"/>
  <c r="J21" i="68"/>
  <c r="K21" i="68"/>
  <c r="I22" i="68"/>
  <c r="J22" i="68"/>
  <c r="K22" i="68"/>
  <c r="I23" i="68"/>
  <c r="L23" i="68" s="1"/>
  <c r="J23" i="68"/>
  <c r="K23" i="68"/>
  <c r="I24" i="68"/>
  <c r="J24" i="68"/>
  <c r="K24" i="68"/>
  <c r="I25" i="68"/>
  <c r="L25" i="68" s="1"/>
  <c r="J25" i="68"/>
  <c r="K25" i="68"/>
  <c r="I26" i="68"/>
  <c r="J26" i="68"/>
  <c r="K26" i="68"/>
  <c r="I27" i="68"/>
  <c r="L27" i="68" s="1"/>
  <c r="J27" i="68"/>
  <c r="K27" i="68"/>
  <c r="I28" i="68"/>
  <c r="J28" i="68"/>
  <c r="K28" i="68"/>
  <c r="I29" i="68"/>
  <c r="J29" i="68"/>
  <c r="K29" i="68"/>
  <c r="I30" i="68"/>
  <c r="J30" i="68"/>
  <c r="K30" i="68"/>
  <c r="J8" i="68"/>
  <c r="K8" i="68"/>
  <c r="I8" i="68"/>
  <c r="F30" i="68"/>
  <c r="F8" i="68"/>
  <c r="G8" i="68" s="1"/>
  <c r="M8" i="68" s="1"/>
  <c r="Q8" i="68" s="1"/>
  <c r="L16" i="68" l="1"/>
  <c r="L13" i="68"/>
  <c r="L24" i="68"/>
  <c r="L9" i="68"/>
  <c r="L30" i="68"/>
  <c r="L22" i="68"/>
  <c r="L14" i="68"/>
  <c r="I32" i="68"/>
  <c r="L29" i="68"/>
  <c r="L21" i="68"/>
  <c r="L26" i="68"/>
  <c r="L18" i="68"/>
  <c r="L10" i="68"/>
  <c r="J32" i="68"/>
  <c r="L15" i="68"/>
  <c r="K32" i="68"/>
  <c r="L28" i="68"/>
  <c r="L20" i="68"/>
  <c r="L12" i="68"/>
  <c r="O8" i="68"/>
  <c r="S8" i="68" l="1"/>
  <c r="F9" i="68"/>
  <c r="F10" i="68"/>
  <c r="G10" i="68" s="1"/>
  <c r="F11" i="68"/>
  <c r="F12" i="68"/>
  <c r="F13" i="68"/>
  <c r="G13" i="68" s="1"/>
  <c r="F14" i="68"/>
  <c r="G14" i="68" s="1"/>
  <c r="F15" i="68"/>
  <c r="G15" i="68" s="1"/>
  <c r="F16" i="68"/>
  <c r="G16" i="68" s="1"/>
  <c r="F17" i="68"/>
  <c r="F18" i="68"/>
  <c r="G18" i="68" s="1"/>
  <c r="F19" i="68"/>
  <c r="F20" i="68"/>
  <c r="F21" i="68"/>
  <c r="G21" i="68" s="1"/>
  <c r="F22" i="68"/>
  <c r="G22" i="68" s="1"/>
  <c r="H22" i="68" s="1"/>
  <c r="N22" i="68" s="1"/>
  <c r="R22" i="68" s="1"/>
  <c r="F23" i="68"/>
  <c r="G23" i="68" s="1"/>
  <c r="F24" i="68"/>
  <c r="G24" i="68" s="1"/>
  <c r="F25" i="68"/>
  <c r="F26" i="68"/>
  <c r="G26" i="68" s="1"/>
  <c r="F27" i="68"/>
  <c r="F28" i="68"/>
  <c r="G28" i="68" s="1"/>
  <c r="F29" i="68"/>
  <c r="G29" i="68" s="1"/>
  <c r="A9" i="68"/>
  <c r="B9" i="68"/>
  <c r="A10" i="68"/>
  <c r="B10" i="68"/>
  <c r="A11" i="68"/>
  <c r="B11" i="68"/>
  <c r="A12" i="68"/>
  <c r="B12" i="68"/>
  <c r="A13" i="68"/>
  <c r="B13" i="68"/>
  <c r="A14" i="68"/>
  <c r="B14" i="68"/>
  <c r="A15" i="68"/>
  <c r="B15" i="68"/>
  <c r="A16" i="68"/>
  <c r="B16" i="68"/>
  <c r="A17" i="68"/>
  <c r="B17" i="68"/>
  <c r="A18" i="68"/>
  <c r="B18" i="68"/>
  <c r="A19" i="68"/>
  <c r="B19" i="68"/>
  <c r="A20" i="68"/>
  <c r="B20" i="68"/>
  <c r="A21" i="68"/>
  <c r="B21" i="68"/>
  <c r="A22" i="68"/>
  <c r="B22" i="68"/>
  <c r="A23" i="68"/>
  <c r="B23" i="68"/>
  <c r="A24" i="68"/>
  <c r="B24" i="68"/>
  <c r="A25" i="68"/>
  <c r="B25" i="68"/>
  <c r="A26" i="68"/>
  <c r="B26" i="68"/>
  <c r="A27" i="68"/>
  <c r="B27" i="68"/>
  <c r="A28" i="68"/>
  <c r="B28" i="68"/>
  <c r="A29" i="68"/>
  <c r="B29" i="68"/>
  <c r="A30" i="68"/>
  <c r="B30" i="68"/>
  <c r="B8" i="68"/>
  <c r="A8" i="68"/>
  <c r="G30" i="68"/>
  <c r="G27" i="68"/>
  <c r="G25" i="68"/>
  <c r="G20" i="68"/>
  <c r="G19" i="68"/>
  <c r="G17" i="68"/>
  <c r="G12" i="68"/>
  <c r="G11" i="68"/>
  <c r="G9" i="68"/>
  <c r="M22" i="68" l="1"/>
  <c r="Q22" i="68" s="1"/>
  <c r="O22" i="68"/>
  <c r="S22" i="68" s="1"/>
  <c r="M14" i="68"/>
  <c r="Q14" i="68" s="1"/>
  <c r="O14" i="68"/>
  <c r="S14" i="68" s="1"/>
  <c r="M30" i="68"/>
  <c r="Q30" i="68" s="1"/>
  <c r="O30" i="68"/>
  <c r="S30" i="68" s="1"/>
  <c r="M29" i="68"/>
  <c r="Q29" i="68" s="1"/>
  <c r="H29" i="68"/>
  <c r="N29" i="68" s="1"/>
  <c r="R29" i="68" s="1"/>
  <c r="O29" i="68"/>
  <c r="S29" i="68" s="1"/>
  <c r="O12" i="68"/>
  <c r="S12" i="68" s="1"/>
  <c r="M12" i="68"/>
  <c r="Q12" i="68" s="1"/>
  <c r="M17" i="68"/>
  <c r="Q17" i="68" s="1"/>
  <c r="O17" i="68"/>
  <c r="S17" i="68" s="1"/>
  <c r="H30" i="68"/>
  <c r="N30" i="68" s="1"/>
  <c r="R30" i="68" s="1"/>
  <c r="O28" i="68"/>
  <c r="S28" i="68" s="1"/>
  <c r="M28" i="68"/>
  <c r="Q28" i="68" s="1"/>
  <c r="H28" i="68"/>
  <c r="N28" i="68" s="1"/>
  <c r="R28" i="68" s="1"/>
  <c r="O27" i="68"/>
  <c r="S27" i="68" s="1"/>
  <c r="M27" i="68"/>
  <c r="Q27" i="68" s="1"/>
  <c r="O19" i="68"/>
  <c r="S19" i="68" s="1"/>
  <c r="M19" i="68"/>
  <c r="Q19" i="68" s="1"/>
  <c r="O20" i="68"/>
  <c r="S20" i="68" s="1"/>
  <c r="M20" i="68"/>
  <c r="Q20" i="68" s="1"/>
  <c r="M26" i="68"/>
  <c r="Q26" i="68" s="1"/>
  <c r="O26" i="68"/>
  <c r="S26" i="68" s="1"/>
  <c r="M18" i="68"/>
  <c r="Q18" i="68" s="1"/>
  <c r="O18" i="68"/>
  <c r="S18" i="68" s="1"/>
  <c r="M10" i="68"/>
  <c r="Q10" i="68" s="1"/>
  <c r="O10" i="68"/>
  <c r="S10" i="68" s="1"/>
  <c r="M13" i="68"/>
  <c r="Q13" i="68" s="1"/>
  <c r="O13" i="68"/>
  <c r="S13" i="68" s="1"/>
  <c r="M9" i="68"/>
  <c r="O9" i="68"/>
  <c r="M21" i="68"/>
  <c r="Q21" i="68" s="1"/>
  <c r="O21" i="68"/>
  <c r="S21" i="68" s="1"/>
  <c r="M24" i="68"/>
  <c r="Q24" i="68" s="1"/>
  <c r="O24" i="68"/>
  <c r="S24" i="68" s="1"/>
  <c r="M16" i="68"/>
  <c r="Q16" i="68" s="1"/>
  <c r="O16" i="68"/>
  <c r="S16" i="68" s="1"/>
  <c r="O11" i="68"/>
  <c r="S11" i="68" s="1"/>
  <c r="M11" i="68"/>
  <c r="Q11" i="68" s="1"/>
  <c r="H11" i="68"/>
  <c r="N11" i="68" s="1"/>
  <c r="R11" i="68" s="1"/>
  <c r="M25" i="68"/>
  <c r="Q25" i="68" s="1"/>
  <c r="O25" i="68"/>
  <c r="S25" i="68" s="1"/>
  <c r="M23" i="68"/>
  <c r="Q23" i="68" s="1"/>
  <c r="O23" i="68"/>
  <c r="S23" i="68" s="1"/>
  <c r="M15" i="68"/>
  <c r="Q15" i="68" s="1"/>
  <c r="O15" i="68"/>
  <c r="S15" i="68" s="1"/>
  <c r="H9" i="68"/>
  <c r="N9" i="68" s="1"/>
  <c r="R9" i="68" s="1"/>
  <c r="H21" i="68"/>
  <c r="N21" i="68" s="1"/>
  <c r="R21" i="68" s="1"/>
  <c r="H10" i="68"/>
  <c r="N10" i="68" s="1"/>
  <c r="R10" i="68" s="1"/>
  <c r="H23" i="68"/>
  <c r="N23" i="68" s="1"/>
  <c r="R23" i="68" s="1"/>
  <c r="H16" i="68"/>
  <c r="N16" i="68" s="1"/>
  <c r="R16" i="68" s="1"/>
  <c r="H12" i="68"/>
  <c r="N12" i="68" s="1"/>
  <c r="R12" i="68" s="1"/>
  <c r="L8" i="68"/>
  <c r="L32" i="68" s="1"/>
  <c r="H17" i="68"/>
  <c r="N17" i="68" s="1"/>
  <c r="R17" i="68" s="1"/>
  <c r="G32" i="68"/>
  <c r="Q9" i="68" l="1"/>
  <c r="Q32" i="68" s="1"/>
  <c r="C12" i="53" s="1"/>
  <c r="J5" i="53" s="1"/>
  <c r="M32" i="68"/>
  <c r="H8" i="68"/>
  <c r="N8" i="68" s="1"/>
  <c r="R8" i="68" s="1"/>
  <c r="S9" i="68"/>
  <c r="S32" i="68" s="1"/>
  <c r="E12" i="53" s="1"/>
  <c r="J6" i="53" s="1"/>
  <c r="O32" i="68"/>
  <c r="H18" i="68"/>
  <c r="N18" i="68" s="1"/>
  <c r="R18" i="68" s="1"/>
  <c r="H19" i="68"/>
  <c r="N19" i="68" s="1"/>
  <c r="R19" i="68" s="1"/>
  <c r="H14" i="68"/>
  <c r="N14" i="68" s="1"/>
  <c r="R14" i="68" s="1"/>
  <c r="H15" i="68"/>
  <c r="N15" i="68" s="1"/>
  <c r="R15" i="68" s="1"/>
  <c r="H25" i="68"/>
  <c r="N25" i="68" s="1"/>
  <c r="R25" i="68" s="1"/>
  <c r="H27" i="68"/>
  <c r="N27" i="68" s="1"/>
  <c r="R27" i="68" s="1"/>
  <c r="H24" i="68"/>
  <c r="N24" i="68" s="1"/>
  <c r="R24" i="68" s="1"/>
  <c r="H20" i="68"/>
  <c r="N20" i="68" s="1"/>
  <c r="R20" i="68" s="1"/>
  <c r="H26" i="68"/>
  <c r="N26" i="68" s="1"/>
  <c r="R26" i="68" s="1"/>
  <c r="H13" i="68"/>
  <c r="N13" i="68" s="1"/>
  <c r="R13" i="68" s="1"/>
  <c r="R32" i="68" l="1"/>
  <c r="D12" i="53" s="1"/>
  <c r="N32" i="68"/>
  <c r="H32" i="68"/>
  <c r="D122" i="57" l="1"/>
  <c r="D118" i="55" l="1"/>
  <c r="L123" i="57" l="1"/>
  <c r="L122" i="57"/>
  <c r="L127" i="57" s="1"/>
  <c r="J123" i="57"/>
  <c r="J124" i="57"/>
  <c r="J122" i="57"/>
  <c r="H123" i="57"/>
  <c r="H122" i="57"/>
  <c r="F124" i="57"/>
  <c r="F123" i="57"/>
  <c r="F122" i="57"/>
  <c r="D124" i="57"/>
  <c r="D123" i="57"/>
  <c r="H127" i="57" l="1"/>
  <c r="D127" i="57"/>
  <c r="F127" i="57"/>
  <c r="J127" i="57"/>
  <c r="C127" i="65"/>
  <c r="A127" i="65"/>
  <c r="G124" i="65"/>
  <c r="E124" i="65"/>
  <c r="H123" i="65"/>
  <c r="I123" i="65" s="1"/>
  <c r="F123" i="65"/>
  <c r="H122" i="65"/>
  <c r="F122" i="65"/>
  <c r="G119" i="65"/>
  <c r="E119" i="65"/>
  <c r="H118" i="65"/>
  <c r="I118" i="65" s="1"/>
  <c r="F118" i="65"/>
  <c r="H117" i="65"/>
  <c r="F117" i="65"/>
  <c r="G114" i="65"/>
  <c r="E114" i="65"/>
  <c r="H113" i="65"/>
  <c r="I113" i="65" s="1"/>
  <c r="F113" i="65"/>
  <c r="H112" i="65"/>
  <c r="I112" i="65" s="1"/>
  <c r="F112" i="65"/>
  <c r="G109" i="65"/>
  <c r="E109" i="65"/>
  <c r="H108" i="65"/>
  <c r="I108" i="65" s="1"/>
  <c r="F108" i="65"/>
  <c r="H107" i="65"/>
  <c r="F107" i="65"/>
  <c r="F109" i="65" s="1"/>
  <c r="G104" i="65"/>
  <c r="E104" i="65"/>
  <c r="H103" i="65"/>
  <c r="I103" i="65" s="1"/>
  <c r="F103" i="65"/>
  <c r="H102" i="65"/>
  <c r="F102" i="65"/>
  <c r="G99" i="65"/>
  <c r="E99" i="65"/>
  <c r="H98" i="65"/>
  <c r="I98" i="65" s="1"/>
  <c r="F98" i="65"/>
  <c r="H97" i="65"/>
  <c r="I97" i="65" s="1"/>
  <c r="F97" i="65"/>
  <c r="G94" i="65"/>
  <c r="E94" i="65"/>
  <c r="H93" i="65"/>
  <c r="I93" i="65" s="1"/>
  <c r="F93" i="65"/>
  <c r="H92" i="65"/>
  <c r="I92" i="65" s="1"/>
  <c r="F92" i="65"/>
  <c r="G89" i="65"/>
  <c r="E89" i="65"/>
  <c r="H88" i="65"/>
  <c r="F88" i="65"/>
  <c r="H87" i="65"/>
  <c r="I87" i="65" s="1"/>
  <c r="F87" i="65"/>
  <c r="G84" i="65"/>
  <c r="E84" i="65"/>
  <c r="H83" i="65"/>
  <c r="I83" i="65" s="1"/>
  <c r="F83" i="65"/>
  <c r="H82" i="65"/>
  <c r="H84" i="65" s="1"/>
  <c r="F82" i="65"/>
  <c r="F84" i="65" s="1"/>
  <c r="G79" i="65"/>
  <c r="E79" i="65"/>
  <c r="H78" i="65"/>
  <c r="I78" i="65" s="1"/>
  <c r="F78" i="65"/>
  <c r="H77" i="65"/>
  <c r="F77" i="65"/>
  <c r="G74" i="65"/>
  <c r="E74" i="65"/>
  <c r="H73" i="65"/>
  <c r="I73" i="65" s="1"/>
  <c r="F73" i="65"/>
  <c r="H72" i="65"/>
  <c r="I72" i="65" s="1"/>
  <c r="F72" i="65"/>
  <c r="G69" i="65"/>
  <c r="E69" i="65"/>
  <c r="H68" i="65"/>
  <c r="I68" i="65" s="1"/>
  <c r="F68" i="65"/>
  <c r="H67" i="65"/>
  <c r="F67" i="65"/>
  <c r="G64" i="65"/>
  <c r="E64" i="65"/>
  <c r="H63" i="65"/>
  <c r="I63" i="65" s="1"/>
  <c r="F63" i="65"/>
  <c r="H62" i="65"/>
  <c r="I62" i="65" s="1"/>
  <c r="F62" i="65"/>
  <c r="G59" i="65"/>
  <c r="E59" i="65"/>
  <c r="H58" i="65"/>
  <c r="I58" i="65" s="1"/>
  <c r="F58" i="65"/>
  <c r="H57" i="65"/>
  <c r="I57" i="65" s="1"/>
  <c r="F57" i="65"/>
  <c r="G54" i="65"/>
  <c r="E54" i="65"/>
  <c r="H53" i="65"/>
  <c r="I53" i="65" s="1"/>
  <c r="F53" i="65"/>
  <c r="H52" i="65"/>
  <c r="I52" i="65" s="1"/>
  <c r="I54" i="65" s="1"/>
  <c r="F52" i="65"/>
  <c r="G49" i="65"/>
  <c r="E49" i="65"/>
  <c r="H48" i="65"/>
  <c r="F48" i="65"/>
  <c r="H47" i="65"/>
  <c r="I47" i="65" s="1"/>
  <c r="F47" i="65"/>
  <c r="F49" i="65" s="1"/>
  <c r="G44" i="65"/>
  <c r="E44" i="65"/>
  <c r="H43" i="65"/>
  <c r="I43" i="65" s="1"/>
  <c r="F43" i="65"/>
  <c r="H42" i="65"/>
  <c r="F42" i="65"/>
  <c r="G39" i="65"/>
  <c r="E39" i="65"/>
  <c r="H38" i="65"/>
  <c r="I38" i="65" s="1"/>
  <c r="F38" i="65"/>
  <c r="H37" i="65"/>
  <c r="F37" i="65"/>
  <c r="G34" i="65"/>
  <c r="E34" i="65"/>
  <c r="H33" i="65"/>
  <c r="I33" i="65" s="1"/>
  <c r="F33" i="65"/>
  <c r="H32" i="65"/>
  <c r="I32" i="65" s="1"/>
  <c r="I34" i="65" s="1"/>
  <c r="F32" i="65"/>
  <c r="G29" i="65"/>
  <c r="E29" i="65"/>
  <c r="H28" i="65"/>
  <c r="I28" i="65" s="1"/>
  <c r="F28" i="65"/>
  <c r="H27" i="65"/>
  <c r="F27" i="65"/>
  <c r="F29" i="65" s="1"/>
  <c r="G24" i="65"/>
  <c r="E24" i="65"/>
  <c r="H23" i="65"/>
  <c r="I23" i="65" s="1"/>
  <c r="F23" i="65"/>
  <c r="H22" i="65"/>
  <c r="F22" i="65"/>
  <c r="G19" i="65"/>
  <c r="E19" i="65"/>
  <c r="H18" i="65"/>
  <c r="I18" i="65" s="1"/>
  <c r="F18" i="65"/>
  <c r="H17" i="65"/>
  <c r="I17" i="65" s="1"/>
  <c r="F17" i="65"/>
  <c r="G14" i="65"/>
  <c r="E14" i="65"/>
  <c r="H13" i="65"/>
  <c r="I13" i="65" s="1"/>
  <c r="F13" i="65"/>
  <c r="H12" i="65"/>
  <c r="I12" i="65" s="1"/>
  <c r="F12" i="65"/>
  <c r="F9" i="65"/>
  <c r="G9" i="65" s="1"/>
  <c r="F34" i="65" l="1"/>
  <c r="F54" i="65"/>
  <c r="F74" i="65"/>
  <c r="F59" i="65"/>
  <c r="F79" i="65"/>
  <c r="F14" i="65"/>
  <c r="H39" i="65"/>
  <c r="I59" i="65"/>
  <c r="H79" i="65"/>
  <c r="F114" i="65"/>
  <c r="F69" i="65"/>
  <c r="H94" i="65"/>
  <c r="J94" i="65" s="1"/>
  <c r="H69" i="65"/>
  <c r="F99" i="65"/>
  <c r="F24" i="65"/>
  <c r="F44" i="65"/>
  <c r="F64" i="65"/>
  <c r="F94" i="65"/>
  <c r="F119" i="65"/>
  <c r="F19" i="65"/>
  <c r="H24" i="65"/>
  <c r="H44" i="65"/>
  <c r="I94" i="65"/>
  <c r="H19" i="65"/>
  <c r="F39" i="65"/>
  <c r="F104" i="65"/>
  <c r="F124" i="65"/>
  <c r="H99" i="65"/>
  <c r="H74" i="65"/>
  <c r="H29" i="65"/>
  <c r="I74" i="65"/>
  <c r="J74" i="65" s="1"/>
  <c r="I114" i="65"/>
  <c r="H89" i="65"/>
  <c r="H54" i="65"/>
  <c r="H34" i="65"/>
  <c r="J34" i="65" s="1"/>
  <c r="H59" i="65"/>
  <c r="F89" i="65"/>
  <c r="I14" i="65"/>
  <c r="I19" i="65"/>
  <c r="I37" i="65"/>
  <c r="I39" i="65" s="1"/>
  <c r="I77" i="65"/>
  <c r="I79" i="65" s="1"/>
  <c r="H114" i="65"/>
  <c r="H49" i="65"/>
  <c r="I99" i="65"/>
  <c r="J54" i="65"/>
  <c r="H104" i="65"/>
  <c r="J104" i="65" s="1"/>
  <c r="H109" i="65"/>
  <c r="H119" i="65"/>
  <c r="J119" i="65" s="1"/>
  <c r="I102" i="65"/>
  <c r="I104" i="65" s="1"/>
  <c r="I117" i="65"/>
  <c r="I119" i="65" s="1"/>
  <c r="H124" i="65"/>
  <c r="I64" i="65"/>
  <c r="J79" i="65"/>
  <c r="I22" i="65"/>
  <c r="I24" i="65" s="1"/>
  <c r="J24" i="65" s="1"/>
  <c r="I27" i="65"/>
  <c r="I29" i="65" s="1"/>
  <c r="I48" i="65"/>
  <c r="I49" i="65" s="1"/>
  <c r="H64" i="65"/>
  <c r="I67" i="65"/>
  <c r="I69" i="65" s="1"/>
  <c r="J69" i="65" s="1"/>
  <c r="I88" i="65"/>
  <c r="I89" i="65" s="1"/>
  <c r="I107" i="65"/>
  <c r="I109" i="65" s="1"/>
  <c r="I42" i="65"/>
  <c r="I44" i="65" s="1"/>
  <c r="J44" i="65" s="1"/>
  <c r="I82" i="65"/>
  <c r="I84" i="65" s="1"/>
  <c r="J84" i="65" s="1"/>
  <c r="I122" i="65"/>
  <c r="I124" i="65" s="1"/>
  <c r="H14" i="65"/>
  <c r="J39" i="65" l="1"/>
  <c r="J99" i="65"/>
  <c r="J59" i="65"/>
  <c r="J109" i="65"/>
  <c r="J49" i="65"/>
  <c r="J14" i="65"/>
  <c r="J19" i="65"/>
  <c r="J124" i="65"/>
  <c r="J114" i="65"/>
  <c r="J29" i="65"/>
  <c r="J89" i="65"/>
  <c r="J64" i="65"/>
  <c r="K62" i="65"/>
  <c r="K119" i="65" l="1"/>
  <c r="J135" i="65"/>
  <c r="K64" i="65"/>
  <c r="K57" i="65"/>
  <c r="K79" i="65"/>
  <c r="K34" i="65"/>
  <c r="K99" i="65"/>
  <c r="K45" i="65"/>
  <c r="K125" i="65"/>
  <c r="K48" i="65"/>
  <c r="K16" i="65"/>
  <c r="K98" i="65"/>
  <c r="K23" i="65"/>
  <c r="K103" i="65"/>
  <c r="K93" i="65"/>
  <c r="K70" i="65"/>
  <c r="K71" i="65"/>
  <c r="K131" i="65"/>
  <c r="K50" i="65"/>
  <c r="K105" i="65"/>
  <c r="K24" i="65"/>
  <c r="K80" i="65"/>
  <c r="K81" i="65"/>
  <c r="K78" i="65"/>
  <c r="K67" i="65"/>
  <c r="K15" i="65"/>
  <c r="K37" i="65"/>
  <c r="K117" i="65"/>
  <c r="K42" i="65"/>
  <c r="K122" i="65"/>
  <c r="K26" i="65"/>
  <c r="K106" i="65"/>
  <c r="K75" i="65"/>
  <c r="K84" i="65"/>
  <c r="K73" i="65"/>
  <c r="K116" i="65"/>
  <c r="K97" i="65"/>
  <c r="K86" i="65"/>
  <c r="K51" i="65"/>
  <c r="K56" i="65"/>
  <c r="K36" i="65"/>
  <c r="K61" i="65"/>
  <c r="K127" i="65"/>
  <c r="K28" i="65"/>
  <c r="K108" i="65"/>
  <c r="K92" i="65"/>
  <c r="K109" i="65"/>
  <c r="K76" i="65"/>
  <c r="K112" i="65"/>
  <c r="K19" i="65"/>
  <c r="K83" i="65"/>
  <c r="K94" i="65"/>
  <c r="K120" i="65"/>
  <c r="K85" i="65"/>
  <c r="K118" i="65"/>
  <c r="K88" i="65"/>
  <c r="K95" i="65"/>
  <c r="K58" i="65"/>
  <c r="K53" i="65"/>
  <c r="K63" i="65"/>
  <c r="K35" i="65"/>
  <c r="K30" i="65"/>
  <c r="K110" i="65"/>
  <c r="K111" i="65"/>
  <c r="K29" i="65"/>
  <c r="K20" i="65"/>
  <c r="K87" i="65"/>
  <c r="K124" i="65"/>
  <c r="K104" i="65"/>
  <c r="K22" i="65"/>
  <c r="K102" i="65"/>
  <c r="K14" i="65"/>
  <c r="K90" i="65"/>
  <c r="K31" i="65"/>
  <c r="K60" i="65"/>
  <c r="K91" i="65"/>
  <c r="K65" i="65"/>
  <c r="K40" i="65"/>
  <c r="K47" i="65"/>
  <c r="K128" i="65"/>
  <c r="K113" i="65"/>
  <c r="K49" i="65"/>
  <c r="K38" i="65"/>
  <c r="K25" i="65"/>
  <c r="K69" i="65"/>
  <c r="K59" i="65"/>
  <c r="K114" i="65"/>
  <c r="K41" i="65"/>
  <c r="K121" i="65"/>
  <c r="K27" i="65"/>
  <c r="K107" i="65"/>
  <c r="K17" i="65"/>
  <c r="K77" i="65"/>
  <c r="K18" i="65"/>
  <c r="K82" i="65"/>
  <c r="K32" i="65"/>
  <c r="K66" i="65"/>
  <c r="K33" i="65"/>
  <c r="K115" i="65"/>
  <c r="K130" i="65"/>
  <c r="J136" i="65"/>
  <c r="E55" i="66" s="1"/>
  <c r="K100" i="65"/>
  <c r="K44" i="65"/>
  <c r="K74" i="65"/>
  <c r="K39" i="65"/>
  <c r="K54" i="65"/>
  <c r="K43" i="65"/>
  <c r="K123" i="65"/>
  <c r="K46" i="65"/>
  <c r="K126" i="65"/>
  <c r="K72" i="65"/>
  <c r="K96" i="65"/>
  <c r="K21" i="65"/>
  <c r="K101" i="65"/>
  <c r="K55" i="65"/>
  <c r="K68" i="65"/>
  <c r="K52" i="65"/>
  <c r="K129" i="65"/>
  <c r="K89" i="65"/>
  <c r="J53" i="55"/>
  <c r="K53" i="55" s="1"/>
  <c r="L53" i="55" s="1"/>
  <c r="E23" i="53" s="1"/>
  <c r="J51" i="55"/>
  <c r="D119" i="55"/>
  <c r="C119" i="55"/>
  <c r="C118" i="55"/>
  <c r="E111" i="55"/>
  <c r="E112" i="55"/>
  <c r="E113" i="55"/>
  <c r="E114" i="55"/>
  <c r="E115" i="55"/>
  <c r="E116" i="55"/>
  <c r="E6" i="55"/>
  <c r="E7" i="55"/>
  <c r="E8" i="55"/>
  <c r="E9" i="55"/>
  <c r="E10" i="55"/>
  <c r="E11" i="55"/>
  <c r="E12" i="55"/>
  <c r="E13" i="55"/>
  <c r="E14" i="55"/>
  <c r="E15" i="55"/>
  <c r="E16" i="55"/>
  <c r="E17" i="55"/>
  <c r="E18" i="55"/>
  <c r="E19" i="55"/>
  <c r="E20" i="55"/>
  <c r="E21" i="55"/>
  <c r="E22" i="55"/>
  <c r="E23" i="55"/>
  <c r="E24" i="55"/>
  <c r="E25" i="55"/>
  <c r="E26" i="55"/>
  <c r="E27" i="55"/>
  <c r="E28" i="55"/>
  <c r="E29" i="55"/>
  <c r="E30" i="55"/>
  <c r="E31" i="55"/>
  <c r="E32" i="55"/>
  <c r="E33" i="55"/>
  <c r="E34" i="55"/>
  <c r="E35" i="55"/>
  <c r="E36" i="55"/>
  <c r="E37" i="55"/>
  <c r="E38" i="55"/>
  <c r="E39" i="55"/>
  <c r="E40" i="55"/>
  <c r="E41" i="55"/>
  <c r="E42" i="55"/>
  <c r="E43" i="55"/>
  <c r="E44" i="55"/>
  <c r="E45" i="55"/>
  <c r="E46" i="55"/>
  <c r="E47" i="55"/>
  <c r="E48" i="55"/>
  <c r="E49" i="55"/>
  <c r="E50" i="55"/>
  <c r="E51" i="55"/>
  <c r="K51" i="55"/>
  <c r="L51" i="55" s="1"/>
  <c r="C23" i="53" s="1"/>
  <c r="E52" i="55"/>
  <c r="E53" i="55"/>
  <c r="E54" i="55"/>
  <c r="E55" i="55"/>
  <c r="E56" i="55"/>
  <c r="E57" i="55"/>
  <c r="E58" i="55"/>
  <c r="E59" i="55"/>
  <c r="E60" i="55"/>
  <c r="E61" i="55"/>
  <c r="E62" i="55"/>
  <c r="E63" i="55"/>
  <c r="E64" i="55"/>
  <c r="E65" i="55"/>
  <c r="G65" i="55"/>
  <c r="E66" i="55"/>
  <c r="E67" i="55"/>
  <c r="E68" i="55"/>
  <c r="E69" i="55"/>
  <c r="E70" i="55"/>
  <c r="E71" i="55"/>
  <c r="E72" i="55"/>
  <c r="E73" i="55"/>
  <c r="E74" i="55"/>
  <c r="E75" i="55"/>
  <c r="E76" i="55"/>
  <c r="E77" i="55"/>
  <c r="E78" i="55"/>
  <c r="E79" i="55"/>
  <c r="E80" i="55"/>
  <c r="E81" i="55"/>
  <c r="E82" i="55"/>
  <c r="E83" i="55"/>
  <c r="E84" i="55"/>
  <c r="E85" i="55"/>
  <c r="E86" i="55"/>
  <c r="E87" i="55"/>
  <c r="E88" i="55"/>
  <c r="E89" i="55"/>
  <c r="E90" i="55"/>
  <c r="E91" i="55"/>
  <c r="E92" i="55"/>
  <c r="E93" i="55"/>
  <c r="E94" i="55"/>
  <c r="E95" i="55"/>
  <c r="E96" i="55"/>
  <c r="E97" i="55"/>
  <c r="E98" i="55"/>
  <c r="E99" i="55"/>
  <c r="E100" i="55"/>
  <c r="E101" i="55"/>
  <c r="E102" i="55"/>
  <c r="E103" i="55"/>
  <c r="E104" i="55"/>
  <c r="E105" i="55"/>
  <c r="E106" i="55"/>
  <c r="E107" i="55"/>
  <c r="E108" i="55"/>
  <c r="E109" i="55"/>
  <c r="E110" i="55"/>
  <c r="E119" i="55" l="1"/>
  <c r="E118" i="55"/>
  <c r="C48" i="66"/>
  <c r="D48" i="66" s="1"/>
  <c r="E48" i="66" s="1"/>
  <c r="C40" i="66"/>
  <c r="D40" i="66" s="1"/>
  <c r="E40" i="66" s="1"/>
  <c r="C32" i="66"/>
  <c r="D32" i="66" s="1"/>
  <c r="E32" i="66" s="1"/>
  <c r="C45" i="66"/>
  <c r="D45" i="66" s="1"/>
  <c r="E45" i="66" s="1"/>
  <c r="C37" i="66"/>
  <c r="D37" i="66" s="1"/>
  <c r="E37" i="66" s="1"/>
  <c r="C50" i="66"/>
  <c r="D50" i="66" s="1"/>
  <c r="E50" i="66" s="1"/>
  <c r="C42" i="66"/>
  <c r="D42" i="66" s="1"/>
  <c r="E42" i="66" s="1"/>
  <c r="C34" i="66"/>
  <c r="D34" i="66" s="1"/>
  <c r="E34" i="66" s="1"/>
  <c r="C47" i="66"/>
  <c r="D47" i="66" s="1"/>
  <c r="E47" i="66" s="1"/>
  <c r="C39" i="66"/>
  <c r="D39" i="66" s="1"/>
  <c r="E39" i="66" s="1"/>
  <c r="C31" i="66"/>
  <c r="D31" i="66" s="1"/>
  <c r="E31" i="66" s="1"/>
  <c r="C29" i="66"/>
  <c r="D29" i="66" s="1"/>
  <c r="E29" i="66" s="1"/>
  <c r="C52" i="66"/>
  <c r="D52" i="66" s="1"/>
  <c r="E52" i="66" s="1"/>
  <c r="C44" i="66"/>
  <c r="D44" i="66" s="1"/>
  <c r="E44" i="66" s="1"/>
  <c r="C36" i="66"/>
  <c r="D36" i="66" s="1"/>
  <c r="E36" i="66" s="1"/>
  <c r="C49" i="66"/>
  <c r="D49" i="66" s="1"/>
  <c r="E49" i="66" s="1"/>
  <c r="C41" i="66"/>
  <c r="D41" i="66" s="1"/>
  <c r="E41" i="66" s="1"/>
  <c r="C33" i="66"/>
  <c r="D33" i="66" s="1"/>
  <c r="E33" i="66" s="1"/>
  <c r="C43" i="66"/>
  <c r="D43" i="66" s="1"/>
  <c r="E43" i="66" s="1"/>
  <c r="C30" i="66"/>
  <c r="D30" i="66" s="1"/>
  <c r="E30" i="66" s="1"/>
  <c r="C46" i="66"/>
  <c r="D46" i="66" s="1"/>
  <c r="E46" i="66" s="1"/>
  <c r="C38" i="66"/>
  <c r="D38" i="66" s="1"/>
  <c r="E38" i="66" s="1"/>
  <c r="C51" i="66"/>
  <c r="D51" i="66" s="1"/>
  <c r="E51" i="66" s="1"/>
  <c r="C35" i="66"/>
  <c r="D35" i="66" s="1"/>
  <c r="E35" i="66" s="1"/>
  <c r="E54" i="66" l="1"/>
  <c r="J8" i="56"/>
  <c r="J9" i="56"/>
  <c r="J10" i="56"/>
  <c r="J11" i="56"/>
  <c r="J12" i="56"/>
  <c r="J13" i="56"/>
  <c r="J14" i="56"/>
  <c r="J15" i="56"/>
  <c r="J16" i="56"/>
  <c r="J17" i="56"/>
  <c r="K17" i="56" s="1"/>
  <c r="L17" i="56" s="1"/>
  <c r="M17" i="56" s="1"/>
  <c r="J18" i="56"/>
  <c r="J19" i="56"/>
  <c r="J20" i="56"/>
  <c r="J21" i="56"/>
  <c r="J22" i="56"/>
  <c r="J23" i="56"/>
  <c r="J24" i="56"/>
  <c r="J25" i="56"/>
  <c r="K25" i="56" s="1"/>
  <c r="L25" i="56" s="1"/>
  <c r="M25" i="56" s="1"/>
  <c r="J26" i="56"/>
  <c r="J27" i="56"/>
  <c r="J28" i="56"/>
  <c r="J29" i="56"/>
  <c r="J7" i="56"/>
  <c r="G8" i="56"/>
  <c r="G9" i="56"/>
  <c r="G10" i="56"/>
  <c r="G11" i="56"/>
  <c r="G12" i="56"/>
  <c r="G13" i="56"/>
  <c r="G14" i="56"/>
  <c r="G15" i="56"/>
  <c r="G16" i="56"/>
  <c r="G17" i="56"/>
  <c r="G18" i="56"/>
  <c r="G19" i="56"/>
  <c r="G20" i="56"/>
  <c r="G21" i="56"/>
  <c r="G22" i="56"/>
  <c r="G23" i="56"/>
  <c r="G24" i="56"/>
  <c r="G25" i="56"/>
  <c r="G26" i="56"/>
  <c r="G27" i="56"/>
  <c r="G28" i="56"/>
  <c r="G29" i="56"/>
  <c r="G7" i="56"/>
  <c r="D129" i="63"/>
  <c r="D209" i="63"/>
  <c r="D169" i="63"/>
  <c r="B236" i="63"/>
  <c r="B196" i="63"/>
  <c r="D50" i="63"/>
  <c r="D51" i="63"/>
  <c r="D172" i="63" s="1"/>
  <c r="D52" i="63"/>
  <c r="D173" i="63" s="1"/>
  <c r="D53" i="63"/>
  <c r="D174" i="63" s="1"/>
  <c r="D54" i="63"/>
  <c r="D55" i="63"/>
  <c r="D56" i="63"/>
  <c r="D57" i="63"/>
  <c r="D178" i="63" s="1"/>
  <c r="D58" i="63"/>
  <c r="D59" i="63"/>
  <c r="D180" i="63" s="1"/>
  <c r="D60" i="63"/>
  <c r="D181" i="63" s="1"/>
  <c r="D61" i="63"/>
  <c r="D182" i="63" s="1"/>
  <c r="D62" i="63"/>
  <c r="D63" i="63"/>
  <c r="D184" i="63" s="1"/>
  <c r="D64" i="63"/>
  <c r="D65" i="63"/>
  <c r="D186" i="63" s="1"/>
  <c r="D66" i="63"/>
  <c r="D67" i="63"/>
  <c r="D188" i="63" s="1"/>
  <c r="D68" i="63"/>
  <c r="D189" i="63" s="1"/>
  <c r="D69" i="63"/>
  <c r="D190" i="63" s="1"/>
  <c r="D70" i="63"/>
  <c r="D71" i="63"/>
  <c r="D192" i="63" s="1"/>
  <c r="D49" i="63"/>
  <c r="J52" i="55" s="1"/>
  <c r="K52" i="55" s="1"/>
  <c r="L52" i="55" s="1"/>
  <c r="E53" i="63"/>
  <c r="E93" i="63" s="1"/>
  <c r="E57" i="63"/>
  <c r="E97" i="63" s="1"/>
  <c r="E61" i="63"/>
  <c r="E101" i="63" s="1"/>
  <c r="E65" i="63"/>
  <c r="E105" i="63" s="1"/>
  <c r="E69" i="63"/>
  <c r="E109" i="63" s="1"/>
  <c r="E50" i="63"/>
  <c r="E90" i="63" s="1"/>
  <c r="E51" i="63"/>
  <c r="E91" i="63" s="1"/>
  <c r="E52" i="63"/>
  <c r="E92" i="63" s="1"/>
  <c r="E54" i="63"/>
  <c r="E94" i="63" s="1"/>
  <c r="E55" i="63"/>
  <c r="E95" i="63" s="1"/>
  <c r="E56" i="63"/>
  <c r="E96" i="63" s="1"/>
  <c r="E58" i="63"/>
  <c r="E98" i="63" s="1"/>
  <c r="E59" i="63"/>
  <c r="E99" i="63" s="1"/>
  <c r="E60" i="63"/>
  <c r="E100" i="63" s="1"/>
  <c r="E62" i="63"/>
  <c r="E102" i="63" s="1"/>
  <c r="E63" i="63"/>
  <c r="E103" i="63" s="1"/>
  <c r="E64" i="63"/>
  <c r="E104" i="63" s="1"/>
  <c r="E66" i="63"/>
  <c r="E106" i="63" s="1"/>
  <c r="E67" i="63"/>
  <c r="E107" i="63" s="1"/>
  <c r="E68" i="63"/>
  <c r="E108" i="63" s="1"/>
  <c r="E70" i="63"/>
  <c r="E110" i="63" s="1"/>
  <c r="E71" i="63"/>
  <c r="E111" i="63" s="1"/>
  <c r="E49" i="63"/>
  <c r="E89" i="63" s="1"/>
  <c r="E171" i="63"/>
  <c r="E172" i="63"/>
  <c r="E212" i="63" s="1"/>
  <c r="E173" i="63"/>
  <c r="E174" i="63"/>
  <c r="E214" i="63" s="1"/>
  <c r="E175" i="63"/>
  <c r="E215" i="63" s="1"/>
  <c r="E176" i="63"/>
  <c r="E177" i="63"/>
  <c r="E217" i="63" s="1"/>
  <c r="E178" i="63"/>
  <c r="E179" i="63"/>
  <c r="E219" i="63" s="1"/>
  <c r="E180" i="63"/>
  <c r="E220" i="63" s="1"/>
  <c r="E181" i="63"/>
  <c r="E182" i="63"/>
  <c r="E183" i="63"/>
  <c r="E223" i="63" s="1"/>
  <c r="E184" i="63"/>
  <c r="E224" i="63" s="1"/>
  <c r="E185" i="63"/>
  <c r="E225" i="63" s="1"/>
  <c r="E186" i="63"/>
  <c r="E226" i="63" s="1"/>
  <c r="E187" i="63"/>
  <c r="E227" i="63" s="1"/>
  <c r="E188" i="63"/>
  <c r="E228" i="63" s="1"/>
  <c r="E189" i="63"/>
  <c r="E190" i="63"/>
  <c r="E191" i="63"/>
  <c r="E231" i="63" s="1"/>
  <c r="E192" i="63"/>
  <c r="E232" i="63" s="1"/>
  <c r="E170" i="63"/>
  <c r="E229" i="63"/>
  <c r="D177" i="63"/>
  <c r="D179" i="63"/>
  <c r="D183" i="63"/>
  <c r="D185" i="63"/>
  <c r="D187" i="63"/>
  <c r="D191" i="63"/>
  <c r="D137" i="63"/>
  <c r="D138" i="63"/>
  <c r="D139" i="63"/>
  <c r="D140" i="63"/>
  <c r="D141" i="63"/>
  <c r="D142" i="63"/>
  <c r="D143" i="63"/>
  <c r="D144" i="63"/>
  <c r="D145" i="63"/>
  <c r="D146" i="63"/>
  <c r="D147" i="63"/>
  <c r="D148" i="63"/>
  <c r="D149" i="63"/>
  <c r="D150" i="63"/>
  <c r="D151" i="63"/>
  <c r="D152" i="63"/>
  <c r="E211" i="63"/>
  <c r="E221" i="63"/>
  <c r="D211" i="63"/>
  <c r="D212" i="63"/>
  <c r="D213" i="63"/>
  <c r="D214" i="63"/>
  <c r="D215" i="63"/>
  <c r="D216" i="63"/>
  <c r="D217" i="63"/>
  <c r="D218" i="63"/>
  <c r="D219" i="63"/>
  <c r="D220" i="63"/>
  <c r="D221" i="63"/>
  <c r="D222" i="63"/>
  <c r="D223" i="63"/>
  <c r="D224" i="63"/>
  <c r="D225" i="63"/>
  <c r="D226" i="63"/>
  <c r="D227" i="63"/>
  <c r="D228" i="63"/>
  <c r="D229" i="63"/>
  <c r="D230" i="63"/>
  <c r="D231" i="63"/>
  <c r="D232" i="63"/>
  <c r="C49" i="63"/>
  <c r="C89" i="63" s="1"/>
  <c r="C50" i="63"/>
  <c r="C90" i="63" s="1"/>
  <c r="C51" i="63"/>
  <c r="C91" i="63" s="1"/>
  <c r="C132" i="63" s="1"/>
  <c r="C172" i="63" s="1"/>
  <c r="C212" i="63" s="1"/>
  <c r="C52" i="63"/>
  <c r="C92" i="63" s="1"/>
  <c r="C133" i="63" s="1"/>
  <c r="C173" i="63" s="1"/>
  <c r="C213" i="63" s="1"/>
  <c r="C53" i="63"/>
  <c r="C93" i="63" s="1"/>
  <c r="C54" i="63"/>
  <c r="C94" i="63" s="1"/>
  <c r="C55" i="63"/>
  <c r="C95" i="63" s="1"/>
  <c r="C136" i="63" s="1"/>
  <c r="C176" i="63" s="1"/>
  <c r="C216" i="63" s="1"/>
  <c r="C56" i="63"/>
  <c r="C96" i="63" s="1"/>
  <c r="C137" i="63" s="1"/>
  <c r="C177" i="63" s="1"/>
  <c r="C217" i="63" s="1"/>
  <c r="C57" i="63"/>
  <c r="C97" i="63" s="1"/>
  <c r="C138" i="63" s="1"/>
  <c r="C178" i="63" s="1"/>
  <c r="C218" i="63" s="1"/>
  <c r="C58" i="63"/>
  <c r="C98" i="63" s="1"/>
  <c r="C139" i="63" s="1"/>
  <c r="C179" i="63" s="1"/>
  <c r="C219" i="63" s="1"/>
  <c r="C59" i="63"/>
  <c r="C99" i="63" s="1"/>
  <c r="C140" i="63" s="1"/>
  <c r="C180" i="63" s="1"/>
  <c r="C220" i="63" s="1"/>
  <c r="C60" i="63"/>
  <c r="C100" i="63" s="1"/>
  <c r="C141" i="63" s="1"/>
  <c r="C181" i="63" s="1"/>
  <c r="C221" i="63" s="1"/>
  <c r="C61" i="63"/>
  <c r="C101" i="63" s="1"/>
  <c r="C142" i="63" s="1"/>
  <c r="C182" i="63" s="1"/>
  <c r="C222" i="63" s="1"/>
  <c r="C62" i="63"/>
  <c r="C102" i="63" s="1"/>
  <c r="C143" i="63" s="1"/>
  <c r="C183" i="63" s="1"/>
  <c r="C223" i="63" s="1"/>
  <c r="C63" i="63"/>
  <c r="C103" i="63" s="1"/>
  <c r="C144" i="63" s="1"/>
  <c r="C184" i="63" s="1"/>
  <c r="C224" i="63" s="1"/>
  <c r="C64" i="63"/>
  <c r="C104" i="63" s="1"/>
  <c r="C145" i="63" s="1"/>
  <c r="C185" i="63" s="1"/>
  <c r="C225" i="63" s="1"/>
  <c r="C65" i="63"/>
  <c r="C105" i="63" s="1"/>
  <c r="C146" i="63" s="1"/>
  <c r="C186" i="63" s="1"/>
  <c r="C226" i="63" s="1"/>
  <c r="C66" i="63"/>
  <c r="C106" i="63" s="1"/>
  <c r="C147" i="63" s="1"/>
  <c r="C187" i="63" s="1"/>
  <c r="C227" i="63" s="1"/>
  <c r="C67" i="63"/>
  <c r="C107" i="63" s="1"/>
  <c r="C148" i="63" s="1"/>
  <c r="C188" i="63" s="1"/>
  <c r="C228" i="63" s="1"/>
  <c r="C68" i="63"/>
  <c r="C108" i="63" s="1"/>
  <c r="C149" i="63" s="1"/>
  <c r="C189" i="63" s="1"/>
  <c r="C229" i="63" s="1"/>
  <c r="C69" i="63"/>
  <c r="C109" i="63" s="1"/>
  <c r="C150" i="63" s="1"/>
  <c r="C190" i="63" s="1"/>
  <c r="C230" i="63" s="1"/>
  <c r="C70" i="63"/>
  <c r="C110" i="63" s="1"/>
  <c r="C151" i="63" s="1"/>
  <c r="C191" i="63" s="1"/>
  <c r="C231" i="63" s="1"/>
  <c r="C71" i="63"/>
  <c r="C111" i="63" s="1"/>
  <c r="C152" i="63" s="1"/>
  <c r="C192" i="63" s="1"/>
  <c r="C232" i="63" s="1"/>
  <c r="B50" i="63"/>
  <c r="B90" i="63" s="1"/>
  <c r="B131" i="63" s="1"/>
  <c r="B171" i="63" s="1"/>
  <c r="B211" i="63" s="1"/>
  <c r="B51" i="63"/>
  <c r="B91" i="63" s="1"/>
  <c r="B52" i="63"/>
  <c r="B92" i="63" s="1"/>
  <c r="B53" i="63"/>
  <c r="B93" i="63" s="1"/>
  <c r="B134" i="63" s="1"/>
  <c r="B174" i="63" s="1"/>
  <c r="B214" i="63" s="1"/>
  <c r="B54" i="63"/>
  <c r="B94" i="63" s="1"/>
  <c r="B135" i="63" s="1"/>
  <c r="B175" i="63" s="1"/>
  <c r="B215" i="63" s="1"/>
  <c r="B55" i="63"/>
  <c r="B95" i="63" s="1"/>
  <c r="B56" i="63"/>
  <c r="B96" i="63" s="1"/>
  <c r="B137" i="63" s="1"/>
  <c r="B177" i="63" s="1"/>
  <c r="B217" i="63" s="1"/>
  <c r="B57" i="63"/>
  <c r="B97" i="63" s="1"/>
  <c r="B138" i="63" s="1"/>
  <c r="B178" i="63" s="1"/>
  <c r="B218" i="63" s="1"/>
  <c r="B58" i="63"/>
  <c r="B98" i="63" s="1"/>
  <c r="B139" i="63" s="1"/>
  <c r="B179" i="63" s="1"/>
  <c r="B219" i="63" s="1"/>
  <c r="B59" i="63"/>
  <c r="B99" i="63" s="1"/>
  <c r="B140" i="63" s="1"/>
  <c r="B180" i="63" s="1"/>
  <c r="B220" i="63" s="1"/>
  <c r="B60" i="63"/>
  <c r="B100" i="63" s="1"/>
  <c r="B141" i="63" s="1"/>
  <c r="B181" i="63" s="1"/>
  <c r="B221" i="63" s="1"/>
  <c r="B61" i="63"/>
  <c r="B101" i="63" s="1"/>
  <c r="B142" i="63" s="1"/>
  <c r="B182" i="63" s="1"/>
  <c r="B222" i="63" s="1"/>
  <c r="B62" i="63"/>
  <c r="B102" i="63" s="1"/>
  <c r="B143" i="63" s="1"/>
  <c r="B183" i="63" s="1"/>
  <c r="B223" i="63" s="1"/>
  <c r="B63" i="63"/>
  <c r="B103" i="63" s="1"/>
  <c r="B144" i="63" s="1"/>
  <c r="B184" i="63" s="1"/>
  <c r="B224" i="63" s="1"/>
  <c r="B64" i="63"/>
  <c r="B104" i="63" s="1"/>
  <c r="B145" i="63" s="1"/>
  <c r="B185" i="63" s="1"/>
  <c r="B225" i="63" s="1"/>
  <c r="B65" i="63"/>
  <c r="B105" i="63" s="1"/>
  <c r="B146" i="63" s="1"/>
  <c r="B186" i="63" s="1"/>
  <c r="B226" i="63" s="1"/>
  <c r="B66" i="63"/>
  <c r="B106" i="63" s="1"/>
  <c r="B147" i="63" s="1"/>
  <c r="B187" i="63" s="1"/>
  <c r="B227" i="63" s="1"/>
  <c r="B67" i="63"/>
  <c r="B107" i="63" s="1"/>
  <c r="B148" i="63" s="1"/>
  <c r="B188" i="63" s="1"/>
  <c r="B228" i="63" s="1"/>
  <c r="B68" i="63"/>
  <c r="B108" i="63" s="1"/>
  <c r="B149" i="63" s="1"/>
  <c r="B189" i="63" s="1"/>
  <c r="B229" i="63" s="1"/>
  <c r="B69" i="63"/>
  <c r="B109" i="63" s="1"/>
  <c r="B150" i="63" s="1"/>
  <c r="B190" i="63" s="1"/>
  <c r="B230" i="63" s="1"/>
  <c r="B70" i="63"/>
  <c r="B110" i="63" s="1"/>
  <c r="B151" i="63" s="1"/>
  <c r="B191" i="63" s="1"/>
  <c r="B231" i="63" s="1"/>
  <c r="B71" i="63"/>
  <c r="B111" i="63" s="1"/>
  <c r="B152" i="63" s="1"/>
  <c r="B192" i="63" s="1"/>
  <c r="B232" i="63" s="1"/>
  <c r="B49" i="63"/>
  <c r="B89" i="63" s="1"/>
  <c r="B130" i="63" s="1"/>
  <c r="G533" i="64"/>
  <c r="E533" i="64"/>
  <c r="G532" i="64"/>
  <c r="E532" i="64"/>
  <c r="G531" i="64"/>
  <c r="E531" i="64"/>
  <c r="G530" i="64"/>
  <c r="E530" i="64"/>
  <c r="G529" i="64"/>
  <c r="E529" i="64"/>
  <c r="G528" i="64"/>
  <c r="E528" i="64"/>
  <c r="G527" i="64"/>
  <c r="E527" i="64"/>
  <c r="G526" i="64"/>
  <c r="E526" i="64"/>
  <c r="G525" i="64"/>
  <c r="E525" i="64"/>
  <c r="G524" i="64"/>
  <c r="E524" i="64"/>
  <c r="G523" i="64"/>
  <c r="E523" i="64"/>
  <c r="G522" i="64"/>
  <c r="E522" i="64"/>
  <c r="G521" i="64"/>
  <c r="E521" i="64"/>
  <c r="G520" i="64"/>
  <c r="E520" i="64"/>
  <c r="G519" i="64"/>
  <c r="E519" i="64"/>
  <c r="G518" i="64"/>
  <c r="E518" i="64"/>
  <c r="G517" i="64"/>
  <c r="E517" i="64"/>
  <c r="G516" i="64"/>
  <c r="E516" i="64"/>
  <c r="G515" i="64"/>
  <c r="E515" i="64"/>
  <c r="G514" i="64"/>
  <c r="E514" i="64"/>
  <c r="G513" i="64"/>
  <c r="E513" i="64"/>
  <c r="G512" i="64"/>
  <c r="E512" i="64"/>
  <c r="G511" i="64"/>
  <c r="E511" i="64"/>
  <c r="G510" i="64"/>
  <c r="E510" i="64"/>
  <c r="G509" i="64"/>
  <c r="E509" i="64"/>
  <c r="G508" i="64"/>
  <c r="E508" i="64"/>
  <c r="G507" i="64"/>
  <c r="E507" i="64"/>
  <c r="G506" i="64"/>
  <c r="E506" i="64"/>
  <c r="G505" i="64"/>
  <c r="E505" i="64"/>
  <c r="G504" i="64"/>
  <c r="E504" i="64"/>
  <c r="G503" i="64"/>
  <c r="E503" i="64"/>
  <c r="G502" i="64"/>
  <c r="E502" i="64"/>
  <c r="G501" i="64"/>
  <c r="E501" i="64"/>
  <c r="G500" i="64"/>
  <c r="E500" i="64"/>
  <c r="G499" i="64"/>
  <c r="E499" i="64"/>
  <c r="G498" i="64"/>
  <c r="E498" i="64"/>
  <c r="G497" i="64"/>
  <c r="E497" i="64"/>
  <c r="G496" i="64"/>
  <c r="E496" i="64"/>
  <c r="G495" i="64"/>
  <c r="E495" i="64"/>
  <c r="G494" i="64"/>
  <c r="E494" i="64"/>
  <c r="G493" i="64"/>
  <c r="E493" i="64"/>
  <c r="G492" i="64"/>
  <c r="E492" i="64"/>
  <c r="G491" i="64"/>
  <c r="E491" i="64"/>
  <c r="G490" i="64"/>
  <c r="E490" i="64"/>
  <c r="G489" i="64"/>
  <c r="E489" i="64"/>
  <c r="G488" i="64"/>
  <c r="E488" i="64"/>
  <c r="G487" i="64"/>
  <c r="E487" i="64"/>
  <c r="G486" i="64"/>
  <c r="E486" i="64"/>
  <c r="G485" i="64"/>
  <c r="E485" i="64"/>
  <c r="G484" i="64"/>
  <c r="E484" i="64"/>
  <c r="G483" i="64"/>
  <c r="E483" i="64"/>
  <c r="G482" i="64"/>
  <c r="E482" i="64"/>
  <c r="G481" i="64"/>
  <c r="E481" i="64"/>
  <c r="G480" i="64"/>
  <c r="E480" i="64"/>
  <c r="G479" i="64"/>
  <c r="E479" i="64"/>
  <c r="G478" i="64"/>
  <c r="E478" i="64"/>
  <c r="G477" i="64"/>
  <c r="E477" i="64"/>
  <c r="G476" i="64"/>
  <c r="E476" i="64"/>
  <c r="G475" i="64"/>
  <c r="E475" i="64"/>
  <c r="G474" i="64"/>
  <c r="E474" i="64"/>
  <c r="G473" i="64"/>
  <c r="E473" i="64"/>
  <c r="G472" i="64"/>
  <c r="E472" i="64"/>
  <c r="G471" i="64"/>
  <c r="E471" i="64"/>
  <c r="G470" i="64"/>
  <c r="E470" i="64"/>
  <c r="G469" i="64"/>
  <c r="E469" i="64"/>
  <c r="G468" i="64"/>
  <c r="E468" i="64"/>
  <c r="G467" i="64"/>
  <c r="E467" i="64"/>
  <c r="G466" i="64"/>
  <c r="E466" i="64"/>
  <c r="G465" i="64"/>
  <c r="E465" i="64"/>
  <c r="G464" i="64"/>
  <c r="E464" i="64"/>
  <c r="G463" i="64"/>
  <c r="E463" i="64"/>
  <c r="G462" i="64"/>
  <c r="E462" i="64"/>
  <c r="G461" i="64"/>
  <c r="E461" i="64"/>
  <c r="G460" i="64"/>
  <c r="E460" i="64"/>
  <c r="G459" i="64"/>
  <c r="E459" i="64"/>
  <c r="G458" i="64"/>
  <c r="E458" i="64"/>
  <c r="G457" i="64"/>
  <c r="E457" i="64"/>
  <c r="G456" i="64"/>
  <c r="E456" i="64"/>
  <c r="G455" i="64"/>
  <c r="E455" i="64"/>
  <c r="G454" i="64"/>
  <c r="E454" i="64"/>
  <c r="G453" i="64"/>
  <c r="E453" i="64"/>
  <c r="G452" i="64"/>
  <c r="E452" i="64"/>
  <c r="G451" i="64"/>
  <c r="E451" i="64"/>
  <c r="G450" i="64"/>
  <c r="E450" i="64"/>
  <c r="G449" i="64"/>
  <c r="E449" i="64"/>
  <c r="G448" i="64"/>
  <c r="E448" i="64"/>
  <c r="G447" i="64"/>
  <c r="E447" i="64"/>
  <c r="G446" i="64"/>
  <c r="E446" i="64"/>
  <c r="G445" i="64"/>
  <c r="E445" i="64"/>
  <c r="G444" i="64"/>
  <c r="E444" i="64"/>
  <c r="G443" i="64"/>
  <c r="E443" i="64"/>
  <c r="G442" i="64"/>
  <c r="E442" i="64"/>
  <c r="G441" i="64"/>
  <c r="E441" i="64"/>
  <c r="G440" i="64"/>
  <c r="E440" i="64"/>
  <c r="G439" i="64"/>
  <c r="E439" i="64"/>
  <c r="G438" i="64"/>
  <c r="E438" i="64"/>
  <c r="G437" i="64"/>
  <c r="E437" i="64"/>
  <c r="G436" i="64"/>
  <c r="E436" i="64"/>
  <c r="G435" i="64"/>
  <c r="E435" i="64"/>
  <c r="G434" i="64"/>
  <c r="E434" i="64"/>
  <c r="G433" i="64"/>
  <c r="E433" i="64"/>
  <c r="G432" i="64"/>
  <c r="E432" i="64"/>
  <c r="G431" i="64"/>
  <c r="E431" i="64"/>
  <c r="G430" i="64"/>
  <c r="E430" i="64"/>
  <c r="G429" i="64"/>
  <c r="E429" i="64"/>
  <c r="G428" i="64"/>
  <c r="E428" i="64"/>
  <c r="G427" i="64"/>
  <c r="E427" i="64"/>
  <c r="G426" i="64"/>
  <c r="E426" i="64"/>
  <c r="G425" i="64"/>
  <c r="E425" i="64"/>
  <c r="G424" i="64"/>
  <c r="E424" i="64"/>
  <c r="G423" i="64"/>
  <c r="E423" i="64"/>
  <c r="G422" i="64"/>
  <c r="E422" i="64"/>
  <c r="G421" i="64"/>
  <c r="E421" i="64"/>
  <c r="G420" i="64"/>
  <c r="E420" i="64"/>
  <c r="G419" i="64"/>
  <c r="E419" i="64"/>
  <c r="G418" i="64"/>
  <c r="E418" i="64"/>
  <c r="G417" i="64"/>
  <c r="E417" i="64"/>
  <c r="G416" i="64"/>
  <c r="E416" i="64"/>
  <c r="G415" i="64"/>
  <c r="E415" i="64"/>
  <c r="G414" i="64"/>
  <c r="E414" i="64"/>
  <c r="G413" i="64"/>
  <c r="E413" i="64"/>
  <c r="G412" i="64"/>
  <c r="E412" i="64"/>
  <c r="G411" i="64"/>
  <c r="E411" i="64"/>
  <c r="G410" i="64"/>
  <c r="E410" i="64"/>
  <c r="G409" i="64"/>
  <c r="E409" i="64"/>
  <c r="G408" i="64"/>
  <c r="E408" i="64"/>
  <c r="G407" i="64"/>
  <c r="E407" i="64"/>
  <c r="G406" i="64"/>
  <c r="E406" i="64"/>
  <c r="G405" i="64"/>
  <c r="E405" i="64"/>
  <c r="G404" i="64"/>
  <c r="E404" i="64"/>
  <c r="G403" i="64"/>
  <c r="E403" i="64"/>
  <c r="G402" i="64"/>
  <c r="E402" i="64"/>
  <c r="G401" i="64"/>
  <c r="E401" i="64"/>
  <c r="G400" i="64"/>
  <c r="E400" i="64"/>
  <c r="G399" i="64"/>
  <c r="E399" i="64"/>
  <c r="G398" i="64"/>
  <c r="E398" i="64"/>
  <c r="G397" i="64"/>
  <c r="E397" i="64"/>
  <c r="G396" i="64"/>
  <c r="E396" i="64"/>
  <c r="G395" i="64"/>
  <c r="E395" i="64"/>
  <c r="G394" i="64"/>
  <c r="E394" i="64"/>
  <c r="G393" i="64"/>
  <c r="E393" i="64"/>
  <c r="G392" i="64"/>
  <c r="E392" i="64"/>
  <c r="G391" i="64"/>
  <c r="E391" i="64"/>
  <c r="G390" i="64"/>
  <c r="E390" i="64"/>
  <c r="G389" i="64"/>
  <c r="E389" i="64"/>
  <c r="G388" i="64"/>
  <c r="E388" i="64"/>
  <c r="G387" i="64"/>
  <c r="E387" i="64"/>
  <c r="G386" i="64"/>
  <c r="E386" i="64"/>
  <c r="G385" i="64"/>
  <c r="E385" i="64"/>
  <c r="G384" i="64"/>
  <c r="E384" i="64"/>
  <c r="G383" i="64"/>
  <c r="E383" i="64"/>
  <c r="G382" i="64"/>
  <c r="E382" i="64"/>
  <c r="G381" i="64"/>
  <c r="E381" i="64"/>
  <c r="G380" i="64"/>
  <c r="E380" i="64"/>
  <c r="G379" i="64"/>
  <c r="E379" i="64"/>
  <c r="G378" i="64"/>
  <c r="E378" i="64"/>
  <c r="G377" i="64"/>
  <c r="E377" i="64"/>
  <c r="G376" i="64"/>
  <c r="E376" i="64"/>
  <c r="G375" i="64"/>
  <c r="E375" i="64"/>
  <c r="G374" i="64"/>
  <c r="E374" i="64"/>
  <c r="G373" i="64"/>
  <c r="E373" i="64"/>
  <c r="G372" i="64"/>
  <c r="E372" i="64"/>
  <c r="G371" i="64"/>
  <c r="E371" i="64"/>
  <c r="G370" i="64"/>
  <c r="E370" i="64"/>
  <c r="G369" i="64"/>
  <c r="E369" i="64"/>
  <c r="G368" i="64"/>
  <c r="E368" i="64"/>
  <c r="G367" i="64"/>
  <c r="E367" i="64"/>
  <c r="G366" i="64"/>
  <c r="E366" i="64"/>
  <c r="G365" i="64"/>
  <c r="E365" i="64"/>
  <c r="G364" i="64"/>
  <c r="E364" i="64"/>
  <c r="G363" i="64"/>
  <c r="E363" i="64"/>
  <c r="G362" i="64"/>
  <c r="E362" i="64"/>
  <c r="G361" i="64"/>
  <c r="E361" i="64"/>
  <c r="G360" i="64"/>
  <c r="E360" i="64"/>
  <c r="G359" i="64"/>
  <c r="E359" i="64"/>
  <c r="G358" i="64"/>
  <c r="E358" i="64"/>
  <c r="G357" i="64"/>
  <c r="E357" i="64"/>
  <c r="G356" i="64"/>
  <c r="E356" i="64"/>
  <c r="G355" i="64"/>
  <c r="E355" i="64"/>
  <c r="G354" i="64"/>
  <c r="E354" i="64"/>
  <c r="G353" i="64"/>
  <c r="E353" i="64"/>
  <c r="G352" i="64"/>
  <c r="E352" i="64"/>
  <c r="G351" i="64"/>
  <c r="E351" i="64"/>
  <c r="G350" i="64"/>
  <c r="E350" i="64"/>
  <c r="G349" i="64"/>
  <c r="E349" i="64"/>
  <c r="G348" i="64"/>
  <c r="E348" i="64"/>
  <c r="G347" i="64"/>
  <c r="E347" i="64"/>
  <c r="G346" i="64"/>
  <c r="E346" i="64"/>
  <c r="G345" i="64"/>
  <c r="E345" i="64"/>
  <c r="G344" i="64"/>
  <c r="E344" i="64"/>
  <c r="G343" i="64"/>
  <c r="E343" i="64"/>
  <c r="G342" i="64"/>
  <c r="E342" i="64"/>
  <c r="G341" i="64"/>
  <c r="E341" i="64"/>
  <c r="G340" i="64"/>
  <c r="E340" i="64"/>
  <c r="G339" i="64"/>
  <c r="E339" i="64"/>
  <c r="G338" i="64"/>
  <c r="E338" i="64"/>
  <c r="G337" i="64"/>
  <c r="E337" i="64"/>
  <c r="G336" i="64"/>
  <c r="E336" i="64"/>
  <c r="G335" i="64"/>
  <c r="E335" i="64"/>
  <c r="G334" i="64"/>
  <c r="E334" i="64"/>
  <c r="G333" i="64"/>
  <c r="E333" i="64"/>
  <c r="G332" i="64"/>
  <c r="E332" i="64"/>
  <c r="G331" i="64"/>
  <c r="E331" i="64"/>
  <c r="G330" i="64"/>
  <c r="E330" i="64"/>
  <c r="G329" i="64"/>
  <c r="E329" i="64"/>
  <c r="G328" i="64"/>
  <c r="E328" i="64"/>
  <c r="G327" i="64"/>
  <c r="E327" i="64"/>
  <c r="G326" i="64"/>
  <c r="E326" i="64"/>
  <c r="G325" i="64"/>
  <c r="E325" i="64"/>
  <c r="G324" i="64"/>
  <c r="E324" i="64"/>
  <c r="G323" i="64"/>
  <c r="E323" i="64"/>
  <c r="G322" i="64"/>
  <c r="E322" i="64"/>
  <c r="G321" i="64"/>
  <c r="E321" i="64"/>
  <c r="G320" i="64"/>
  <c r="E320" i="64"/>
  <c r="G319" i="64"/>
  <c r="E319" i="64"/>
  <c r="G318" i="64"/>
  <c r="E318" i="64"/>
  <c r="G317" i="64"/>
  <c r="E317" i="64"/>
  <c r="G316" i="64"/>
  <c r="E316" i="64"/>
  <c r="G315" i="64"/>
  <c r="E315" i="64"/>
  <c r="G314" i="64"/>
  <c r="E314" i="64"/>
  <c r="G313" i="64"/>
  <c r="E313" i="64"/>
  <c r="G312" i="64"/>
  <c r="E312" i="64"/>
  <c r="G311" i="64"/>
  <c r="E311" i="64"/>
  <c r="G310" i="64"/>
  <c r="E310" i="64"/>
  <c r="G309" i="64"/>
  <c r="E309" i="64"/>
  <c r="G308" i="64"/>
  <c r="E308" i="64"/>
  <c r="G307" i="64"/>
  <c r="E307" i="64"/>
  <c r="G306" i="64"/>
  <c r="E306" i="64"/>
  <c r="G305" i="64"/>
  <c r="E305" i="64"/>
  <c r="G304" i="64"/>
  <c r="E304" i="64"/>
  <c r="G303" i="64"/>
  <c r="E303" i="64"/>
  <c r="G302" i="64"/>
  <c r="E302" i="64"/>
  <c r="G301" i="64"/>
  <c r="E301" i="64"/>
  <c r="G300" i="64"/>
  <c r="E300" i="64"/>
  <c r="G299" i="64"/>
  <c r="E299" i="64"/>
  <c r="G298" i="64"/>
  <c r="E298" i="64"/>
  <c r="G297" i="64"/>
  <c r="E297" i="64"/>
  <c r="G296" i="64"/>
  <c r="E296" i="64"/>
  <c r="G295" i="64"/>
  <c r="E295" i="64"/>
  <c r="G294" i="64"/>
  <c r="E294" i="64"/>
  <c r="G293" i="64"/>
  <c r="E293" i="64"/>
  <c r="G292" i="64"/>
  <c r="E292" i="64"/>
  <c r="G291" i="64"/>
  <c r="E291" i="64"/>
  <c r="G290" i="64"/>
  <c r="E290" i="64"/>
  <c r="G289" i="64"/>
  <c r="E289" i="64"/>
  <c r="G288" i="64"/>
  <c r="E288" i="64"/>
  <c r="G287" i="64"/>
  <c r="E287" i="64"/>
  <c r="G286" i="64"/>
  <c r="E286" i="64"/>
  <c r="G285" i="64"/>
  <c r="E285" i="64"/>
  <c r="G284" i="64"/>
  <c r="E284" i="64"/>
  <c r="G283" i="64"/>
  <c r="E283" i="64"/>
  <c r="G282" i="64"/>
  <c r="E282" i="64"/>
  <c r="G281" i="64"/>
  <c r="E281" i="64"/>
  <c r="G280" i="64"/>
  <c r="E280" i="64"/>
  <c r="G279" i="64"/>
  <c r="E279" i="64"/>
  <c r="G278" i="64"/>
  <c r="E278" i="64"/>
  <c r="G277" i="64"/>
  <c r="E277" i="64"/>
  <c r="G276" i="64"/>
  <c r="E276" i="64"/>
  <c r="G275" i="64"/>
  <c r="E275" i="64"/>
  <c r="G274" i="64"/>
  <c r="E274" i="64"/>
  <c r="G273" i="64"/>
  <c r="E273" i="64"/>
  <c r="G272" i="64"/>
  <c r="E272" i="64"/>
  <c r="G271" i="64"/>
  <c r="E271" i="64"/>
  <c r="G270" i="64"/>
  <c r="E270" i="64"/>
  <c r="G269" i="64"/>
  <c r="E269" i="64"/>
  <c r="G268" i="64"/>
  <c r="E268" i="64"/>
  <c r="G267" i="64"/>
  <c r="E267" i="64"/>
  <c r="G266" i="64"/>
  <c r="E266" i="64"/>
  <c r="G265" i="64"/>
  <c r="E265" i="64"/>
  <c r="G264" i="64"/>
  <c r="E264" i="64"/>
  <c r="G263" i="64"/>
  <c r="E263" i="64"/>
  <c r="G262" i="64"/>
  <c r="E262" i="64"/>
  <c r="G261" i="64"/>
  <c r="E261" i="64"/>
  <c r="G260" i="64"/>
  <c r="E260" i="64"/>
  <c r="G259" i="64"/>
  <c r="E259" i="64"/>
  <c r="G258" i="64"/>
  <c r="E258" i="64"/>
  <c r="G257" i="64"/>
  <c r="E257" i="64"/>
  <c r="G256" i="64"/>
  <c r="E256" i="64"/>
  <c r="G255" i="64"/>
  <c r="E255" i="64"/>
  <c r="G254" i="64"/>
  <c r="E254" i="64"/>
  <c r="G253" i="64"/>
  <c r="E253" i="64"/>
  <c r="G252" i="64"/>
  <c r="E252" i="64"/>
  <c r="G251" i="64"/>
  <c r="E251" i="64"/>
  <c r="G250" i="64"/>
  <c r="E250" i="64"/>
  <c r="G249" i="64"/>
  <c r="E249" i="64"/>
  <c r="G248" i="64"/>
  <c r="E248" i="64"/>
  <c r="G247" i="64"/>
  <c r="E247" i="64"/>
  <c r="G246" i="64"/>
  <c r="E246" i="64"/>
  <c r="G245" i="64"/>
  <c r="E245" i="64"/>
  <c r="G244" i="64"/>
  <c r="E244" i="64"/>
  <c r="G243" i="64"/>
  <c r="E243" i="64"/>
  <c r="G242" i="64"/>
  <c r="E242" i="64"/>
  <c r="G241" i="64"/>
  <c r="E241" i="64"/>
  <c r="G240" i="64"/>
  <c r="E240" i="64"/>
  <c r="G239" i="64"/>
  <c r="E239" i="64"/>
  <c r="G238" i="64"/>
  <c r="E238" i="64"/>
  <c r="G237" i="64"/>
  <c r="E237" i="64"/>
  <c r="G236" i="64"/>
  <c r="E236" i="64"/>
  <c r="G235" i="64"/>
  <c r="E235" i="64"/>
  <c r="G234" i="64"/>
  <c r="E234" i="64"/>
  <c r="G233" i="64"/>
  <c r="E233" i="64"/>
  <c r="G232" i="64"/>
  <c r="E232" i="64"/>
  <c r="G231" i="64"/>
  <c r="E231" i="64"/>
  <c r="G230" i="64"/>
  <c r="E230" i="64"/>
  <c r="G229" i="64"/>
  <c r="E229" i="64"/>
  <c r="G228" i="64"/>
  <c r="E228" i="64"/>
  <c r="G227" i="64"/>
  <c r="E227" i="64"/>
  <c r="G226" i="64"/>
  <c r="E226" i="64"/>
  <c r="G225" i="64"/>
  <c r="E225" i="64"/>
  <c r="G224" i="64"/>
  <c r="E224" i="64"/>
  <c r="G223" i="64"/>
  <c r="E223" i="64"/>
  <c r="G222" i="64"/>
  <c r="E222" i="64"/>
  <c r="G221" i="64"/>
  <c r="E221" i="64"/>
  <c r="G220" i="64"/>
  <c r="E220" i="64"/>
  <c r="G219" i="64"/>
  <c r="E219" i="64"/>
  <c r="G218" i="64"/>
  <c r="E218" i="64"/>
  <c r="G217" i="64"/>
  <c r="E217" i="64"/>
  <c r="G216" i="64"/>
  <c r="E216" i="64"/>
  <c r="G215" i="64"/>
  <c r="E215" i="64"/>
  <c r="G214" i="64"/>
  <c r="E214" i="64"/>
  <c r="G213" i="64"/>
  <c r="E213" i="64"/>
  <c r="G212" i="64"/>
  <c r="E212" i="64"/>
  <c r="G211" i="64"/>
  <c r="E211" i="64"/>
  <c r="G210" i="64"/>
  <c r="E210" i="64"/>
  <c r="G209" i="64"/>
  <c r="E209" i="64"/>
  <c r="G208" i="64"/>
  <c r="E208" i="64"/>
  <c r="G207" i="64"/>
  <c r="E207" i="64"/>
  <c r="G206" i="64"/>
  <c r="E206" i="64"/>
  <c r="G205" i="64"/>
  <c r="E205" i="64"/>
  <c r="G204" i="64"/>
  <c r="E204" i="64"/>
  <c r="G203" i="64"/>
  <c r="E203" i="64"/>
  <c r="G202" i="64"/>
  <c r="E202" i="64"/>
  <c r="G201" i="64"/>
  <c r="E201" i="64"/>
  <c r="G200" i="64"/>
  <c r="E200" i="64"/>
  <c r="G199" i="64"/>
  <c r="E199" i="64"/>
  <c r="G198" i="64"/>
  <c r="E198" i="64"/>
  <c r="G197" i="64"/>
  <c r="E197" i="64"/>
  <c r="G196" i="64"/>
  <c r="E196" i="64"/>
  <c r="G195" i="64"/>
  <c r="E195" i="64"/>
  <c r="G194" i="64"/>
  <c r="E194" i="64"/>
  <c r="G193" i="64"/>
  <c r="E193" i="64"/>
  <c r="G192" i="64"/>
  <c r="E192" i="64"/>
  <c r="G191" i="64"/>
  <c r="E191" i="64"/>
  <c r="G190" i="64"/>
  <c r="E190" i="64"/>
  <c r="G189" i="64"/>
  <c r="E189" i="64"/>
  <c r="G188" i="64"/>
  <c r="E188" i="64"/>
  <c r="G187" i="64"/>
  <c r="E187" i="64"/>
  <c r="G186" i="64"/>
  <c r="E186" i="64"/>
  <c r="G185" i="64"/>
  <c r="E185" i="64"/>
  <c r="G184" i="64"/>
  <c r="E184" i="64"/>
  <c r="G183" i="64"/>
  <c r="E183" i="64"/>
  <c r="G182" i="64"/>
  <c r="E182" i="64"/>
  <c r="G181" i="64"/>
  <c r="E181" i="64"/>
  <c r="G180" i="64"/>
  <c r="E180" i="64"/>
  <c r="G179" i="64"/>
  <c r="E179" i="64"/>
  <c r="G178" i="64"/>
  <c r="E178" i="64"/>
  <c r="G177" i="64"/>
  <c r="E177" i="64"/>
  <c r="G176" i="64"/>
  <c r="E176" i="64"/>
  <c r="G175" i="64"/>
  <c r="E175" i="64"/>
  <c r="G174" i="64"/>
  <c r="E174" i="64"/>
  <c r="G173" i="64"/>
  <c r="E173" i="64"/>
  <c r="G172" i="64"/>
  <c r="E172" i="64"/>
  <c r="G171" i="64"/>
  <c r="E171" i="64"/>
  <c r="G170" i="64"/>
  <c r="E170" i="64"/>
  <c r="G169" i="64"/>
  <c r="E169" i="64"/>
  <c r="G168" i="64"/>
  <c r="E168" i="64"/>
  <c r="G167" i="64"/>
  <c r="E167" i="64"/>
  <c r="G166" i="64"/>
  <c r="E166" i="64"/>
  <c r="G165" i="64"/>
  <c r="E165" i="64"/>
  <c r="G164" i="64"/>
  <c r="E164" i="64"/>
  <c r="G163" i="64"/>
  <c r="E163" i="64"/>
  <c r="G162" i="64"/>
  <c r="E162" i="64"/>
  <c r="G161" i="64"/>
  <c r="E161" i="64"/>
  <c r="G160" i="64"/>
  <c r="E160" i="64"/>
  <c r="G159" i="64"/>
  <c r="E159" i="64"/>
  <c r="G158" i="64"/>
  <c r="E158" i="64"/>
  <c r="G157" i="64"/>
  <c r="E157" i="64"/>
  <c r="G156" i="64"/>
  <c r="E156" i="64"/>
  <c r="G155" i="64"/>
  <c r="E155" i="64"/>
  <c r="G154" i="64"/>
  <c r="E154" i="64"/>
  <c r="G153" i="64"/>
  <c r="E153" i="64"/>
  <c r="G152" i="64"/>
  <c r="E152" i="64"/>
  <c r="G151" i="64"/>
  <c r="E151" i="64"/>
  <c r="G150" i="64"/>
  <c r="E150" i="64"/>
  <c r="G149" i="64"/>
  <c r="E149" i="64"/>
  <c r="G148" i="64"/>
  <c r="E148" i="64"/>
  <c r="G147" i="64"/>
  <c r="E147" i="64"/>
  <c r="G146" i="64"/>
  <c r="E146" i="64"/>
  <c r="G145" i="64"/>
  <c r="E145" i="64"/>
  <c r="G144" i="64"/>
  <c r="E144" i="64"/>
  <c r="G143" i="64"/>
  <c r="E143" i="64"/>
  <c r="G142" i="64"/>
  <c r="E142" i="64"/>
  <c r="G141" i="64"/>
  <c r="E141" i="64"/>
  <c r="G140" i="64"/>
  <c r="E140" i="64"/>
  <c r="G139" i="64"/>
  <c r="E139" i="64"/>
  <c r="G138" i="64"/>
  <c r="E138" i="64"/>
  <c r="G137" i="64"/>
  <c r="E137" i="64"/>
  <c r="G136" i="64"/>
  <c r="E136" i="64"/>
  <c r="G135" i="64"/>
  <c r="E135" i="64"/>
  <c r="G134" i="64"/>
  <c r="E134" i="64"/>
  <c r="G133" i="64"/>
  <c r="E133" i="64"/>
  <c r="G132" i="64"/>
  <c r="E132" i="64"/>
  <c r="G131" i="64"/>
  <c r="E131" i="64"/>
  <c r="G130" i="64"/>
  <c r="E130" i="64"/>
  <c r="G129" i="64"/>
  <c r="E129" i="64"/>
  <c r="G128" i="64"/>
  <c r="E128" i="64"/>
  <c r="G127" i="64"/>
  <c r="E127" i="64"/>
  <c r="G126" i="64"/>
  <c r="E126" i="64"/>
  <c r="G125" i="64"/>
  <c r="E125" i="64"/>
  <c r="G124" i="64"/>
  <c r="E124" i="64"/>
  <c r="G123" i="64"/>
  <c r="E123" i="64"/>
  <c r="G122" i="64"/>
  <c r="E122" i="64"/>
  <c r="G121" i="64"/>
  <c r="E121" i="64"/>
  <c r="G120" i="64"/>
  <c r="E120" i="64"/>
  <c r="G119" i="64"/>
  <c r="E119" i="64"/>
  <c r="G118" i="64"/>
  <c r="E118" i="64"/>
  <c r="G117" i="64"/>
  <c r="E117" i="64"/>
  <c r="G116" i="64"/>
  <c r="E116" i="64"/>
  <c r="G115" i="64"/>
  <c r="E115" i="64"/>
  <c r="G114" i="64"/>
  <c r="E114" i="64"/>
  <c r="G113" i="64"/>
  <c r="E113" i="64"/>
  <c r="G112" i="64"/>
  <c r="E112" i="64"/>
  <c r="G111" i="64"/>
  <c r="E111" i="64"/>
  <c r="G110" i="64"/>
  <c r="E110" i="64"/>
  <c r="G109" i="64"/>
  <c r="E109" i="64"/>
  <c r="G108" i="64"/>
  <c r="E108" i="64"/>
  <c r="G107" i="64"/>
  <c r="E107" i="64"/>
  <c r="G106" i="64"/>
  <c r="E106" i="64"/>
  <c r="G105" i="64"/>
  <c r="E105" i="64"/>
  <c r="G104" i="64"/>
  <c r="E104" i="64"/>
  <c r="G103" i="64"/>
  <c r="E103" i="64"/>
  <c r="G102" i="64"/>
  <c r="E102" i="64"/>
  <c r="G101" i="64"/>
  <c r="E101" i="64"/>
  <c r="G100" i="64"/>
  <c r="E100" i="64"/>
  <c r="G99" i="64"/>
  <c r="E99" i="64"/>
  <c r="G98" i="64"/>
  <c r="E98" i="64"/>
  <c r="G97" i="64"/>
  <c r="E97" i="64"/>
  <c r="G96" i="64"/>
  <c r="E96" i="64"/>
  <c r="G95" i="64"/>
  <c r="E95" i="64"/>
  <c r="G94" i="64"/>
  <c r="E94" i="64"/>
  <c r="G93" i="64"/>
  <c r="E93" i="64"/>
  <c r="G92" i="64"/>
  <c r="E92" i="64"/>
  <c r="G91" i="64"/>
  <c r="E91" i="64"/>
  <c r="G90" i="64"/>
  <c r="E90" i="64"/>
  <c r="G89" i="64"/>
  <c r="E89" i="64"/>
  <c r="G88" i="64"/>
  <c r="E88" i="64"/>
  <c r="G87" i="64"/>
  <c r="E87" i="64"/>
  <c r="G86" i="64"/>
  <c r="E86" i="64"/>
  <c r="G85" i="64"/>
  <c r="E85" i="64"/>
  <c r="G84" i="64"/>
  <c r="E84" i="64"/>
  <c r="G83" i="64"/>
  <c r="E83" i="64"/>
  <c r="G82" i="64"/>
  <c r="E82" i="64"/>
  <c r="G81" i="64"/>
  <c r="E81" i="64"/>
  <c r="G80" i="64"/>
  <c r="E80" i="64"/>
  <c r="G79" i="64"/>
  <c r="E79" i="64"/>
  <c r="G78" i="64"/>
  <c r="E78" i="64"/>
  <c r="G77" i="64"/>
  <c r="E77" i="64"/>
  <c r="G76" i="64"/>
  <c r="E76" i="64"/>
  <c r="G75" i="64"/>
  <c r="E75" i="64"/>
  <c r="G74" i="64"/>
  <c r="E74" i="64"/>
  <c r="G73" i="64"/>
  <c r="E73" i="64"/>
  <c r="G72" i="64"/>
  <c r="E72" i="64"/>
  <c r="G71" i="64"/>
  <c r="E71" i="64"/>
  <c r="G70" i="64"/>
  <c r="E70" i="64"/>
  <c r="G69" i="64"/>
  <c r="E69" i="64"/>
  <c r="G68" i="64"/>
  <c r="E68" i="64"/>
  <c r="G67" i="64"/>
  <c r="E67" i="64"/>
  <c r="G66" i="64"/>
  <c r="E66" i="64"/>
  <c r="G65" i="64"/>
  <c r="E65" i="64"/>
  <c r="G64" i="64"/>
  <c r="E64" i="64"/>
  <c r="G63" i="64"/>
  <c r="E63" i="64"/>
  <c r="G62" i="64"/>
  <c r="E62" i="64"/>
  <c r="G61" i="64"/>
  <c r="E61" i="64"/>
  <c r="G60" i="64"/>
  <c r="E60" i="64"/>
  <c r="G59" i="64"/>
  <c r="E59" i="64"/>
  <c r="G58" i="64"/>
  <c r="E58" i="64"/>
  <c r="G57" i="64"/>
  <c r="E57" i="64"/>
  <c r="G56" i="64"/>
  <c r="E56" i="64"/>
  <c r="G55" i="64"/>
  <c r="E55" i="64"/>
  <c r="G54" i="64"/>
  <c r="E54" i="64"/>
  <c r="G53" i="64"/>
  <c r="E53" i="64"/>
  <c r="G52" i="64"/>
  <c r="E52" i="64"/>
  <c r="G51" i="64"/>
  <c r="E51" i="64"/>
  <c r="G50" i="64"/>
  <c r="E50" i="64"/>
  <c r="G49" i="64"/>
  <c r="E49" i="64"/>
  <c r="G48" i="64"/>
  <c r="E48" i="64"/>
  <c r="G47" i="64"/>
  <c r="E47" i="64"/>
  <c r="G46" i="64"/>
  <c r="E46" i="64"/>
  <c r="G45" i="64"/>
  <c r="E45" i="64"/>
  <c r="G44" i="64"/>
  <c r="E44" i="64"/>
  <c r="G43" i="64"/>
  <c r="E43" i="64"/>
  <c r="G42" i="64"/>
  <c r="E42" i="64"/>
  <c r="G41" i="64"/>
  <c r="E41" i="64"/>
  <c r="G40" i="64"/>
  <c r="E40" i="64"/>
  <c r="G39" i="64"/>
  <c r="E39" i="64"/>
  <c r="G38" i="64"/>
  <c r="E38" i="64"/>
  <c r="G37" i="64"/>
  <c r="E37" i="64"/>
  <c r="G36" i="64"/>
  <c r="E36" i="64"/>
  <c r="G35" i="64"/>
  <c r="E35" i="64"/>
  <c r="G34" i="64"/>
  <c r="E34" i="64"/>
  <c r="G33" i="64"/>
  <c r="E33" i="64"/>
  <c r="G32" i="64"/>
  <c r="E32" i="64"/>
  <c r="G31" i="64"/>
  <c r="E31" i="64"/>
  <c r="G30" i="64"/>
  <c r="E30" i="64"/>
  <c r="G29" i="64"/>
  <c r="E29" i="64"/>
  <c r="D210" i="63"/>
  <c r="E216" i="63"/>
  <c r="D176" i="63"/>
  <c r="D175" i="63"/>
  <c r="E213" i="63"/>
  <c r="D171" i="63"/>
  <c r="E210" i="63"/>
  <c r="D170" i="63"/>
  <c r="D136" i="63"/>
  <c r="D135" i="63"/>
  <c r="D134" i="63"/>
  <c r="D133" i="63"/>
  <c r="D132" i="63"/>
  <c r="D131" i="63"/>
  <c r="D130" i="63"/>
  <c r="B16" i="64" l="1"/>
  <c r="K9" i="56"/>
  <c r="L9" i="56" s="1"/>
  <c r="M9" i="56" s="1"/>
  <c r="K23" i="56"/>
  <c r="L23" i="56" s="1"/>
  <c r="M23" i="56" s="1"/>
  <c r="K15" i="56"/>
  <c r="L15" i="56" s="1"/>
  <c r="M15" i="56" s="1"/>
  <c r="K28" i="56"/>
  <c r="L28" i="56" s="1"/>
  <c r="M28" i="56" s="1"/>
  <c r="K20" i="56"/>
  <c r="L20" i="56" s="1"/>
  <c r="M20" i="56" s="1"/>
  <c r="K12" i="56"/>
  <c r="L12" i="56" s="1"/>
  <c r="M12" i="56" s="1"/>
  <c r="K27" i="56"/>
  <c r="L27" i="56" s="1"/>
  <c r="M27" i="56" s="1"/>
  <c r="K19" i="56"/>
  <c r="L19" i="56" s="1"/>
  <c r="M19" i="56" s="1"/>
  <c r="K11" i="56"/>
  <c r="L11" i="56" s="1"/>
  <c r="M11" i="56" s="1"/>
  <c r="K26" i="56"/>
  <c r="L26" i="56" s="1"/>
  <c r="M26" i="56" s="1"/>
  <c r="K18" i="56"/>
  <c r="L18" i="56" s="1"/>
  <c r="M18" i="56" s="1"/>
  <c r="K10" i="56"/>
  <c r="L10" i="56" s="1"/>
  <c r="M10" i="56" s="1"/>
  <c r="K24" i="56"/>
  <c r="L24" i="56" s="1"/>
  <c r="M24" i="56" s="1"/>
  <c r="K16" i="56"/>
  <c r="L16" i="56" s="1"/>
  <c r="M16" i="56" s="1"/>
  <c r="K8" i="56"/>
  <c r="L8" i="56" s="1"/>
  <c r="M8" i="56" s="1"/>
  <c r="K7" i="56"/>
  <c r="L7" i="56" s="1"/>
  <c r="M7" i="56" s="1"/>
  <c r="K22" i="56"/>
  <c r="L22" i="56" s="1"/>
  <c r="M22" i="56" s="1"/>
  <c r="K14" i="56"/>
  <c r="L14" i="56" s="1"/>
  <c r="M14" i="56" s="1"/>
  <c r="K29" i="56"/>
  <c r="L29" i="56" s="1"/>
  <c r="M29" i="56" s="1"/>
  <c r="K21" i="56"/>
  <c r="L21" i="56" s="1"/>
  <c r="M21" i="56" s="1"/>
  <c r="K13" i="56"/>
  <c r="L13" i="56" s="1"/>
  <c r="M13" i="56" s="1"/>
  <c r="D23" i="53"/>
  <c r="L54" i="55"/>
  <c r="I29" i="66"/>
  <c r="I30" i="66"/>
  <c r="B14" i="64"/>
  <c r="B18" i="64" s="1"/>
  <c r="E230" i="63"/>
  <c r="E218" i="63"/>
  <c r="E222" i="63"/>
  <c r="B170" i="63"/>
  <c r="B210" i="63" s="1"/>
  <c r="B133" i="63"/>
  <c r="C135" i="63"/>
  <c r="C131" i="63"/>
  <c r="B136" i="63"/>
  <c r="B132" i="63"/>
  <c r="C134" i="63"/>
  <c r="C130" i="63"/>
  <c r="F10" i="63" l="1"/>
  <c r="F14" i="63"/>
  <c r="F18" i="63"/>
  <c r="F22" i="63"/>
  <c r="F26" i="63"/>
  <c r="F30" i="63"/>
  <c r="F11" i="63"/>
  <c r="F16" i="63"/>
  <c r="F21" i="63"/>
  <c r="F27" i="63"/>
  <c r="F9" i="63"/>
  <c r="F12" i="63"/>
  <c r="F17" i="63"/>
  <c r="F23" i="63"/>
  <c r="F28" i="63"/>
  <c r="F13" i="63"/>
  <c r="F19" i="63"/>
  <c r="F24" i="63"/>
  <c r="F29" i="63"/>
  <c r="F20" i="63"/>
  <c r="F31" i="63"/>
  <c r="F15" i="63"/>
  <c r="F25" i="63"/>
  <c r="B172" i="63"/>
  <c r="B212" i="63" s="1"/>
  <c r="C171" i="63"/>
  <c r="C211" i="63" s="1"/>
  <c r="B173" i="63"/>
  <c r="B213" i="63" s="1"/>
  <c r="C174" i="63"/>
  <c r="C214" i="63" s="1"/>
  <c r="B176" i="63"/>
  <c r="B216" i="63" s="1"/>
  <c r="C175" i="63"/>
  <c r="C215" i="63" s="1"/>
  <c r="C170" i="63"/>
  <c r="C210" i="63" s="1"/>
  <c r="G25" i="63" l="1"/>
  <c r="H25" i="63" s="1"/>
  <c r="F65" i="63"/>
  <c r="G29" i="63"/>
  <c r="H29" i="63" s="1"/>
  <c r="F69" i="63"/>
  <c r="G28" i="63"/>
  <c r="H28" i="63" s="1"/>
  <c r="F68" i="63"/>
  <c r="G9" i="63"/>
  <c r="H9" i="63" s="1"/>
  <c r="F49" i="63"/>
  <c r="G11" i="63"/>
  <c r="H11" i="63" s="1"/>
  <c r="F51" i="63"/>
  <c r="G18" i="63"/>
  <c r="H18" i="63" s="1"/>
  <c r="F58" i="63"/>
  <c r="G31" i="63"/>
  <c r="H31" i="63" s="1"/>
  <c r="F71" i="63"/>
  <c r="G19" i="63"/>
  <c r="H19" i="63" s="1"/>
  <c r="F59" i="63"/>
  <c r="G17" i="63"/>
  <c r="H17" i="63" s="1"/>
  <c r="F57" i="63"/>
  <c r="G21" i="63"/>
  <c r="H21" i="63" s="1"/>
  <c r="F61" i="63"/>
  <c r="G26" i="63"/>
  <c r="H26" i="63" s="1"/>
  <c r="F66" i="63"/>
  <c r="F50" i="63"/>
  <c r="G10" i="63"/>
  <c r="H10" i="63" s="1"/>
  <c r="G20" i="63"/>
  <c r="H20" i="63" s="1"/>
  <c r="F60" i="63"/>
  <c r="G13" i="63"/>
  <c r="H13" i="63" s="1"/>
  <c r="F53" i="63"/>
  <c r="G12" i="63"/>
  <c r="H12" i="63" s="1"/>
  <c r="F52" i="63"/>
  <c r="G16" i="63"/>
  <c r="H16" i="63" s="1"/>
  <c r="F56" i="63"/>
  <c r="G22" i="63"/>
  <c r="H22" i="63" s="1"/>
  <c r="F62" i="63"/>
  <c r="G15" i="63"/>
  <c r="H15" i="63" s="1"/>
  <c r="F55" i="63"/>
  <c r="G24" i="63"/>
  <c r="H24" i="63" s="1"/>
  <c r="F64" i="63"/>
  <c r="G23" i="63"/>
  <c r="H23" i="63" s="1"/>
  <c r="F63" i="63"/>
  <c r="G27" i="63"/>
  <c r="H27" i="63" s="1"/>
  <c r="F67" i="63"/>
  <c r="G30" i="63"/>
  <c r="H30" i="63" s="1"/>
  <c r="F70" i="63"/>
  <c r="F54" i="63"/>
  <c r="G14" i="63"/>
  <c r="H14" i="63" s="1"/>
  <c r="H32" i="63" l="1"/>
  <c r="C16" i="53" s="1"/>
  <c r="G70" i="63"/>
  <c r="H70" i="63" s="1"/>
  <c r="F110" i="63"/>
  <c r="G63" i="63"/>
  <c r="H63" i="63" s="1"/>
  <c r="F103" i="63"/>
  <c r="G55" i="63"/>
  <c r="H55" i="63" s="1"/>
  <c r="F95" i="63"/>
  <c r="G56" i="63"/>
  <c r="H56" i="63" s="1"/>
  <c r="F96" i="63"/>
  <c r="G53" i="63"/>
  <c r="H53" i="63" s="1"/>
  <c r="F93" i="63"/>
  <c r="G59" i="63"/>
  <c r="H59" i="63" s="1"/>
  <c r="F99" i="63"/>
  <c r="G49" i="63"/>
  <c r="H49" i="63" s="1"/>
  <c r="F89" i="63"/>
  <c r="G67" i="63"/>
  <c r="H67" i="63" s="1"/>
  <c r="F107" i="63"/>
  <c r="G64" i="63"/>
  <c r="H64" i="63" s="1"/>
  <c r="F104" i="63"/>
  <c r="G62" i="63"/>
  <c r="H62" i="63" s="1"/>
  <c r="F102" i="63"/>
  <c r="G52" i="63"/>
  <c r="H52" i="63" s="1"/>
  <c r="F92" i="63"/>
  <c r="G60" i="63"/>
  <c r="H60" i="63" s="1"/>
  <c r="F100" i="63"/>
  <c r="G66" i="63"/>
  <c r="H66" i="63" s="1"/>
  <c r="F106" i="63"/>
  <c r="G57" i="63"/>
  <c r="H57" i="63" s="1"/>
  <c r="F97" i="63"/>
  <c r="G71" i="63"/>
  <c r="H71" i="63" s="1"/>
  <c r="F111" i="63"/>
  <c r="G51" i="63"/>
  <c r="H51" i="63" s="1"/>
  <c r="F91" i="63"/>
  <c r="G68" i="63"/>
  <c r="H68" i="63" s="1"/>
  <c r="F108" i="63"/>
  <c r="G65" i="63"/>
  <c r="H65" i="63" s="1"/>
  <c r="F105" i="63"/>
  <c r="G61" i="63"/>
  <c r="H61" i="63" s="1"/>
  <c r="F101" i="63"/>
  <c r="G58" i="63"/>
  <c r="H58" i="63" s="1"/>
  <c r="F98" i="63"/>
  <c r="G69" i="63"/>
  <c r="H69" i="63" s="1"/>
  <c r="F109" i="63"/>
  <c r="G50" i="63"/>
  <c r="H50" i="63" s="1"/>
  <c r="F90" i="63"/>
  <c r="G54" i="63"/>
  <c r="H54" i="63" s="1"/>
  <c r="F94" i="63"/>
  <c r="F140" i="63" l="1"/>
  <c r="G99" i="63"/>
  <c r="H99" i="63" s="1"/>
  <c r="G96" i="63"/>
  <c r="H96" i="63" s="1"/>
  <c r="F137" i="63"/>
  <c r="F144" i="63"/>
  <c r="G103" i="63"/>
  <c r="H103" i="63" s="1"/>
  <c r="F135" i="63"/>
  <c r="G94" i="63"/>
  <c r="H94" i="63" s="1"/>
  <c r="F150" i="63"/>
  <c r="G109" i="63"/>
  <c r="H109" i="63" s="1"/>
  <c r="G101" i="63"/>
  <c r="H101" i="63" s="1"/>
  <c r="F142" i="63"/>
  <c r="F149" i="63"/>
  <c r="G108" i="63"/>
  <c r="H108" i="63" s="1"/>
  <c r="F152" i="63"/>
  <c r="G111" i="63"/>
  <c r="H111" i="63" s="1"/>
  <c r="G106" i="63"/>
  <c r="H106" i="63" s="1"/>
  <c r="F147" i="63"/>
  <c r="F133" i="63"/>
  <c r="G92" i="63"/>
  <c r="H92" i="63" s="1"/>
  <c r="F145" i="63"/>
  <c r="G104" i="63"/>
  <c r="H104" i="63" s="1"/>
  <c r="G89" i="63"/>
  <c r="H89" i="63" s="1"/>
  <c r="F130" i="63"/>
  <c r="F134" i="63"/>
  <c r="G93" i="63"/>
  <c r="H93" i="63" s="1"/>
  <c r="F136" i="63"/>
  <c r="G95" i="63"/>
  <c r="H95" i="63" s="1"/>
  <c r="G110" i="63"/>
  <c r="H110" i="63" s="1"/>
  <c r="F151" i="63"/>
  <c r="F131" i="63"/>
  <c r="G90" i="63"/>
  <c r="H90" i="63" s="1"/>
  <c r="G98" i="63"/>
  <c r="H98" i="63" s="1"/>
  <c r="F139" i="63"/>
  <c r="F146" i="63"/>
  <c r="G105" i="63"/>
  <c r="H105" i="63" s="1"/>
  <c r="F132" i="63"/>
  <c r="G91" i="63"/>
  <c r="H91" i="63" s="1"/>
  <c r="F138" i="63"/>
  <c r="G97" i="63"/>
  <c r="H97" i="63" s="1"/>
  <c r="F141" i="63"/>
  <c r="G100" i="63"/>
  <c r="H100" i="63" s="1"/>
  <c r="G102" i="63"/>
  <c r="H102" i="63" s="1"/>
  <c r="F143" i="63"/>
  <c r="F148" i="63"/>
  <c r="G107" i="63"/>
  <c r="H107" i="63" s="1"/>
  <c r="H72" i="63"/>
  <c r="D16" i="53" s="1"/>
  <c r="F179" i="63" l="1"/>
  <c r="G139" i="63"/>
  <c r="H139" i="63" s="1"/>
  <c r="F191" i="63"/>
  <c r="G151" i="63"/>
  <c r="H151" i="63" s="1"/>
  <c r="F187" i="63"/>
  <c r="G147" i="63"/>
  <c r="H147" i="63" s="1"/>
  <c r="F183" i="63"/>
  <c r="G143" i="63"/>
  <c r="H143" i="63" s="1"/>
  <c r="F170" i="63"/>
  <c r="G130" i="63"/>
  <c r="H130" i="63" s="1"/>
  <c r="F182" i="63"/>
  <c r="G142" i="63"/>
  <c r="H142" i="63" s="1"/>
  <c r="F177" i="63"/>
  <c r="G137" i="63"/>
  <c r="H137" i="63" s="1"/>
  <c r="F178" i="63"/>
  <c r="G138" i="63"/>
  <c r="H138" i="63" s="1"/>
  <c r="F186" i="63"/>
  <c r="G146" i="63"/>
  <c r="H146" i="63" s="1"/>
  <c r="F171" i="63"/>
  <c r="G131" i="63"/>
  <c r="H131" i="63" s="1"/>
  <c r="F176" i="63"/>
  <c r="G136" i="63"/>
  <c r="H136" i="63" s="1"/>
  <c r="H112" i="63"/>
  <c r="E16" i="53" s="1"/>
  <c r="F173" i="63"/>
  <c r="G133" i="63"/>
  <c r="H133" i="63" s="1"/>
  <c r="F192" i="63"/>
  <c r="G152" i="63"/>
  <c r="H152" i="63" s="1"/>
  <c r="F175" i="63"/>
  <c r="G135" i="63"/>
  <c r="H135" i="63" s="1"/>
  <c r="F188" i="63"/>
  <c r="G148" i="63"/>
  <c r="H148" i="63" s="1"/>
  <c r="G141" i="63"/>
  <c r="H141" i="63" s="1"/>
  <c r="F181" i="63"/>
  <c r="F172" i="63"/>
  <c r="G132" i="63"/>
  <c r="H132" i="63" s="1"/>
  <c r="F174" i="63"/>
  <c r="G134" i="63"/>
  <c r="H134" i="63" s="1"/>
  <c r="F185" i="63"/>
  <c r="G145" i="63"/>
  <c r="H145" i="63" s="1"/>
  <c r="G149" i="63"/>
  <c r="H149" i="63" s="1"/>
  <c r="F189" i="63"/>
  <c r="F190" i="63"/>
  <c r="G150" i="63"/>
  <c r="H150" i="63" s="1"/>
  <c r="F184" i="63"/>
  <c r="G144" i="63"/>
  <c r="H144" i="63" s="1"/>
  <c r="F180" i="63"/>
  <c r="G140" i="63"/>
  <c r="H140" i="63" s="1"/>
  <c r="F214" i="63" l="1"/>
  <c r="G214" i="63" s="1"/>
  <c r="H214" i="63" s="1"/>
  <c r="G174" i="63"/>
  <c r="H174" i="63" s="1"/>
  <c r="F215" i="63"/>
  <c r="G215" i="63" s="1"/>
  <c r="H215" i="63" s="1"/>
  <c r="G175" i="63"/>
  <c r="H175" i="63" s="1"/>
  <c r="F213" i="63"/>
  <c r="G213" i="63" s="1"/>
  <c r="H213" i="63" s="1"/>
  <c r="G173" i="63"/>
  <c r="H173" i="63" s="1"/>
  <c r="F218" i="63"/>
  <c r="G218" i="63" s="1"/>
  <c r="H218" i="63" s="1"/>
  <c r="G178" i="63"/>
  <c r="H178" i="63" s="1"/>
  <c r="F223" i="63"/>
  <c r="G223" i="63" s="1"/>
  <c r="H223" i="63" s="1"/>
  <c r="G183" i="63"/>
  <c r="H183" i="63" s="1"/>
  <c r="F225" i="63"/>
  <c r="G225" i="63" s="1"/>
  <c r="H225" i="63" s="1"/>
  <c r="G185" i="63"/>
  <c r="H185" i="63" s="1"/>
  <c r="F228" i="63"/>
  <c r="G228" i="63" s="1"/>
  <c r="H228" i="63" s="1"/>
  <c r="G188" i="63"/>
  <c r="H188" i="63" s="1"/>
  <c r="F224" i="63"/>
  <c r="G224" i="63" s="1"/>
  <c r="H224" i="63" s="1"/>
  <c r="G184" i="63"/>
  <c r="H184" i="63" s="1"/>
  <c r="F211" i="63"/>
  <c r="G211" i="63" s="1"/>
  <c r="H211" i="63" s="1"/>
  <c r="G171" i="63"/>
  <c r="H171" i="63" s="1"/>
  <c r="F222" i="63"/>
  <c r="G222" i="63" s="1"/>
  <c r="H222" i="63" s="1"/>
  <c r="G182" i="63"/>
  <c r="H182" i="63" s="1"/>
  <c r="F231" i="63"/>
  <c r="G231" i="63" s="1"/>
  <c r="H231" i="63" s="1"/>
  <c r="G191" i="63"/>
  <c r="H191" i="63" s="1"/>
  <c r="F220" i="63"/>
  <c r="G220" i="63" s="1"/>
  <c r="H220" i="63" s="1"/>
  <c r="G180" i="63"/>
  <c r="H180" i="63" s="1"/>
  <c r="F230" i="63"/>
  <c r="G230" i="63" s="1"/>
  <c r="H230" i="63" s="1"/>
  <c r="G190" i="63"/>
  <c r="H190" i="63" s="1"/>
  <c r="F212" i="63"/>
  <c r="G212" i="63" s="1"/>
  <c r="H212" i="63" s="1"/>
  <c r="G172" i="63"/>
  <c r="H172" i="63" s="1"/>
  <c r="F232" i="63"/>
  <c r="G232" i="63" s="1"/>
  <c r="H232" i="63" s="1"/>
  <c r="G192" i="63"/>
  <c r="H192" i="63" s="1"/>
  <c r="F229" i="63"/>
  <c r="G229" i="63" s="1"/>
  <c r="H229" i="63" s="1"/>
  <c r="G189" i="63"/>
  <c r="H189" i="63" s="1"/>
  <c r="H153" i="63"/>
  <c r="C17" i="53" s="1"/>
  <c r="F221" i="63"/>
  <c r="G221" i="63" s="1"/>
  <c r="H221" i="63" s="1"/>
  <c r="G181" i="63"/>
  <c r="H181" i="63" s="1"/>
  <c r="F216" i="63"/>
  <c r="G216" i="63" s="1"/>
  <c r="H216" i="63" s="1"/>
  <c r="G176" i="63"/>
  <c r="H176" i="63" s="1"/>
  <c r="F226" i="63"/>
  <c r="G226" i="63" s="1"/>
  <c r="H226" i="63" s="1"/>
  <c r="G186" i="63"/>
  <c r="H186" i="63" s="1"/>
  <c r="F217" i="63"/>
  <c r="G217" i="63" s="1"/>
  <c r="H217" i="63" s="1"/>
  <c r="G177" i="63"/>
  <c r="H177" i="63" s="1"/>
  <c r="F210" i="63"/>
  <c r="G210" i="63" s="1"/>
  <c r="H210" i="63" s="1"/>
  <c r="G170" i="63"/>
  <c r="H170" i="63" s="1"/>
  <c r="F227" i="63"/>
  <c r="G227" i="63" s="1"/>
  <c r="H227" i="63" s="1"/>
  <c r="G187" i="63"/>
  <c r="H187" i="63" s="1"/>
  <c r="F219" i="63"/>
  <c r="G219" i="63" s="1"/>
  <c r="H219" i="63" s="1"/>
  <c r="G179" i="63"/>
  <c r="H179" i="63" s="1"/>
  <c r="H233" i="63" l="1"/>
  <c r="E17" i="53" s="1"/>
  <c r="H193" i="63"/>
  <c r="D17" i="53" s="1"/>
  <c r="J8" i="53" l="1"/>
  <c r="J7" i="53"/>
  <c r="E19" i="20"/>
  <c r="K19" i="20" s="1"/>
  <c r="O19" i="20" s="1"/>
  <c r="J19" i="20"/>
  <c r="G31" i="20"/>
  <c r="H31" i="20"/>
  <c r="I31" i="20"/>
  <c r="J14" i="20"/>
  <c r="J15" i="20"/>
  <c r="J16" i="20"/>
  <c r="J17" i="20"/>
  <c r="J18" i="20"/>
  <c r="J20" i="20"/>
  <c r="J21" i="20"/>
  <c r="J22" i="20"/>
  <c r="J23" i="20"/>
  <c r="J24" i="20"/>
  <c r="J25" i="20"/>
  <c r="J26" i="20"/>
  <c r="J27" i="20"/>
  <c r="J28" i="20"/>
  <c r="J29" i="20"/>
  <c r="E14" i="20"/>
  <c r="M14" i="20" s="1"/>
  <c r="Q14" i="20" s="1"/>
  <c r="E15" i="20"/>
  <c r="E16" i="20"/>
  <c r="M16" i="20" s="1"/>
  <c r="Q16" i="20" s="1"/>
  <c r="E17" i="20"/>
  <c r="M17" i="20" s="1"/>
  <c r="Q17" i="20" s="1"/>
  <c r="E18" i="20"/>
  <c r="E20" i="20"/>
  <c r="M20" i="20" s="1"/>
  <c r="Q20" i="20" s="1"/>
  <c r="E21" i="20"/>
  <c r="M21" i="20" s="1"/>
  <c r="Q21" i="20" s="1"/>
  <c r="E22" i="20"/>
  <c r="M22" i="20" s="1"/>
  <c r="Q22" i="20" s="1"/>
  <c r="E23" i="20"/>
  <c r="E24" i="20"/>
  <c r="M24" i="20" s="1"/>
  <c r="Q24" i="20" s="1"/>
  <c r="E25" i="20"/>
  <c r="M25" i="20" s="1"/>
  <c r="Q25" i="20" s="1"/>
  <c r="E26" i="20"/>
  <c r="M26" i="20" s="1"/>
  <c r="Q26" i="20" s="1"/>
  <c r="E27" i="20"/>
  <c r="E28" i="20"/>
  <c r="M28" i="20" s="1"/>
  <c r="Q28" i="20" s="1"/>
  <c r="E29" i="20"/>
  <c r="M29" i="20" s="1"/>
  <c r="Q29" i="20" s="1"/>
  <c r="I62" i="20"/>
  <c r="I110" i="20" s="1"/>
  <c r="I63" i="20"/>
  <c r="I111" i="20" s="1"/>
  <c r="I64" i="20"/>
  <c r="I112" i="20" s="1"/>
  <c r="I65" i="20"/>
  <c r="I113" i="20" s="1"/>
  <c r="I67" i="20"/>
  <c r="I115" i="20" s="1"/>
  <c r="I66" i="20"/>
  <c r="I114" i="20" s="1"/>
  <c r="I68" i="20"/>
  <c r="I116" i="20" s="1"/>
  <c r="I69" i="20"/>
  <c r="I117" i="20" s="1"/>
  <c r="I70" i="20"/>
  <c r="I118" i="20" s="1"/>
  <c r="I71" i="20"/>
  <c r="I119" i="20" s="1"/>
  <c r="I72" i="20"/>
  <c r="I120" i="20" s="1"/>
  <c r="I73" i="20"/>
  <c r="I121" i="20" s="1"/>
  <c r="I74" i="20"/>
  <c r="I122" i="20" s="1"/>
  <c r="I75" i="20"/>
  <c r="I123" i="20" s="1"/>
  <c r="I76" i="20"/>
  <c r="I124" i="20" s="1"/>
  <c r="I77" i="20"/>
  <c r="I125" i="20" s="1"/>
  <c r="H62" i="20"/>
  <c r="H110" i="20" s="1"/>
  <c r="H63" i="20"/>
  <c r="H111" i="20" s="1"/>
  <c r="H64" i="20"/>
  <c r="H112" i="20" s="1"/>
  <c r="H65" i="20"/>
  <c r="H113" i="20" s="1"/>
  <c r="H67" i="20"/>
  <c r="H115" i="20" s="1"/>
  <c r="H66" i="20"/>
  <c r="H114" i="20" s="1"/>
  <c r="H68" i="20"/>
  <c r="H116" i="20" s="1"/>
  <c r="H69" i="20"/>
  <c r="H117" i="20" s="1"/>
  <c r="H70" i="20"/>
  <c r="H118" i="20" s="1"/>
  <c r="H71" i="20"/>
  <c r="H119" i="20" s="1"/>
  <c r="H72" i="20"/>
  <c r="H120" i="20" s="1"/>
  <c r="H73" i="20"/>
  <c r="H121" i="20" s="1"/>
  <c r="H74" i="20"/>
  <c r="H122" i="20" s="1"/>
  <c r="H75" i="20"/>
  <c r="H123" i="20" s="1"/>
  <c r="H76" i="20"/>
  <c r="H124" i="20" s="1"/>
  <c r="H77" i="20"/>
  <c r="H125" i="20" s="1"/>
  <c r="G62" i="20"/>
  <c r="J62" i="20" s="1"/>
  <c r="G63" i="20"/>
  <c r="J63" i="20" s="1"/>
  <c r="G64" i="20"/>
  <c r="J64" i="20" s="1"/>
  <c r="G65" i="20"/>
  <c r="J65" i="20" s="1"/>
  <c r="G67" i="20"/>
  <c r="J67" i="20" s="1"/>
  <c r="G66" i="20"/>
  <c r="J66" i="20" s="1"/>
  <c r="G68" i="20"/>
  <c r="J68" i="20" s="1"/>
  <c r="G69" i="20"/>
  <c r="J69" i="20" s="1"/>
  <c r="G70" i="20"/>
  <c r="J70" i="20" s="1"/>
  <c r="G71" i="20"/>
  <c r="J71" i="20" s="1"/>
  <c r="G72" i="20"/>
  <c r="J72" i="20" s="1"/>
  <c r="G73" i="20"/>
  <c r="J73" i="20" s="1"/>
  <c r="G74" i="20"/>
  <c r="J74" i="20" s="1"/>
  <c r="G75" i="20"/>
  <c r="J75" i="20" s="1"/>
  <c r="G76" i="20"/>
  <c r="J76" i="20" s="1"/>
  <c r="G77" i="20"/>
  <c r="J77" i="20" s="1"/>
  <c r="C62" i="20"/>
  <c r="E62" i="20" s="1"/>
  <c r="M62" i="20" s="1"/>
  <c r="Q62" i="20" s="1"/>
  <c r="C63" i="20"/>
  <c r="E63" i="20" s="1"/>
  <c r="F63" i="20" s="1"/>
  <c r="L63" i="20" s="1"/>
  <c r="P63" i="20" s="1"/>
  <c r="C64" i="20"/>
  <c r="E64" i="20" s="1"/>
  <c r="C65" i="20"/>
  <c r="E65" i="20" s="1"/>
  <c r="M65" i="20" s="1"/>
  <c r="Q65" i="20" s="1"/>
  <c r="C67" i="20"/>
  <c r="E67" i="20" s="1"/>
  <c r="M67" i="20" s="1"/>
  <c r="Q67" i="20" s="1"/>
  <c r="C66" i="20"/>
  <c r="E66" i="20" s="1"/>
  <c r="M66" i="20" s="1"/>
  <c r="Q66" i="20" s="1"/>
  <c r="C68" i="20"/>
  <c r="E68" i="20" s="1"/>
  <c r="C69" i="20"/>
  <c r="E69" i="20" s="1"/>
  <c r="M69" i="20" s="1"/>
  <c r="Q69" i="20" s="1"/>
  <c r="C70" i="20"/>
  <c r="E70" i="20" s="1"/>
  <c r="M70" i="20" s="1"/>
  <c r="Q70" i="20" s="1"/>
  <c r="C71" i="20"/>
  <c r="E71" i="20" s="1"/>
  <c r="M71" i="20" s="1"/>
  <c r="Q71" i="20" s="1"/>
  <c r="C72" i="20"/>
  <c r="E72" i="20" s="1"/>
  <c r="C73" i="20"/>
  <c r="E73" i="20" s="1"/>
  <c r="M73" i="20" s="1"/>
  <c r="Q73" i="20" s="1"/>
  <c r="C74" i="20"/>
  <c r="E74" i="20" s="1"/>
  <c r="M74" i="20" s="1"/>
  <c r="Q74" i="20" s="1"/>
  <c r="C75" i="20"/>
  <c r="E75" i="20" s="1"/>
  <c r="F75" i="20" s="1"/>
  <c r="L75" i="20" s="1"/>
  <c r="P75" i="20" s="1"/>
  <c r="C76" i="20"/>
  <c r="E76" i="20" s="1"/>
  <c r="C77" i="20"/>
  <c r="E77" i="20" s="1"/>
  <c r="F77" i="20" s="1"/>
  <c r="L77" i="20" s="1"/>
  <c r="P77" i="20" s="1"/>
  <c r="M19" i="20" l="1"/>
  <c r="Q19" i="20" s="1"/>
  <c r="C118" i="20"/>
  <c r="E118" i="20" s="1"/>
  <c r="F19" i="20"/>
  <c r="L19" i="20" s="1"/>
  <c r="P19" i="20" s="1"/>
  <c r="C115" i="20"/>
  <c r="E115" i="20" s="1"/>
  <c r="C110" i="20"/>
  <c r="E110" i="20" s="1"/>
  <c r="C122" i="20"/>
  <c r="E122" i="20" s="1"/>
  <c r="G124" i="20"/>
  <c r="J124" i="20" s="1"/>
  <c r="G112" i="20"/>
  <c r="J112" i="20" s="1"/>
  <c r="F27" i="20"/>
  <c r="L27" i="20" s="1"/>
  <c r="P27" i="20" s="1"/>
  <c r="F23" i="20"/>
  <c r="L23" i="20" s="1"/>
  <c r="P23" i="20" s="1"/>
  <c r="C125" i="20"/>
  <c r="E125" i="20" s="1"/>
  <c r="C121" i="20"/>
  <c r="E121" i="20" s="1"/>
  <c r="C117" i="20"/>
  <c r="E117" i="20" s="1"/>
  <c r="C113" i="20"/>
  <c r="E113" i="20" s="1"/>
  <c r="G123" i="20"/>
  <c r="J123" i="20" s="1"/>
  <c r="G119" i="20"/>
  <c r="J119" i="20" s="1"/>
  <c r="G114" i="20"/>
  <c r="J114" i="20" s="1"/>
  <c r="G111" i="20"/>
  <c r="J111" i="20" s="1"/>
  <c r="G116" i="20"/>
  <c r="J116" i="20" s="1"/>
  <c r="C124" i="20"/>
  <c r="E124" i="20" s="1"/>
  <c r="C120" i="20"/>
  <c r="E120" i="20" s="1"/>
  <c r="C116" i="20"/>
  <c r="E116" i="20" s="1"/>
  <c r="C112" i="20"/>
  <c r="E112" i="20" s="1"/>
  <c r="G122" i="20"/>
  <c r="J122" i="20" s="1"/>
  <c r="G118" i="20"/>
  <c r="J118" i="20" s="1"/>
  <c r="G115" i="20"/>
  <c r="J115" i="20" s="1"/>
  <c r="G110" i="20"/>
  <c r="J110" i="20" s="1"/>
  <c r="G120" i="20"/>
  <c r="J120" i="20" s="1"/>
  <c r="C123" i="20"/>
  <c r="E123" i="20" s="1"/>
  <c r="C119" i="20"/>
  <c r="E119" i="20" s="1"/>
  <c r="C114" i="20"/>
  <c r="E114" i="20" s="1"/>
  <c r="C111" i="20"/>
  <c r="E111" i="20" s="1"/>
  <c r="G125" i="20"/>
  <c r="J125" i="20" s="1"/>
  <c r="G121" i="20"/>
  <c r="J121" i="20" s="1"/>
  <c r="G117" i="20"/>
  <c r="J117" i="20" s="1"/>
  <c r="G113" i="20"/>
  <c r="J113" i="20" s="1"/>
  <c r="K63" i="20"/>
  <c r="O63" i="20" s="1"/>
  <c r="F71" i="20"/>
  <c r="L71" i="20" s="1"/>
  <c r="P71" i="20" s="1"/>
  <c r="M63" i="20"/>
  <c r="Q63" i="20" s="1"/>
  <c r="K71" i="20"/>
  <c r="O71" i="20" s="1"/>
  <c r="K25" i="20"/>
  <c r="O25" i="20" s="1"/>
  <c r="M75" i="20"/>
  <c r="Q75" i="20" s="1"/>
  <c r="K75" i="20"/>
  <c r="O75" i="20" s="1"/>
  <c r="F66" i="20"/>
  <c r="L66" i="20" s="1"/>
  <c r="P66" i="20" s="1"/>
  <c r="K66" i="20"/>
  <c r="O66" i="20" s="1"/>
  <c r="F73" i="20"/>
  <c r="L73" i="20" s="1"/>
  <c r="P73" i="20" s="1"/>
  <c r="F25" i="20"/>
  <c r="L25" i="20" s="1"/>
  <c r="P25" i="20" s="1"/>
  <c r="M76" i="20"/>
  <c r="Q76" i="20" s="1"/>
  <c r="K76" i="20"/>
  <c r="O76" i="20" s="1"/>
  <c r="M68" i="20"/>
  <c r="Q68" i="20" s="1"/>
  <c r="K68" i="20"/>
  <c r="O68" i="20" s="1"/>
  <c r="F68" i="20"/>
  <c r="L68" i="20" s="1"/>
  <c r="P68" i="20" s="1"/>
  <c r="F76" i="20"/>
  <c r="L76" i="20" s="1"/>
  <c r="P76" i="20" s="1"/>
  <c r="F69" i="20"/>
  <c r="L69" i="20" s="1"/>
  <c r="P69" i="20" s="1"/>
  <c r="K77" i="20"/>
  <c r="O77" i="20" s="1"/>
  <c r="K69" i="20"/>
  <c r="O69" i="20" s="1"/>
  <c r="M77" i="20"/>
  <c r="Q77" i="20" s="1"/>
  <c r="F29" i="20"/>
  <c r="L29" i="20" s="1"/>
  <c r="P29" i="20" s="1"/>
  <c r="F21" i="20"/>
  <c r="L21" i="20" s="1"/>
  <c r="P21" i="20" s="1"/>
  <c r="K21" i="20"/>
  <c r="O21" i="20" s="1"/>
  <c r="M72" i="20"/>
  <c r="Q72" i="20" s="1"/>
  <c r="K72" i="20"/>
  <c r="O72" i="20" s="1"/>
  <c r="M64" i="20"/>
  <c r="Q64" i="20" s="1"/>
  <c r="K64" i="20"/>
  <c r="O64" i="20" s="1"/>
  <c r="F64" i="20"/>
  <c r="L64" i="20" s="1"/>
  <c r="P64" i="20" s="1"/>
  <c r="F17" i="20"/>
  <c r="L17" i="20" s="1"/>
  <c r="P17" i="20" s="1"/>
  <c r="K17" i="20"/>
  <c r="O17" i="20" s="1"/>
  <c r="F72" i="20"/>
  <c r="L72" i="20" s="1"/>
  <c r="P72" i="20" s="1"/>
  <c r="F65" i="20"/>
  <c r="L65" i="20" s="1"/>
  <c r="P65" i="20" s="1"/>
  <c r="K73" i="20"/>
  <c r="O73" i="20" s="1"/>
  <c r="K65" i="20"/>
  <c r="O65" i="20" s="1"/>
  <c r="M27" i="20"/>
  <c r="Q27" i="20" s="1"/>
  <c r="K27" i="20"/>
  <c r="O27" i="20" s="1"/>
  <c r="M23" i="20"/>
  <c r="Q23" i="20" s="1"/>
  <c r="K23" i="20"/>
  <c r="O23" i="20" s="1"/>
  <c r="M18" i="20"/>
  <c r="Q18" i="20" s="1"/>
  <c r="K18" i="20"/>
  <c r="O18" i="20" s="1"/>
  <c r="F18" i="20"/>
  <c r="L18" i="20" s="1"/>
  <c r="P18" i="20" s="1"/>
  <c r="M15" i="20"/>
  <c r="Q15" i="20" s="1"/>
  <c r="K15" i="20"/>
  <c r="O15" i="20" s="1"/>
  <c r="F15" i="20"/>
  <c r="L15" i="20" s="1"/>
  <c r="P15" i="20" s="1"/>
  <c r="K29" i="20"/>
  <c r="O29" i="20" s="1"/>
  <c r="F74" i="20"/>
  <c r="L74" i="20" s="1"/>
  <c r="P74" i="20" s="1"/>
  <c r="F70" i="20"/>
  <c r="L70" i="20" s="1"/>
  <c r="P70" i="20" s="1"/>
  <c r="F67" i="20"/>
  <c r="L67" i="20" s="1"/>
  <c r="P67" i="20" s="1"/>
  <c r="F62" i="20"/>
  <c r="L62" i="20" s="1"/>
  <c r="P62" i="20" s="1"/>
  <c r="K74" i="20"/>
  <c r="O74" i="20" s="1"/>
  <c r="K70" i="20"/>
  <c r="O70" i="20" s="1"/>
  <c r="K67" i="20"/>
  <c r="O67" i="20" s="1"/>
  <c r="K62" i="20"/>
  <c r="O62" i="20" s="1"/>
  <c r="F26" i="20"/>
  <c r="L26" i="20" s="1"/>
  <c r="P26" i="20" s="1"/>
  <c r="F22" i="20"/>
  <c r="L22" i="20" s="1"/>
  <c r="P22" i="20" s="1"/>
  <c r="F14" i="20"/>
  <c r="L14" i="20" s="1"/>
  <c r="P14" i="20" s="1"/>
  <c r="K26" i="20"/>
  <c r="O26" i="20" s="1"/>
  <c r="K22" i="20"/>
  <c r="O22" i="20" s="1"/>
  <c r="K14" i="20"/>
  <c r="O14" i="20" s="1"/>
  <c r="F28" i="20"/>
  <c r="L28" i="20" s="1"/>
  <c r="P28" i="20" s="1"/>
  <c r="F24" i="20"/>
  <c r="L24" i="20" s="1"/>
  <c r="P24" i="20" s="1"/>
  <c r="F20" i="20"/>
  <c r="L20" i="20" s="1"/>
  <c r="P20" i="20" s="1"/>
  <c r="F16" i="20"/>
  <c r="L16" i="20" s="1"/>
  <c r="P16" i="20" s="1"/>
  <c r="K28" i="20"/>
  <c r="O28" i="20" s="1"/>
  <c r="K24" i="20"/>
  <c r="O24" i="20" s="1"/>
  <c r="K20" i="20"/>
  <c r="O20" i="20" s="1"/>
  <c r="K16" i="20"/>
  <c r="O16" i="20" s="1"/>
  <c r="F110" i="20" l="1"/>
  <c r="M122" i="20"/>
  <c r="Q122" i="20" s="1"/>
  <c r="M123" i="20"/>
  <c r="Q123" i="20" s="1"/>
  <c r="K123" i="20"/>
  <c r="O123" i="20" s="1"/>
  <c r="F123" i="20"/>
  <c r="L123" i="20" s="1"/>
  <c r="P123" i="20" s="1"/>
  <c r="M120" i="20"/>
  <c r="Q120" i="20" s="1"/>
  <c r="F120" i="20"/>
  <c r="L120" i="20" s="1"/>
  <c r="P120" i="20" s="1"/>
  <c r="K120" i="20"/>
  <c r="O120" i="20" s="1"/>
  <c r="M117" i="20"/>
  <c r="Q117" i="20" s="1"/>
  <c r="K117" i="20"/>
  <c r="O117" i="20" s="1"/>
  <c r="F117" i="20"/>
  <c r="L117" i="20" s="1"/>
  <c r="P117" i="20" s="1"/>
  <c r="K110" i="20"/>
  <c r="O110" i="20" s="1"/>
  <c r="M115" i="20"/>
  <c r="Q115" i="20" s="1"/>
  <c r="F118" i="20"/>
  <c r="L118" i="20" s="1"/>
  <c r="P118" i="20" s="1"/>
  <c r="M113" i="20"/>
  <c r="Q113" i="20" s="1"/>
  <c r="K113" i="20"/>
  <c r="O113" i="20" s="1"/>
  <c r="F113" i="20"/>
  <c r="L113" i="20" s="1"/>
  <c r="P113" i="20" s="1"/>
  <c r="K115" i="20"/>
  <c r="O115" i="20" s="1"/>
  <c r="M111" i="20"/>
  <c r="Q111" i="20" s="1"/>
  <c r="K111" i="20"/>
  <c r="O111" i="20" s="1"/>
  <c r="F111" i="20"/>
  <c r="L111" i="20" s="1"/>
  <c r="P111" i="20" s="1"/>
  <c r="K124" i="20"/>
  <c r="O124" i="20" s="1"/>
  <c r="F124" i="20"/>
  <c r="L124" i="20" s="1"/>
  <c r="P124" i="20" s="1"/>
  <c r="M124" i="20"/>
  <c r="Q124" i="20" s="1"/>
  <c r="M121" i="20"/>
  <c r="Q121" i="20" s="1"/>
  <c r="K121" i="20"/>
  <c r="O121" i="20" s="1"/>
  <c r="F121" i="20"/>
  <c r="L121" i="20" s="1"/>
  <c r="P121" i="20" s="1"/>
  <c r="M110" i="20"/>
  <c r="Q110" i="20" s="1"/>
  <c r="F122" i="20"/>
  <c r="L122" i="20" s="1"/>
  <c r="P122" i="20" s="1"/>
  <c r="K118" i="20"/>
  <c r="O118" i="20" s="1"/>
  <c r="M119" i="20"/>
  <c r="Q119" i="20" s="1"/>
  <c r="K119" i="20"/>
  <c r="O119" i="20" s="1"/>
  <c r="F119" i="20"/>
  <c r="L119" i="20" s="1"/>
  <c r="P119" i="20" s="1"/>
  <c r="K116" i="20"/>
  <c r="O116" i="20" s="1"/>
  <c r="M116" i="20"/>
  <c r="Q116" i="20" s="1"/>
  <c r="F116" i="20"/>
  <c r="L116" i="20" s="1"/>
  <c r="P116" i="20" s="1"/>
  <c r="M114" i="20"/>
  <c r="Q114" i="20" s="1"/>
  <c r="K114" i="20"/>
  <c r="O114" i="20" s="1"/>
  <c r="F114" i="20"/>
  <c r="L114" i="20" s="1"/>
  <c r="P114" i="20" s="1"/>
  <c r="L110" i="20"/>
  <c r="P110" i="20" s="1"/>
  <c r="M112" i="20"/>
  <c r="Q112" i="20" s="1"/>
  <c r="K112" i="20"/>
  <c r="O112" i="20" s="1"/>
  <c r="F112" i="20"/>
  <c r="L112" i="20" s="1"/>
  <c r="P112" i="20" s="1"/>
  <c r="M125" i="20"/>
  <c r="Q125" i="20" s="1"/>
  <c r="K125" i="20"/>
  <c r="O125" i="20" s="1"/>
  <c r="F125" i="20"/>
  <c r="L125" i="20" s="1"/>
  <c r="P125" i="20" s="1"/>
  <c r="F115" i="20"/>
  <c r="L115" i="20" s="1"/>
  <c r="P115" i="20" s="1"/>
  <c r="K122" i="20"/>
  <c r="O122" i="20" s="1"/>
  <c r="M118" i="20"/>
  <c r="Q118" i="20" s="1"/>
  <c r="M32" i="56" l="1"/>
  <c r="E27" i="53" l="1"/>
  <c r="J11" i="53" s="1"/>
  <c r="M31" i="56"/>
  <c r="C27" i="53" l="1"/>
  <c r="J12" i="53" s="1"/>
  <c r="Q126" i="20"/>
  <c r="P126" i="20"/>
  <c r="O126" i="20"/>
  <c r="Q78" i="20" l="1"/>
  <c r="P78" i="20"/>
  <c r="O78" i="20"/>
  <c r="J10" i="53" l="1"/>
  <c r="C24" i="53" l="1"/>
  <c r="J9" i="53"/>
  <c r="G61" i="20"/>
  <c r="G60" i="20"/>
  <c r="G59" i="20"/>
  <c r="G58" i="20"/>
  <c r="G57" i="20"/>
  <c r="G56" i="20"/>
  <c r="G55" i="20"/>
  <c r="G79" i="20" l="1"/>
  <c r="C58" i="20"/>
  <c r="C106" i="20" s="1"/>
  <c r="I58" i="20"/>
  <c r="I106" i="20" s="1"/>
  <c r="H58" i="20"/>
  <c r="H106" i="20" s="1"/>
  <c r="G106" i="20"/>
  <c r="J10" i="20"/>
  <c r="E10" i="20"/>
  <c r="M10" i="20" s="1"/>
  <c r="Q10" i="20" s="1"/>
  <c r="K10" i="20" l="1"/>
  <c r="O10" i="20" s="1"/>
  <c r="E58" i="20"/>
  <c r="M58" i="20" s="1"/>
  <c r="Q58" i="20" s="1"/>
  <c r="J58" i="20"/>
  <c r="F10" i="20"/>
  <c r="L10" i="20" s="1"/>
  <c r="P10" i="20" s="1"/>
  <c r="K58" i="20" l="1"/>
  <c r="O58" i="20" s="1"/>
  <c r="F58" i="20"/>
  <c r="L58" i="20" s="1"/>
  <c r="P58" i="20" s="1"/>
  <c r="E7" i="20" l="1"/>
  <c r="J7" i="20"/>
  <c r="E8" i="20"/>
  <c r="K8" i="20" s="1"/>
  <c r="O8" i="20" s="1"/>
  <c r="J8" i="20"/>
  <c r="E9" i="20"/>
  <c r="K9" i="20" s="1"/>
  <c r="O9" i="20" s="1"/>
  <c r="J9" i="20"/>
  <c r="E11" i="20"/>
  <c r="K11" i="20" s="1"/>
  <c r="O11" i="20" s="1"/>
  <c r="J11" i="20"/>
  <c r="E12" i="20"/>
  <c r="K12" i="20" s="1"/>
  <c r="O12" i="20" s="1"/>
  <c r="J12" i="20"/>
  <c r="E13" i="20"/>
  <c r="K13" i="20" s="1"/>
  <c r="O13" i="20" s="1"/>
  <c r="J13" i="20"/>
  <c r="C55" i="20"/>
  <c r="C103" i="20" s="1"/>
  <c r="G103" i="20"/>
  <c r="H55" i="20"/>
  <c r="I55" i="20"/>
  <c r="C56" i="20"/>
  <c r="C104" i="20" s="1"/>
  <c r="G104" i="20"/>
  <c r="H56" i="20"/>
  <c r="H104" i="20" s="1"/>
  <c r="I56" i="20"/>
  <c r="I104" i="20" s="1"/>
  <c r="C57" i="20"/>
  <c r="C105" i="20" s="1"/>
  <c r="G105" i="20"/>
  <c r="H57" i="20"/>
  <c r="H105" i="20" s="1"/>
  <c r="I57" i="20"/>
  <c r="I105" i="20" s="1"/>
  <c r="C59" i="20"/>
  <c r="C107" i="20" s="1"/>
  <c r="G107" i="20"/>
  <c r="H59" i="20"/>
  <c r="H107" i="20" s="1"/>
  <c r="I59" i="20"/>
  <c r="I107" i="20" s="1"/>
  <c r="C60" i="20"/>
  <c r="C108" i="20" s="1"/>
  <c r="G108" i="20"/>
  <c r="H60" i="20"/>
  <c r="H108" i="20" s="1"/>
  <c r="I60" i="20"/>
  <c r="I108" i="20" s="1"/>
  <c r="C61" i="20"/>
  <c r="C109" i="20" s="1"/>
  <c r="G109" i="20"/>
  <c r="H61" i="20"/>
  <c r="I61" i="20"/>
  <c r="I109" i="20" s="1"/>
  <c r="J31" i="20" l="1"/>
  <c r="E31" i="20"/>
  <c r="G127" i="20"/>
  <c r="I79" i="20"/>
  <c r="H79" i="20"/>
  <c r="E103" i="20"/>
  <c r="E55" i="20"/>
  <c r="H103" i="20"/>
  <c r="J55" i="20"/>
  <c r="H109" i="20"/>
  <c r="J109" i="20" s="1"/>
  <c r="J61" i="20"/>
  <c r="I103" i="20"/>
  <c r="I127" i="20" s="1"/>
  <c r="K7" i="20"/>
  <c r="K31" i="20" s="1"/>
  <c r="E59" i="20"/>
  <c r="M59" i="20" s="1"/>
  <c r="Q59" i="20" s="1"/>
  <c r="E107" i="20"/>
  <c r="E61" i="20"/>
  <c r="M61" i="20" s="1"/>
  <c r="Q61" i="20" s="1"/>
  <c r="E109" i="20"/>
  <c r="E60" i="20"/>
  <c r="M60" i="20" s="1"/>
  <c r="Q60" i="20" s="1"/>
  <c r="E108" i="20"/>
  <c r="K108" i="20" s="1"/>
  <c r="O108" i="20" s="1"/>
  <c r="J107" i="20"/>
  <c r="E57" i="20"/>
  <c r="K57" i="20" s="1"/>
  <c r="O57" i="20" s="1"/>
  <c r="E106" i="20"/>
  <c r="J105" i="20"/>
  <c r="E56" i="20"/>
  <c r="M56" i="20" s="1"/>
  <c r="Q56" i="20" s="1"/>
  <c r="E105" i="20"/>
  <c r="J104" i="20"/>
  <c r="J108" i="20"/>
  <c r="J106" i="20"/>
  <c r="E104" i="20"/>
  <c r="J59" i="20"/>
  <c r="M7" i="20"/>
  <c r="M11" i="20"/>
  <c r="Q11" i="20" s="1"/>
  <c r="M13" i="20"/>
  <c r="Q13" i="20" s="1"/>
  <c r="M12" i="20"/>
  <c r="Q12" i="20" s="1"/>
  <c r="F12" i="20"/>
  <c r="L12" i="20" s="1"/>
  <c r="P12" i="20" s="1"/>
  <c r="M8" i="20"/>
  <c r="Q8" i="20" s="1"/>
  <c r="M9" i="20"/>
  <c r="Q9" i="20" s="1"/>
  <c r="F9" i="20"/>
  <c r="J60" i="20"/>
  <c r="J57" i="20"/>
  <c r="F7" i="20"/>
  <c r="J56" i="20"/>
  <c r="F13" i="20"/>
  <c r="L13" i="20" s="1"/>
  <c r="P13" i="20" s="1"/>
  <c r="F11" i="20"/>
  <c r="L11" i="20" s="1"/>
  <c r="P11" i="20" s="1"/>
  <c r="F8" i="20"/>
  <c r="L8" i="20" s="1"/>
  <c r="P8" i="20" s="1"/>
  <c r="E127" i="20" l="1"/>
  <c r="M31" i="20"/>
  <c r="H127" i="20"/>
  <c r="M55" i="20"/>
  <c r="E79" i="20"/>
  <c r="J79" i="20"/>
  <c r="L7" i="20"/>
  <c r="F31" i="20"/>
  <c r="M108" i="20"/>
  <c r="Q108" i="20" s="1"/>
  <c r="K109" i="20"/>
  <c r="O109" i="20" s="1"/>
  <c r="K55" i="20"/>
  <c r="J103" i="20"/>
  <c r="J127" i="20" s="1"/>
  <c r="F60" i="20"/>
  <c r="L60" i="20" s="1"/>
  <c r="P60" i="20" s="1"/>
  <c r="F55" i="20"/>
  <c r="M103" i="20"/>
  <c r="K103" i="20"/>
  <c r="K59" i="20"/>
  <c r="O59" i="20" s="1"/>
  <c r="K60" i="20"/>
  <c r="O60" i="20" s="1"/>
  <c r="K61" i="20"/>
  <c r="O61" i="20" s="1"/>
  <c r="K56" i="20"/>
  <c r="O56" i="20" s="1"/>
  <c r="Q7" i="20"/>
  <c r="Q31" i="20" s="1"/>
  <c r="E6" i="53" s="1"/>
  <c r="O7" i="20"/>
  <c r="O31" i="20" s="1"/>
  <c r="C6" i="53" s="1"/>
  <c r="L9" i="20"/>
  <c r="P9" i="20" s="1"/>
  <c r="F59" i="20"/>
  <c r="L59" i="20" s="1"/>
  <c r="P59" i="20" s="1"/>
  <c r="M57" i="20"/>
  <c r="Q57" i="20" s="1"/>
  <c r="F57" i="20"/>
  <c r="L57" i="20" s="1"/>
  <c r="P57" i="20" s="1"/>
  <c r="F61" i="20"/>
  <c r="F108" i="20"/>
  <c r="L108" i="20" s="1"/>
  <c r="P108" i="20" s="1"/>
  <c r="M109" i="20"/>
  <c r="Q109" i="20" s="1"/>
  <c r="M107" i="20"/>
  <c r="Q107" i="20" s="1"/>
  <c r="K107" i="20"/>
  <c r="O107" i="20" s="1"/>
  <c r="F107" i="20"/>
  <c r="L107" i="20" s="1"/>
  <c r="P107" i="20" s="1"/>
  <c r="K104" i="20"/>
  <c r="O104" i="20" s="1"/>
  <c r="M104" i="20"/>
  <c r="Q104" i="20" s="1"/>
  <c r="F104" i="20"/>
  <c r="L104" i="20" s="1"/>
  <c r="P104" i="20" s="1"/>
  <c r="M105" i="20"/>
  <c r="Q105" i="20" s="1"/>
  <c r="K105" i="20"/>
  <c r="O105" i="20" s="1"/>
  <c r="F105" i="20"/>
  <c r="L105" i="20" s="1"/>
  <c r="P105" i="20" s="1"/>
  <c r="F109" i="20"/>
  <c r="L109" i="20" s="1"/>
  <c r="P109" i="20" s="1"/>
  <c r="F106" i="20"/>
  <c r="L106" i="20" s="1"/>
  <c r="P106" i="20" s="1"/>
  <c r="M106" i="20"/>
  <c r="Q106" i="20" s="1"/>
  <c r="K106" i="20"/>
  <c r="O106" i="20" s="1"/>
  <c r="F56" i="20"/>
  <c r="K127" i="20" l="1"/>
  <c r="M127" i="20"/>
  <c r="M79" i="20"/>
  <c r="L31" i="20"/>
  <c r="Q55" i="20"/>
  <c r="Q79" i="20" s="1"/>
  <c r="E7" i="53" s="1"/>
  <c r="E9" i="53" s="1"/>
  <c r="L55" i="20"/>
  <c r="F79" i="20"/>
  <c r="O55" i="20"/>
  <c r="O79" i="20" s="1"/>
  <c r="C7" i="53" s="1"/>
  <c r="K79" i="20"/>
  <c r="P7" i="20"/>
  <c r="P31" i="20" s="1"/>
  <c r="D6" i="53" s="1"/>
  <c r="F103" i="20"/>
  <c r="Q103" i="20"/>
  <c r="Q127" i="20" s="1"/>
  <c r="E8" i="53" s="1"/>
  <c r="O103" i="20"/>
  <c r="O127" i="20" s="1"/>
  <c r="C8" i="53" s="1"/>
  <c r="L61" i="20"/>
  <c r="L56" i="20"/>
  <c r="C9" i="53" l="1"/>
  <c r="L79" i="20"/>
  <c r="P55" i="20"/>
  <c r="L103" i="20"/>
  <c r="L127" i="20" s="1"/>
  <c r="F127" i="20"/>
  <c r="J3" i="53"/>
  <c r="J4" i="53"/>
  <c r="P56" i="20"/>
  <c r="P61" i="20"/>
  <c r="P79" i="20" l="1"/>
  <c r="D7" i="53" s="1"/>
  <c r="P103" i="20"/>
  <c r="P127" i="20" s="1"/>
  <c r="D8" i="53" s="1"/>
  <c r="D9" i="53" l="1"/>
</calcChain>
</file>

<file path=xl/sharedStrings.xml><?xml version="1.0" encoding="utf-8"?>
<sst xmlns="http://schemas.openxmlformats.org/spreadsheetml/2006/main" count="3578" uniqueCount="1571">
  <si>
    <t>Company</t>
  </si>
  <si>
    <t>Ticker</t>
  </si>
  <si>
    <t>MEAN</t>
  </si>
  <si>
    <t>Total</t>
  </si>
  <si>
    <t>[1]</t>
  </si>
  <si>
    <t>[2]</t>
  </si>
  <si>
    <t>[3]</t>
  </si>
  <si>
    <t>[4]</t>
  </si>
  <si>
    <t>[5]</t>
  </si>
  <si>
    <t>[6]</t>
  </si>
  <si>
    <t>[7]</t>
  </si>
  <si>
    <t>[8]</t>
  </si>
  <si>
    <t>[9]</t>
  </si>
  <si>
    <t>[10]</t>
  </si>
  <si>
    <t>Annualized Dividend</t>
  </si>
  <si>
    <t>Stock Price</t>
  </si>
  <si>
    <t>Dividend Yield</t>
  </si>
  <si>
    <t>Expected Dividend Yield</t>
  </si>
  <si>
    <t>Notes</t>
  </si>
  <si>
    <t>[11]</t>
  </si>
  <si>
    <t>CAPM</t>
  </si>
  <si>
    <t>ATO</t>
  </si>
  <si>
    <t>Average Growth</t>
  </si>
  <si>
    <t>Notes:</t>
  </si>
  <si>
    <t>F</t>
  </si>
  <si>
    <t>MS</t>
  </si>
  <si>
    <t>30-Day Average</t>
  </si>
  <si>
    <t>90-Day Average</t>
  </si>
  <si>
    <t>Risk Premium</t>
  </si>
  <si>
    <t>AVERAGE</t>
  </si>
  <si>
    <t>SUMMARY OUTPUT</t>
  </si>
  <si>
    <t>Regression Statistics</t>
  </si>
  <si>
    <t>Multiple R</t>
  </si>
  <si>
    <t>R Square</t>
  </si>
  <si>
    <t>Adjusted R Square</t>
  </si>
  <si>
    <t>Standard Error</t>
  </si>
  <si>
    <t>Observations</t>
  </si>
  <si>
    <t>ANOVA</t>
  </si>
  <si>
    <t>df</t>
  </si>
  <si>
    <t>SS</t>
  </si>
  <si>
    <t>Significance F</t>
  </si>
  <si>
    <t>Regression</t>
  </si>
  <si>
    <t>Residual</t>
  </si>
  <si>
    <t>Coefficients</t>
  </si>
  <si>
    <t>t Stat</t>
  </si>
  <si>
    <t>P-value</t>
  </si>
  <si>
    <t>Lower 95%</t>
  </si>
  <si>
    <t>Upper 95%</t>
  </si>
  <si>
    <t>Intercept</t>
  </si>
  <si>
    <t>Risk</t>
  </si>
  <si>
    <t>Premium</t>
  </si>
  <si>
    <t>ROE</t>
  </si>
  <si>
    <t>[1] Source: Bloomberg Professional</t>
  </si>
  <si>
    <t>MEDIAN</t>
  </si>
  <si>
    <t>[3] Equals [1] / [2]</t>
  </si>
  <si>
    <t>Risk Premium Analysis</t>
  </si>
  <si>
    <t>Yahoo! Finance Earnings Growth</t>
  </si>
  <si>
    <t>Zacks Earnings Growth</t>
  </si>
  <si>
    <t>[4] Equals [3] x (1 + 0.50 x [8])</t>
  </si>
  <si>
    <t>[6] Source: Yahoo! Finance</t>
  </si>
  <si>
    <t>[7] Source: Zacks</t>
  </si>
  <si>
    <t>[8] Equals Average ([5], [6], [7])</t>
  </si>
  <si>
    <t>[9] Equals [3] x (1 + 0.50 x Minimum ([5], [6], [7]) + Minimum ([5], [6], [7])</t>
  </si>
  <si>
    <t>[10] Equals [4] + [8]</t>
  </si>
  <si>
    <t>[11] Equals [3] x (1 + 0.50 x Maximum ([5], [6], [7]) + Maximum ([5], [6], [7])</t>
  </si>
  <si>
    <t>Dividends</t>
  </si>
  <si>
    <t>Covered by More Than 1 Analyst</t>
  </si>
  <si>
    <t>Announced Merger</t>
  </si>
  <si>
    <t>BBB+</t>
  </si>
  <si>
    <t>A-</t>
  </si>
  <si>
    <t>A</t>
  </si>
  <si>
    <t>[3] Source: Yahoo! Finance and Zacks</t>
  </si>
  <si>
    <t>[4] Source: Yahoo! Finance, Value Line Investment Survey, and Zacks</t>
  </si>
  <si>
    <t>Lower 95.0%</t>
  </si>
  <si>
    <t>Upper 95.0%</t>
  </si>
  <si>
    <t>U.S. Govt.</t>
  </si>
  <si>
    <t>30-year</t>
  </si>
  <si>
    <t>Treasury</t>
  </si>
  <si>
    <t>[3] Equals Column [1] − Column [2]</t>
  </si>
  <si>
    <t>No</t>
  </si>
  <si>
    <t>S&amp;P Credit Rating Between BBB- and AAA</t>
  </si>
  <si>
    <t xml:space="preserve"> </t>
  </si>
  <si>
    <t>U.S. Govt. 30-year Treasury</t>
  </si>
  <si>
    <t>180-Day Average</t>
  </si>
  <si>
    <t>Treasury Yield Plus Risk Premium</t>
  </si>
  <si>
    <t>X</t>
  </si>
  <si>
    <t>Value Line Earnings Growth</t>
  </si>
  <si>
    <t>[5] Source: Value Line Investment Survey</t>
  </si>
  <si>
    <t>BBB</t>
  </si>
  <si>
    <t>1992.1</t>
  </si>
  <si>
    <t>1992.2</t>
  </si>
  <si>
    <t>1992.3</t>
  </si>
  <si>
    <t>1992.4</t>
  </si>
  <si>
    <t>1993.1</t>
  </si>
  <si>
    <t>1993.2</t>
  </si>
  <si>
    <t>1993.3</t>
  </si>
  <si>
    <t>1993.4</t>
  </si>
  <si>
    <t>1994.1</t>
  </si>
  <si>
    <t>1994.2</t>
  </si>
  <si>
    <t>1994.3</t>
  </si>
  <si>
    <t>1994.4</t>
  </si>
  <si>
    <t>1995.2</t>
  </si>
  <si>
    <t>1995.3</t>
  </si>
  <si>
    <t>1995.4</t>
  </si>
  <si>
    <t>1996.1</t>
  </si>
  <si>
    <t>1996.2</t>
  </si>
  <si>
    <t>1996.3</t>
  </si>
  <si>
    <t>1996.4</t>
  </si>
  <si>
    <t>1997.1</t>
  </si>
  <si>
    <t>1997.2</t>
  </si>
  <si>
    <t>1997.3</t>
  </si>
  <si>
    <t>1997.4</t>
  </si>
  <si>
    <t>1998.2</t>
  </si>
  <si>
    <t>1998.3</t>
  </si>
  <si>
    <t>1998.4</t>
  </si>
  <si>
    <t>1999.1</t>
  </si>
  <si>
    <t>1999.2</t>
  </si>
  <si>
    <t>1999.4</t>
  </si>
  <si>
    <t>2000.1</t>
  </si>
  <si>
    <t>2000.2</t>
  </si>
  <si>
    <t>2000.3</t>
  </si>
  <si>
    <t>2000.4</t>
  </si>
  <si>
    <t>2001.1</t>
  </si>
  <si>
    <t>2001.2</t>
  </si>
  <si>
    <t>2001.4</t>
  </si>
  <si>
    <t>2002.1</t>
  </si>
  <si>
    <t>2002.2</t>
  </si>
  <si>
    <t>2002.3</t>
  </si>
  <si>
    <t>2002.4</t>
  </si>
  <si>
    <t>2003.1</t>
  </si>
  <si>
    <t>2003.2</t>
  </si>
  <si>
    <t>2003.3</t>
  </si>
  <si>
    <t>2003.4</t>
  </si>
  <si>
    <t>2004.1</t>
  </si>
  <si>
    <t>2004.2</t>
  </si>
  <si>
    <t>2004.3</t>
  </si>
  <si>
    <t>2004.4</t>
  </si>
  <si>
    <t>2005.1</t>
  </si>
  <si>
    <t>2005.2</t>
  </si>
  <si>
    <t>2005.3</t>
  </si>
  <si>
    <t>2005.4</t>
  </si>
  <si>
    <t>2006.1</t>
  </si>
  <si>
    <t>[2] Source: Bloomberg Professional, quarterly bond yields are the average of each trading day in the quarter</t>
  </si>
  <si>
    <t>2006.2</t>
  </si>
  <si>
    <t>2006.3</t>
  </si>
  <si>
    <t>2006.4</t>
  </si>
  <si>
    <t>2007.1</t>
  </si>
  <si>
    <t>2007.2</t>
  </si>
  <si>
    <t>2007.3</t>
  </si>
  <si>
    <t>2007.4</t>
  </si>
  <si>
    <t>2008.1</t>
  </si>
  <si>
    <t>2008.2</t>
  </si>
  <si>
    <t>2008.3</t>
  </si>
  <si>
    <t>2008.4</t>
  </si>
  <si>
    <t>2009.1</t>
  </si>
  <si>
    <t>2009.2</t>
  </si>
  <si>
    <t>2009.3</t>
  </si>
  <si>
    <t>2009.4</t>
  </si>
  <si>
    <t>2010.1</t>
  </si>
  <si>
    <t>2010.2</t>
  </si>
  <si>
    <t>2010.3</t>
  </si>
  <si>
    <t>2010.4</t>
  </si>
  <si>
    <t>2011.1</t>
  </si>
  <si>
    <t>2011.2</t>
  </si>
  <si>
    <t>2011.3</t>
  </si>
  <si>
    <t>2011.4</t>
  </si>
  <si>
    <t>2012.1</t>
  </si>
  <si>
    <t>2012.2</t>
  </si>
  <si>
    <t>2012.3</t>
  </si>
  <si>
    <t>2012.4</t>
  </si>
  <si>
    <t>2013.1</t>
  </si>
  <si>
    <t>2013.2</t>
  </si>
  <si>
    <t>2013.3</t>
  </si>
  <si>
    <t>2013.4</t>
  </si>
  <si>
    <t>2014.1</t>
  </si>
  <si>
    <t>2014.2</t>
  </si>
  <si>
    <t>2014.3</t>
  </si>
  <si>
    <t>2014.4</t>
  </si>
  <si>
    <t>2015.1</t>
  </si>
  <si>
    <t>2015.2</t>
  </si>
  <si>
    <t>2015.3</t>
  </si>
  <si>
    <t>2015.4</t>
  </si>
  <si>
    <t>2016.1</t>
  </si>
  <si>
    <t>2016.2</t>
  </si>
  <si>
    <t>2016.3</t>
  </si>
  <si>
    <t>2016.4</t>
  </si>
  <si>
    <t>2017.1</t>
  </si>
  <si>
    <t>2017.2</t>
  </si>
  <si>
    <t>2017.3</t>
  </si>
  <si>
    <t>2017.4</t>
  </si>
  <si>
    <t>2018.1</t>
  </si>
  <si>
    <t>2018.2</t>
  </si>
  <si>
    <t>CAPITAL STRUCTURE ANALYSIS</t>
  </si>
  <si>
    <t>COMMON EQUITY RATIO [1]</t>
  </si>
  <si>
    <t>LONG-TERM DEBT RATIO [1]</t>
  </si>
  <si>
    <t>PREFERRED EQUITY RATIO [1]</t>
  </si>
  <si>
    <t>Proxy Group Company</t>
  </si>
  <si>
    <t>LOW</t>
  </si>
  <si>
    <t>HIGH</t>
  </si>
  <si>
    <t>COMMON EQUITY RATIO - UTILITY OPERATING COMPANIES [2]</t>
  </si>
  <si>
    <t>LONG-TERM DEBT RATIO - UTILITY OPERATING COMPANIES [2]</t>
  </si>
  <si>
    <t>PREFERRED EQUITY RATIO - UTILITY OPERATING COMPANIES [2]</t>
  </si>
  <si>
    <t>Company Name</t>
  </si>
  <si>
    <t>MARKET RISK PREMIUM DERIVED FROM ANALYSTS LONG-TERM GROWTH ESTIMATES</t>
  </si>
  <si>
    <t>STANDARD AND POOR'S 500 INDEX</t>
  </si>
  <si>
    <t>[14]</t>
  </si>
  <si>
    <t xml:space="preserve">Cap-Weighted </t>
  </si>
  <si>
    <t>Weight in</t>
  </si>
  <si>
    <t>Estimated</t>
  </si>
  <si>
    <t>Cap-Weighted</t>
  </si>
  <si>
    <t>Long-Term</t>
  </si>
  <si>
    <t>Name</t>
  </si>
  <si>
    <t>Index</t>
  </si>
  <si>
    <t>Growth Est.</t>
  </si>
  <si>
    <t>LyondellBasell Industries NV</t>
  </si>
  <si>
    <t>LYB</t>
  </si>
  <si>
    <t>American Express Co</t>
  </si>
  <si>
    <t>AXP</t>
  </si>
  <si>
    <t>Verizon Communications Inc</t>
  </si>
  <si>
    <t>VZ</t>
  </si>
  <si>
    <t>Broadcom Inc</t>
  </si>
  <si>
    <t>AVGO</t>
  </si>
  <si>
    <t>Boeing Co/The</t>
  </si>
  <si>
    <t>BA</t>
  </si>
  <si>
    <t>Caterpillar Inc</t>
  </si>
  <si>
    <t>CAT</t>
  </si>
  <si>
    <t>JPMorgan Chase &amp; Co</t>
  </si>
  <si>
    <t>JPM</t>
  </si>
  <si>
    <t>Chevron Corp</t>
  </si>
  <si>
    <t>CVX</t>
  </si>
  <si>
    <t>Coca-Cola Co/The</t>
  </si>
  <si>
    <t>KO</t>
  </si>
  <si>
    <t>AbbVie Inc</t>
  </si>
  <si>
    <t>ABBV</t>
  </si>
  <si>
    <t>Walt Disney Co/The</t>
  </si>
  <si>
    <t>DIS</t>
  </si>
  <si>
    <t>FleetCor Technologies Inc</t>
  </si>
  <si>
    <t>FLT</t>
  </si>
  <si>
    <t>Extra Space Storage Inc</t>
  </si>
  <si>
    <t>EXR</t>
  </si>
  <si>
    <t>Exxon Mobil Corp</t>
  </si>
  <si>
    <t>XOM</t>
  </si>
  <si>
    <t>Phillips 66</t>
  </si>
  <si>
    <t>PSX</t>
  </si>
  <si>
    <t>General Electric Co</t>
  </si>
  <si>
    <t>GE</t>
  </si>
  <si>
    <t>HP Inc</t>
  </si>
  <si>
    <t>HPQ</t>
  </si>
  <si>
    <t>Home Depot Inc/The</t>
  </si>
  <si>
    <t>HD</t>
  </si>
  <si>
    <t>International Business Machines Corp</t>
  </si>
  <si>
    <t>IBM</t>
  </si>
  <si>
    <t>Concho Resources Inc</t>
  </si>
  <si>
    <t>CXO</t>
  </si>
  <si>
    <t>Johnson &amp; Johnson</t>
  </si>
  <si>
    <t>JNJ</t>
  </si>
  <si>
    <t>McDonald's Corp</t>
  </si>
  <si>
    <t>MCD</t>
  </si>
  <si>
    <t>Merck &amp; Co Inc</t>
  </si>
  <si>
    <t>MRK</t>
  </si>
  <si>
    <t>3M Co</t>
  </si>
  <si>
    <t>MMM</t>
  </si>
  <si>
    <t>American Water Works Co Inc</t>
  </si>
  <si>
    <t>AWK</t>
  </si>
  <si>
    <t>Bank of America Corp</t>
  </si>
  <si>
    <t>BAC</t>
  </si>
  <si>
    <t>Baker Hughes a GE Co</t>
  </si>
  <si>
    <t>BHGE</t>
  </si>
  <si>
    <t>Pfizer Inc</t>
  </si>
  <si>
    <t>PFE</t>
  </si>
  <si>
    <t>Procter &amp; Gamble Co/The</t>
  </si>
  <si>
    <t>PG</t>
  </si>
  <si>
    <t>AT&amp;T Inc</t>
  </si>
  <si>
    <t>T</t>
  </si>
  <si>
    <t>Travelers Cos Inc/The</t>
  </si>
  <si>
    <t>TRV</t>
  </si>
  <si>
    <t>United Technologies Corp</t>
  </si>
  <si>
    <t>UTX</t>
  </si>
  <si>
    <t>Analog Devices Inc</t>
  </si>
  <si>
    <t>ADI</t>
  </si>
  <si>
    <t>Walmart Inc</t>
  </si>
  <si>
    <t>WMT</t>
  </si>
  <si>
    <t>Cisco Systems Inc</t>
  </si>
  <si>
    <t>CSCO</t>
  </si>
  <si>
    <t>Intel Corp</t>
  </si>
  <si>
    <t>INTC</t>
  </si>
  <si>
    <t>General Motors Co</t>
  </si>
  <si>
    <t>GM</t>
  </si>
  <si>
    <t>Microsoft Corp</t>
  </si>
  <si>
    <t>MSFT</t>
  </si>
  <si>
    <t>Dollar General Corp</t>
  </si>
  <si>
    <t>DG</t>
  </si>
  <si>
    <t>Kinder Morgan Inc/DE</t>
  </si>
  <si>
    <t>KMI</t>
  </si>
  <si>
    <t>Citigroup Inc</t>
  </si>
  <si>
    <t>C</t>
  </si>
  <si>
    <t>American International Group Inc</t>
  </si>
  <si>
    <t>AIG</t>
  </si>
  <si>
    <t>Honeywell International Inc</t>
  </si>
  <si>
    <t>HON</t>
  </si>
  <si>
    <t>Altria Group Inc</t>
  </si>
  <si>
    <t>MO</t>
  </si>
  <si>
    <t>HCA Healthcare Inc</t>
  </si>
  <si>
    <t>HCA</t>
  </si>
  <si>
    <t>Under Armour Inc</t>
  </si>
  <si>
    <t>UAA</t>
  </si>
  <si>
    <t>International Paper Co</t>
  </si>
  <si>
    <t>IP</t>
  </si>
  <si>
    <t>Hewlett Packard Enterprise Co</t>
  </si>
  <si>
    <t>HPE</t>
  </si>
  <si>
    <t>Abbott Laboratories</t>
  </si>
  <si>
    <t>ABT</t>
  </si>
  <si>
    <t>Aflac Inc</t>
  </si>
  <si>
    <t>AFL</t>
  </si>
  <si>
    <t>Air Products &amp; Chemicals Inc</t>
  </si>
  <si>
    <t>APD</t>
  </si>
  <si>
    <t>Royal Caribbean Cruises Ltd</t>
  </si>
  <si>
    <t>RCL</t>
  </si>
  <si>
    <t>American Electric Power Co Inc</t>
  </si>
  <si>
    <t>AEP</t>
  </si>
  <si>
    <t>Hess Corp</t>
  </si>
  <si>
    <t>HES</t>
  </si>
  <si>
    <t>Aon PLC</t>
  </si>
  <si>
    <t>AON</t>
  </si>
  <si>
    <t>Apache Corp</t>
  </si>
  <si>
    <t>APA</t>
  </si>
  <si>
    <t>Archer-Daniels-Midland Co</t>
  </si>
  <si>
    <t>ADM</t>
  </si>
  <si>
    <t>Automatic Data Processing Inc</t>
  </si>
  <si>
    <t>ADP</t>
  </si>
  <si>
    <t>Verisk Analytics Inc</t>
  </si>
  <si>
    <t>VRSK</t>
  </si>
  <si>
    <t>AutoZone Inc</t>
  </si>
  <si>
    <t>AZO</t>
  </si>
  <si>
    <t>Avery Dennison Corp</t>
  </si>
  <si>
    <t>AVY</t>
  </si>
  <si>
    <t>MSCI Inc</t>
  </si>
  <si>
    <t>MSCI</t>
  </si>
  <si>
    <t>Ball Corp</t>
  </si>
  <si>
    <t>BLL</t>
  </si>
  <si>
    <t>Bank of New York Mellon Corp/The</t>
  </si>
  <si>
    <t>BK</t>
  </si>
  <si>
    <t>Baxter International Inc</t>
  </si>
  <si>
    <t>BAX</t>
  </si>
  <si>
    <t>Becton Dickinson and Co</t>
  </si>
  <si>
    <t>BDX</t>
  </si>
  <si>
    <t>Berkshire Hathaway Inc</t>
  </si>
  <si>
    <t>BRK/B</t>
  </si>
  <si>
    <t>Best Buy Co Inc</t>
  </si>
  <si>
    <t>BBY</t>
  </si>
  <si>
    <t>H&amp;R Block Inc</t>
  </si>
  <si>
    <t>HRB</t>
  </si>
  <si>
    <t>Boston Scientific Corp</t>
  </si>
  <si>
    <t>BSX</t>
  </si>
  <si>
    <t>Bristol-Myers Squibb Co</t>
  </si>
  <si>
    <t>BMY</t>
  </si>
  <si>
    <t>Fortune Brands Home &amp; Security Inc</t>
  </si>
  <si>
    <t>FBHS</t>
  </si>
  <si>
    <t>Brown-Forman Corp</t>
  </si>
  <si>
    <t>BF/B</t>
  </si>
  <si>
    <t>Cabot Oil &amp; Gas Corp</t>
  </si>
  <si>
    <t>COG</t>
  </si>
  <si>
    <t>Campbell Soup Co</t>
  </si>
  <si>
    <t>CPB</t>
  </si>
  <si>
    <t>Kansas City Southern</t>
  </si>
  <si>
    <t>KSU</t>
  </si>
  <si>
    <t>Hilton Worldwide Holdings Inc</t>
  </si>
  <si>
    <t>HLT</t>
  </si>
  <si>
    <t>Carnival Corp</t>
  </si>
  <si>
    <t>CCL</t>
  </si>
  <si>
    <t>Qorvo Inc</t>
  </si>
  <si>
    <t>QRVO</t>
  </si>
  <si>
    <t>CenturyLink Inc</t>
  </si>
  <si>
    <t>CTL</t>
  </si>
  <si>
    <t>Cigna Corp</t>
  </si>
  <si>
    <t>CI</t>
  </si>
  <si>
    <t>UDR Inc</t>
  </si>
  <si>
    <t>UDR</t>
  </si>
  <si>
    <t>Clorox Co/The</t>
  </si>
  <si>
    <t>CLX</t>
  </si>
  <si>
    <t>CMS Energy Corp</t>
  </si>
  <si>
    <t>CMS</t>
  </si>
  <si>
    <t>Colgate-Palmolive Co</t>
  </si>
  <si>
    <t>CL</t>
  </si>
  <si>
    <t>Comerica Inc</t>
  </si>
  <si>
    <t>CMA</t>
  </si>
  <si>
    <t>IPG Photonics Corp</t>
  </si>
  <si>
    <t>IPGP</t>
  </si>
  <si>
    <t>Conagra Brands Inc</t>
  </si>
  <si>
    <t>CAG</t>
  </si>
  <si>
    <t>Consolidated Edison Inc</t>
  </si>
  <si>
    <t>ED</t>
  </si>
  <si>
    <t>SL Green Realty Corp</t>
  </si>
  <si>
    <t>SLG</t>
  </si>
  <si>
    <t>Corning Inc</t>
  </si>
  <si>
    <t>GLW</t>
  </si>
  <si>
    <t>Cummins Inc</t>
  </si>
  <si>
    <t>CMI</t>
  </si>
  <si>
    <t>Danaher Corp</t>
  </si>
  <si>
    <t>DHR</t>
  </si>
  <si>
    <t>Target Corp</t>
  </si>
  <si>
    <t>TGT</t>
  </si>
  <si>
    <t>Deere &amp; Co</t>
  </si>
  <si>
    <t>DE</t>
  </si>
  <si>
    <t>Dominion Energy Inc</t>
  </si>
  <si>
    <t>D</t>
  </si>
  <si>
    <t>Dover Corp</t>
  </si>
  <si>
    <t>DOV</t>
  </si>
  <si>
    <t>Duke Energy Corp</t>
  </si>
  <si>
    <t>DUK</t>
  </si>
  <si>
    <t>Regency Centers Corp</t>
  </si>
  <si>
    <t>REG</t>
  </si>
  <si>
    <t>Eaton Corp PLC</t>
  </si>
  <si>
    <t>ETN</t>
  </si>
  <si>
    <t>Ecolab Inc</t>
  </si>
  <si>
    <t>ECL</t>
  </si>
  <si>
    <t>PerkinElmer Inc</t>
  </si>
  <si>
    <t>PKI</t>
  </si>
  <si>
    <t>Emerson Electric Co</t>
  </si>
  <si>
    <t>EMR</t>
  </si>
  <si>
    <t>EOG Resources Inc</t>
  </si>
  <si>
    <t>EOG</t>
  </si>
  <si>
    <t>Entergy Corp</t>
  </si>
  <si>
    <t>ETR</t>
  </si>
  <si>
    <t>Equifax Inc</t>
  </si>
  <si>
    <t>EFX</t>
  </si>
  <si>
    <t>IQVIA Holdings Inc</t>
  </si>
  <si>
    <t>IQV</t>
  </si>
  <si>
    <t>Gartner Inc</t>
  </si>
  <si>
    <t>IT</t>
  </si>
  <si>
    <t>FedEx Corp</t>
  </si>
  <si>
    <t>FDX</t>
  </si>
  <si>
    <t>Macy's Inc</t>
  </si>
  <si>
    <t>M</t>
  </si>
  <si>
    <t>FMC Corp</t>
  </si>
  <si>
    <t>FMC</t>
  </si>
  <si>
    <t>Ford Motor Co</t>
  </si>
  <si>
    <t>NextEra Energy Inc</t>
  </si>
  <si>
    <t>NEE</t>
  </si>
  <si>
    <t>Franklin Resources Inc</t>
  </si>
  <si>
    <t>BEN</t>
  </si>
  <si>
    <t>Freeport-McMoRan Inc</t>
  </si>
  <si>
    <t>FCX</t>
  </si>
  <si>
    <t>Gap Inc/The</t>
  </si>
  <si>
    <t>GPS</t>
  </si>
  <si>
    <t>General Dynamics Corp</t>
  </si>
  <si>
    <t>GD</t>
  </si>
  <si>
    <t>General Mills Inc</t>
  </si>
  <si>
    <t>GIS</t>
  </si>
  <si>
    <t>Genuine Parts Co</t>
  </si>
  <si>
    <t>GPC</t>
  </si>
  <si>
    <t>WW Grainger Inc</t>
  </si>
  <si>
    <t>GWW</t>
  </si>
  <si>
    <t>Halliburton Co</t>
  </si>
  <si>
    <t>HAL</t>
  </si>
  <si>
    <t>Harley-Davidson Inc</t>
  </si>
  <si>
    <t>HOG</t>
  </si>
  <si>
    <t>HCP Inc</t>
  </si>
  <si>
    <t>HCP</t>
  </si>
  <si>
    <t>Helmerich &amp; Payne Inc</t>
  </si>
  <si>
    <t>HP</t>
  </si>
  <si>
    <t>Fortive Corp</t>
  </si>
  <si>
    <t>FTV</t>
  </si>
  <si>
    <t>Hershey Co/The</t>
  </si>
  <si>
    <t>HSY</t>
  </si>
  <si>
    <t>Synchrony Financial</t>
  </si>
  <si>
    <t>SYF</t>
  </si>
  <si>
    <t>Hormel Foods Corp</t>
  </si>
  <si>
    <t>HRL</t>
  </si>
  <si>
    <t>Arthur J Gallagher &amp; Co</t>
  </si>
  <si>
    <t>AJG</t>
  </si>
  <si>
    <t>Mondelez International Inc</t>
  </si>
  <si>
    <t>MDLZ</t>
  </si>
  <si>
    <t>CenterPoint Energy Inc</t>
  </si>
  <si>
    <t>CNP</t>
  </si>
  <si>
    <t>Humana Inc</t>
  </si>
  <si>
    <t>HUM</t>
  </si>
  <si>
    <t>Willis Towers Watson PLC</t>
  </si>
  <si>
    <t>WLTW</t>
  </si>
  <si>
    <t>Illinois Tool Works Inc</t>
  </si>
  <si>
    <t>ITW</t>
  </si>
  <si>
    <t>Ingersoll-Rand PLC</t>
  </si>
  <si>
    <t>IR</t>
  </si>
  <si>
    <t>Interpublic Group of Cos Inc/The</t>
  </si>
  <si>
    <t>IPG</t>
  </si>
  <si>
    <t>International Flavors &amp; Fragrances Inc</t>
  </si>
  <si>
    <t>IFF</t>
  </si>
  <si>
    <t>Jacobs Engineering Group Inc</t>
  </si>
  <si>
    <t>JEC</t>
  </si>
  <si>
    <t>Hanesbrands Inc</t>
  </si>
  <si>
    <t>HBI</t>
  </si>
  <si>
    <t>Kellogg Co</t>
  </si>
  <si>
    <t>K</t>
  </si>
  <si>
    <t>Broadridge Financial Solutions Inc</t>
  </si>
  <si>
    <t>BR</t>
  </si>
  <si>
    <t>Perrigo Co PLC</t>
  </si>
  <si>
    <t>PRGO</t>
  </si>
  <si>
    <t>Kimberly-Clark Corp</t>
  </si>
  <si>
    <t>KMB</t>
  </si>
  <si>
    <t>Kimco Realty Corp</t>
  </si>
  <si>
    <t>KIM</t>
  </si>
  <si>
    <t>Kohl's Corp</t>
  </si>
  <si>
    <t>KSS</t>
  </si>
  <si>
    <t>Oracle Corp</t>
  </si>
  <si>
    <t>ORCL</t>
  </si>
  <si>
    <t>Kroger Co/The</t>
  </si>
  <si>
    <t>KR</t>
  </si>
  <si>
    <t>Leggett &amp; Platt Inc</t>
  </si>
  <si>
    <t>LEG</t>
  </si>
  <si>
    <t>Lennar Corp</t>
  </si>
  <si>
    <t>LEN</t>
  </si>
  <si>
    <t>Eli Lilly &amp; Co</t>
  </si>
  <si>
    <t>LLY</t>
  </si>
  <si>
    <t>L Brands Inc</t>
  </si>
  <si>
    <t>LB</t>
  </si>
  <si>
    <t>Charter Communications Inc</t>
  </si>
  <si>
    <t>CHTR</t>
  </si>
  <si>
    <t>Lincoln National Corp</t>
  </si>
  <si>
    <t>LNC</t>
  </si>
  <si>
    <t>Loews Corp</t>
  </si>
  <si>
    <t>L</t>
  </si>
  <si>
    <t>Lowe's Cos Inc</t>
  </si>
  <si>
    <t>Host Hotels &amp; Resorts Inc</t>
  </si>
  <si>
    <t>HST</t>
  </si>
  <si>
    <t>Marsh &amp; McLennan Cos Inc</t>
  </si>
  <si>
    <t>MMC</t>
  </si>
  <si>
    <t>Masco Corp</t>
  </si>
  <si>
    <t>MAS</t>
  </si>
  <si>
    <t>S&amp;P Global Inc</t>
  </si>
  <si>
    <t>SPGI</t>
  </si>
  <si>
    <t>Medtronic PLC</t>
  </si>
  <si>
    <t>MDT</t>
  </si>
  <si>
    <t>CVS Health Corp</t>
  </si>
  <si>
    <t>CVS</t>
  </si>
  <si>
    <t>Micron Technology Inc</t>
  </si>
  <si>
    <t>MU</t>
  </si>
  <si>
    <t>Motorola Solutions Inc</t>
  </si>
  <si>
    <t>MSI</t>
  </si>
  <si>
    <t>Cboe Global Markets Inc</t>
  </si>
  <si>
    <t>CBOE</t>
  </si>
  <si>
    <t>Mylan NV</t>
  </si>
  <si>
    <t>MYL</t>
  </si>
  <si>
    <t>Laboratory Corp of America Holdings</t>
  </si>
  <si>
    <t>LH</t>
  </si>
  <si>
    <t>Newell Brands Inc</t>
  </si>
  <si>
    <t>NWL</t>
  </si>
  <si>
    <t>NEM</t>
  </si>
  <si>
    <t>FOXA</t>
  </si>
  <si>
    <t>NIKE Inc</t>
  </si>
  <si>
    <t>NKE</t>
  </si>
  <si>
    <t>NiSource Inc</t>
  </si>
  <si>
    <t>NI</t>
  </si>
  <si>
    <t>Noble Energy Inc</t>
  </si>
  <si>
    <t>NBL</t>
  </si>
  <si>
    <t>Norfolk Southern Corp</t>
  </si>
  <si>
    <t>NSC</t>
  </si>
  <si>
    <t>Principal Financial Group Inc</t>
  </si>
  <si>
    <t>PFG</t>
  </si>
  <si>
    <t>Eversource Energy</t>
  </si>
  <si>
    <t>ES</t>
  </si>
  <si>
    <t>Northrop Grumman Corp</t>
  </si>
  <si>
    <t>NOC</t>
  </si>
  <si>
    <t>Wells Fargo &amp; Co</t>
  </si>
  <si>
    <t>WFC</t>
  </si>
  <si>
    <t>Nucor Corp</t>
  </si>
  <si>
    <t>NUE</t>
  </si>
  <si>
    <t>PVH Corp</t>
  </si>
  <si>
    <t>PVH</t>
  </si>
  <si>
    <t>Occidental Petroleum Corp</t>
  </si>
  <si>
    <t>OXY</t>
  </si>
  <si>
    <t>Omnicom Group Inc</t>
  </si>
  <si>
    <t>OMC</t>
  </si>
  <si>
    <t>ONEOK Inc</t>
  </si>
  <si>
    <t>OKE</t>
  </si>
  <si>
    <t>Raymond James Financial Inc</t>
  </si>
  <si>
    <t>RJF</t>
  </si>
  <si>
    <t>Parker-Hannifin Corp</t>
  </si>
  <si>
    <t>PH</t>
  </si>
  <si>
    <t>Rollins Inc</t>
  </si>
  <si>
    <t>ROL</t>
  </si>
  <si>
    <t>PPL Corp</t>
  </si>
  <si>
    <t>PPL</t>
  </si>
  <si>
    <t>Exelon Corp</t>
  </si>
  <si>
    <t>EXC</t>
  </si>
  <si>
    <t>ConocoPhillips</t>
  </si>
  <si>
    <t>COP</t>
  </si>
  <si>
    <t>PulteGroup Inc</t>
  </si>
  <si>
    <t>PHM</t>
  </si>
  <si>
    <t>Pinnacle West Capital Corp</t>
  </si>
  <si>
    <t>PNW</t>
  </si>
  <si>
    <t>PNC Financial Services Group Inc/The</t>
  </si>
  <si>
    <t>PNC</t>
  </si>
  <si>
    <t>PPG Industries Inc</t>
  </si>
  <si>
    <t>PPG</t>
  </si>
  <si>
    <t>Progressive Corp/The</t>
  </si>
  <si>
    <t>PGR</t>
  </si>
  <si>
    <t>Public Service Enterprise Group Inc</t>
  </si>
  <si>
    <t>PEG</t>
  </si>
  <si>
    <t>Raytheon Co</t>
  </si>
  <si>
    <t>RTN</t>
  </si>
  <si>
    <t>Robert Half International Inc</t>
  </si>
  <si>
    <t>RHI</t>
  </si>
  <si>
    <t>Edison International</t>
  </si>
  <si>
    <t>EIX</t>
  </si>
  <si>
    <t>Schlumberger Ltd</t>
  </si>
  <si>
    <t>SLB</t>
  </si>
  <si>
    <t>Charles Schwab Corp/The</t>
  </si>
  <si>
    <t>SCHW</t>
  </si>
  <si>
    <t>Sherwin-Williams Co/The</t>
  </si>
  <si>
    <t>SHW</t>
  </si>
  <si>
    <t>JM Smucker Co/The</t>
  </si>
  <si>
    <t>SJM</t>
  </si>
  <si>
    <t>Snap-on Inc</t>
  </si>
  <si>
    <t>SNA</t>
  </si>
  <si>
    <t>AMETEK Inc</t>
  </si>
  <si>
    <t>AME</t>
  </si>
  <si>
    <t>Southern Co/The</t>
  </si>
  <si>
    <t>SO</t>
  </si>
  <si>
    <t>BB&amp;T Corp</t>
  </si>
  <si>
    <t>BBT</t>
  </si>
  <si>
    <t>Southwest Airlines Co</t>
  </si>
  <si>
    <t>LUV</t>
  </si>
  <si>
    <t>Stanley Black &amp; Decker Inc</t>
  </si>
  <si>
    <t>SWK</t>
  </si>
  <si>
    <t>Public Storage</t>
  </si>
  <si>
    <t>PSA</t>
  </si>
  <si>
    <t>Arista Networks Inc</t>
  </si>
  <si>
    <t>ANET</t>
  </si>
  <si>
    <t>SunTrust Banks Inc</t>
  </si>
  <si>
    <t>STI</t>
  </si>
  <si>
    <t>Sysco Corp</t>
  </si>
  <si>
    <t>SYY</t>
  </si>
  <si>
    <t>Texas Instruments Inc</t>
  </si>
  <si>
    <t>TXN</t>
  </si>
  <si>
    <t>Textron Inc</t>
  </si>
  <si>
    <t>TXT</t>
  </si>
  <si>
    <t>Thermo Fisher Scientific Inc</t>
  </si>
  <si>
    <t>TMO</t>
  </si>
  <si>
    <t>Tiffany &amp; Co</t>
  </si>
  <si>
    <t>TIF</t>
  </si>
  <si>
    <t>TJX Cos Inc/The</t>
  </si>
  <si>
    <t>TJX</t>
  </si>
  <si>
    <t>Johnson Controls International plc</t>
  </si>
  <si>
    <t>JCI</t>
  </si>
  <si>
    <t>Ulta Beauty Inc</t>
  </si>
  <si>
    <t>ULTA</t>
  </si>
  <si>
    <t>Union Pacific Corp</t>
  </si>
  <si>
    <t>UNP</t>
  </si>
  <si>
    <t>Keysight Technologies Inc</t>
  </si>
  <si>
    <t>KEYS</t>
  </si>
  <si>
    <t>UnitedHealth Group Inc</t>
  </si>
  <si>
    <t>UNH</t>
  </si>
  <si>
    <t>Unum Group</t>
  </si>
  <si>
    <t>UNM</t>
  </si>
  <si>
    <t>Marathon Oil Corp</t>
  </si>
  <si>
    <t>MRO</t>
  </si>
  <si>
    <t>Varian Medical Systems Inc</t>
  </si>
  <si>
    <t>VAR</t>
  </si>
  <si>
    <t>Ventas Inc</t>
  </si>
  <si>
    <t>VTR</t>
  </si>
  <si>
    <t>VF Corp</t>
  </si>
  <si>
    <t>VFC</t>
  </si>
  <si>
    <t>Vornado Realty Trust</t>
  </si>
  <si>
    <t>VNO</t>
  </si>
  <si>
    <t>Vulcan Materials Co</t>
  </si>
  <si>
    <t>VMC</t>
  </si>
  <si>
    <t>Weyerhaeuser Co</t>
  </si>
  <si>
    <t>WY</t>
  </si>
  <si>
    <t>Whirlpool Corp</t>
  </si>
  <si>
    <t>WHR</t>
  </si>
  <si>
    <t>Williams Cos Inc/The</t>
  </si>
  <si>
    <t>WMB</t>
  </si>
  <si>
    <t>WEC Energy Group Inc</t>
  </si>
  <si>
    <t>WEC</t>
  </si>
  <si>
    <t>XRX</t>
  </si>
  <si>
    <t>Adobe Inc</t>
  </si>
  <si>
    <t>ADBE</t>
  </si>
  <si>
    <t>AES Corp/VA</t>
  </si>
  <si>
    <t>AES</t>
  </si>
  <si>
    <t>Amgen Inc</t>
  </si>
  <si>
    <t>AMGN</t>
  </si>
  <si>
    <t>Apple Inc</t>
  </si>
  <si>
    <t>AAPL</t>
  </si>
  <si>
    <t>Autodesk Inc</t>
  </si>
  <si>
    <t>ADSK</t>
  </si>
  <si>
    <t>Cintas Corp</t>
  </si>
  <si>
    <t>CTAS</t>
  </si>
  <si>
    <t>Comcast Corp</t>
  </si>
  <si>
    <t>CMCSA</t>
  </si>
  <si>
    <t>Molson Coors Brewing Co</t>
  </si>
  <si>
    <t>TAP</t>
  </si>
  <si>
    <t>KLAC</t>
  </si>
  <si>
    <t>Marriott International Inc/MD</t>
  </si>
  <si>
    <t>MAR</t>
  </si>
  <si>
    <t>McCormick &amp; Co Inc/MD</t>
  </si>
  <si>
    <t>MKC</t>
  </si>
  <si>
    <t>Nordstrom Inc</t>
  </si>
  <si>
    <t>JWN</t>
  </si>
  <si>
    <t>PACCAR Inc</t>
  </si>
  <si>
    <t>PCAR</t>
  </si>
  <si>
    <t>Costco Wholesale Corp</t>
  </si>
  <si>
    <t>COST</t>
  </si>
  <si>
    <t>Stryker Corp</t>
  </si>
  <si>
    <t>SYK</t>
  </si>
  <si>
    <t>Lamb Weston Holdings Inc</t>
  </si>
  <si>
    <t>LW</t>
  </si>
  <si>
    <t>Tyson Foods Inc</t>
  </si>
  <si>
    <t>TSN</t>
  </si>
  <si>
    <t>Applied Materials Inc</t>
  </si>
  <si>
    <t>AMAT</t>
  </si>
  <si>
    <t>American Airlines Group Inc</t>
  </si>
  <si>
    <t>AAL</t>
  </si>
  <si>
    <t>Cardinal Health Inc</t>
  </si>
  <si>
    <t>CAH</t>
  </si>
  <si>
    <t>Celgene Corp</t>
  </si>
  <si>
    <t>CELG</t>
  </si>
  <si>
    <t>Cerner Corp</t>
  </si>
  <si>
    <t>CERN</t>
  </si>
  <si>
    <t>Cincinnati Financial Corp</t>
  </si>
  <si>
    <t>CINF</t>
  </si>
  <si>
    <t>DR Horton Inc</t>
  </si>
  <si>
    <t>DHI</t>
  </si>
  <si>
    <t>Flowserve Corp</t>
  </si>
  <si>
    <t>FLS</t>
  </si>
  <si>
    <t>Electronic Arts Inc</t>
  </si>
  <si>
    <t>EA</t>
  </si>
  <si>
    <t>Expeditors International of Washington Inc</t>
  </si>
  <si>
    <t>EXPD</t>
  </si>
  <si>
    <t>Fastenal Co</t>
  </si>
  <si>
    <t>FAST</t>
  </si>
  <si>
    <t>M&amp;T Bank Corp</t>
  </si>
  <si>
    <t>MTB</t>
  </si>
  <si>
    <t>Xcel Energy Inc</t>
  </si>
  <si>
    <t>XEL</t>
  </si>
  <si>
    <t>Fiserv Inc</t>
  </si>
  <si>
    <t>FISV</t>
  </si>
  <si>
    <t>Fifth Third Bancorp</t>
  </si>
  <si>
    <t>FITB</t>
  </si>
  <si>
    <t>Gilead Sciences Inc</t>
  </si>
  <si>
    <t>GILD</t>
  </si>
  <si>
    <t>Hasbro Inc</t>
  </si>
  <si>
    <t>HAS</t>
  </si>
  <si>
    <t>Huntington Bancshares Inc/OH</t>
  </si>
  <si>
    <t>HBAN</t>
  </si>
  <si>
    <t>Welltower Inc</t>
  </si>
  <si>
    <t>WELL</t>
  </si>
  <si>
    <t>Biogen Inc</t>
  </si>
  <si>
    <t>BIIB</t>
  </si>
  <si>
    <t>Northern Trust Corp</t>
  </si>
  <si>
    <t>NTRS</t>
  </si>
  <si>
    <t>Packaging Corp of America</t>
  </si>
  <si>
    <t>PKG</t>
  </si>
  <si>
    <t>Paychex Inc</t>
  </si>
  <si>
    <t>PAYX</t>
  </si>
  <si>
    <t>People's United Financial Inc</t>
  </si>
  <si>
    <t>PBCT</t>
  </si>
  <si>
    <t>QUALCOMM Inc</t>
  </si>
  <si>
    <t>QCOM</t>
  </si>
  <si>
    <t>Roper Technologies Inc</t>
  </si>
  <si>
    <t>ROP</t>
  </si>
  <si>
    <t>Ross Stores Inc</t>
  </si>
  <si>
    <t>ROST</t>
  </si>
  <si>
    <t>IDEXX Laboratories Inc</t>
  </si>
  <si>
    <t>IDXX</t>
  </si>
  <si>
    <t>Starbucks Corp</t>
  </si>
  <si>
    <t>SBUX</t>
  </si>
  <si>
    <t>KeyCorp</t>
  </si>
  <si>
    <t>KEY</t>
  </si>
  <si>
    <t>State Street Corp</t>
  </si>
  <si>
    <t>STT</t>
  </si>
  <si>
    <t>Norwegian Cruise Line Holdings Ltd</t>
  </si>
  <si>
    <t>NCLH</t>
  </si>
  <si>
    <t>US Bancorp</t>
  </si>
  <si>
    <t>USB</t>
  </si>
  <si>
    <t>AO Smith Corp</t>
  </si>
  <si>
    <t>AOS</t>
  </si>
  <si>
    <t>Symantec Corp</t>
  </si>
  <si>
    <t>SYMC</t>
  </si>
  <si>
    <t>T Rowe Price Group Inc</t>
  </si>
  <si>
    <t>TROW</t>
  </si>
  <si>
    <t>Waste Management Inc</t>
  </si>
  <si>
    <t>WM</t>
  </si>
  <si>
    <t>CBS Corp</t>
  </si>
  <si>
    <t>CBS</t>
  </si>
  <si>
    <t>Allergan PLC</t>
  </si>
  <si>
    <t>AGN</t>
  </si>
  <si>
    <t>Constellation Brands Inc</t>
  </si>
  <si>
    <t>STZ</t>
  </si>
  <si>
    <t>Xilinx Inc</t>
  </si>
  <si>
    <t>XLNX</t>
  </si>
  <si>
    <t>DENTSPLY SIRONA Inc</t>
  </si>
  <si>
    <t>XRAY</t>
  </si>
  <si>
    <t>Zions Bancorp NA</t>
  </si>
  <si>
    <t>ZION</t>
  </si>
  <si>
    <t>Alaska Air Group Inc</t>
  </si>
  <si>
    <t>ALK</t>
  </si>
  <si>
    <t>Invesco Ltd</t>
  </si>
  <si>
    <t>IVZ</t>
  </si>
  <si>
    <t>Linde PLC</t>
  </si>
  <si>
    <t>LIN</t>
  </si>
  <si>
    <t>Intuit Inc</t>
  </si>
  <si>
    <t>INTU</t>
  </si>
  <si>
    <t>Morgan Stanley</t>
  </si>
  <si>
    <t>Microchip Technology Inc</t>
  </si>
  <si>
    <t>MCHP</t>
  </si>
  <si>
    <t>Chubb Ltd</t>
  </si>
  <si>
    <t>CB</t>
  </si>
  <si>
    <t>Hologic Inc</t>
  </si>
  <si>
    <t>HOLX</t>
  </si>
  <si>
    <t>Citizens Financial Group Inc</t>
  </si>
  <si>
    <t>CFG</t>
  </si>
  <si>
    <t>O'Reilly Automotive Inc</t>
  </si>
  <si>
    <t>ORLY</t>
  </si>
  <si>
    <t>Allstate Corp/The</t>
  </si>
  <si>
    <t>ALL</t>
  </si>
  <si>
    <t>FLIR Systems Inc</t>
  </si>
  <si>
    <t>FLIR</t>
  </si>
  <si>
    <t>Equity Residential</t>
  </si>
  <si>
    <t>EQR</t>
  </si>
  <si>
    <t>BorgWarner Inc</t>
  </si>
  <si>
    <t>BWA</t>
  </si>
  <si>
    <t>Incyte Corp</t>
  </si>
  <si>
    <t>INCY</t>
  </si>
  <si>
    <t>Simon Property Group Inc</t>
  </si>
  <si>
    <t>SPG</t>
  </si>
  <si>
    <t>Eastman Chemical Co</t>
  </si>
  <si>
    <t>EMN</t>
  </si>
  <si>
    <t>Twitter Inc</t>
  </si>
  <si>
    <t>TWTR</t>
  </si>
  <si>
    <t>AvalonBay Communities Inc</t>
  </si>
  <si>
    <t>AVB</t>
  </si>
  <si>
    <t>Prudential Financial Inc</t>
  </si>
  <si>
    <t>PRU</t>
  </si>
  <si>
    <t>United Parcel Service Inc</t>
  </si>
  <si>
    <t>UPS</t>
  </si>
  <si>
    <t>Apartment Investment &amp; Management Co</t>
  </si>
  <si>
    <t>AIV</t>
  </si>
  <si>
    <t>Walgreens Boots Alliance Inc</t>
  </si>
  <si>
    <t>WBA</t>
  </si>
  <si>
    <t>McKesson Corp</t>
  </si>
  <si>
    <t>MCK</t>
  </si>
  <si>
    <t>Lockheed Martin Corp</t>
  </si>
  <si>
    <t>LMT</t>
  </si>
  <si>
    <t>AmerisourceBergen Corp</t>
  </si>
  <si>
    <t>ABC</t>
  </si>
  <si>
    <t>Capital One Financial Corp</t>
  </si>
  <si>
    <t>COF</t>
  </si>
  <si>
    <t>Waters Corp</t>
  </si>
  <si>
    <t>WAT</t>
  </si>
  <si>
    <t>Dollar Tree Inc</t>
  </si>
  <si>
    <t>DLTR</t>
  </si>
  <si>
    <t>Darden Restaurants Inc</t>
  </si>
  <si>
    <t>DRI</t>
  </si>
  <si>
    <t>NetApp Inc</t>
  </si>
  <si>
    <t>NTAP</t>
  </si>
  <si>
    <t>Citrix Systems Inc</t>
  </si>
  <si>
    <t>CTXS</t>
  </si>
  <si>
    <t>DXC Technology Co</t>
  </si>
  <si>
    <t>DXC</t>
  </si>
  <si>
    <t>DaVita Inc</t>
  </si>
  <si>
    <t>DVA</t>
  </si>
  <si>
    <t>Hartford Financial Services Group Inc/The</t>
  </si>
  <si>
    <t>HIG</t>
  </si>
  <si>
    <t>Iron Mountain Inc</t>
  </si>
  <si>
    <t>IRM</t>
  </si>
  <si>
    <t>Estee Lauder Cos Inc/The</t>
  </si>
  <si>
    <t>EL</t>
  </si>
  <si>
    <t>Cadence Design Systems Inc</t>
  </si>
  <si>
    <t>CDNS</t>
  </si>
  <si>
    <t>Universal Health Services Inc</t>
  </si>
  <si>
    <t>UHS</t>
  </si>
  <si>
    <t>E*TRADE Financial Corp</t>
  </si>
  <si>
    <t>ETFC</t>
  </si>
  <si>
    <t>Skyworks Solutions Inc</t>
  </si>
  <si>
    <t>SWKS</t>
  </si>
  <si>
    <t>National Oilwell Varco Inc</t>
  </si>
  <si>
    <t>NOV</t>
  </si>
  <si>
    <t>Quest Diagnostics Inc</t>
  </si>
  <si>
    <t>DGX</t>
  </si>
  <si>
    <t>Activision Blizzard Inc</t>
  </si>
  <si>
    <t>ATVI</t>
  </si>
  <si>
    <t>Rockwell Automation Inc</t>
  </si>
  <si>
    <t>ROK</t>
  </si>
  <si>
    <t>Kraft Heinz Co/The</t>
  </si>
  <si>
    <t>KHC</t>
  </si>
  <si>
    <t>American Tower Corp</t>
  </si>
  <si>
    <t>AMT</t>
  </si>
  <si>
    <t>HollyFrontier Corp</t>
  </si>
  <si>
    <t>HFC</t>
  </si>
  <si>
    <t>Regeneron Pharmaceuticals Inc</t>
  </si>
  <si>
    <t>REGN</t>
  </si>
  <si>
    <t>Amazon.com Inc</t>
  </si>
  <si>
    <t>AMZN</t>
  </si>
  <si>
    <t>Jack Henry &amp; Associates Inc</t>
  </si>
  <si>
    <t>JKHY</t>
  </si>
  <si>
    <t>Ralph Lauren Corp</t>
  </si>
  <si>
    <t>RL</t>
  </si>
  <si>
    <t>Boston Properties Inc</t>
  </si>
  <si>
    <t>BXP</t>
  </si>
  <si>
    <t>Amphenol Corp</t>
  </si>
  <si>
    <t>APH</t>
  </si>
  <si>
    <t>Arconic Inc</t>
  </si>
  <si>
    <t>ARNC</t>
  </si>
  <si>
    <t>Pioneer Natural Resources Co</t>
  </si>
  <si>
    <t>PXD</t>
  </si>
  <si>
    <t>Valero Energy Corp</t>
  </si>
  <si>
    <t>VLO</t>
  </si>
  <si>
    <t>Synopsys Inc</t>
  </si>
  <si>
    <t>SNPS</t>
  </si>
  <si>
    <t>Western Union Co/The</t>
  </si>
  <si>
    <t>WU</t>
  </si>
  <si>
    <t>CH Robinson Worldwide Inc</t>
  </si>
  <si>
    <t>CHRW</t>
  </si>
  <si>
    <t>Accenture PLC</t>
  </si>
  <si>
    <t>ACN</t>
  </si>
  <si>
    <t>TransDigm Group Inc</t>
  </si>
  <si>
    <t>TDG</t>
  </si>
  <si>
    <t>Yum! Brands Inc</t>
  </si>
  <si>
    <t>YUM</t>
  </si>
  <si>
    <t>Prologis Inc</t>
  </si>
  <si>
    <t>PLD</t>
  </si>
  <si>
    <t>FirstEnergy Corp</t>
  </si>
  <si>
    <t>FE</t>
  </si>
  <si>
    <t>VeriSign Inc</t>
  </si>
  <si>
    <t>VRSN</t>
  </si>
  <si>
    <t>Quanta Services Inc</t>
  </si>
  <si>
    <t>PWR</t>
  </si>
  <si>
    <t>Henry Schein Inc</t>
  </si>
  <si>
    <t>HSIC</t>
  </si>
  <si>
    <t>Ameren Corp</t>
  </si>
  <si>
    <t>AEE</t>
  </si>
  <si>
    <t>ANSYS Inc</t>
  </si>
  <si>
    <t>ANSS</t>
  </si>
  <si>
    <t>NVIDIA Corp</t>
  </si>
  <si>
    <t>NVDA</t>
  </si>
  <si>
    <t>Sealed Air Corp</t>
  </si>
  <si>
    <t>SEE</t>
  </si>
  <si>
    <t>Cognizant Technology Solutions Corp</t>
  </si>
  <si>
    <t>CTSH</t>
  </si>
  <si>
    <t>Intuitive Surgical Inc</t>
  </si>
  <si>
    <t>ISRG</t>
  </si>
  <si>
    <t>SVB Financial Group</t>
  </si>
  <si>
    <t>SIVB</t>
  </si>
  <si>
    <t>Affiliated Managers Group Inc</t>
  </si>
  <si>
    <t>AMG</t>
  </si>
  <si>
    <t>Take-Two Interactive Software Inc</t>
  </si>
  <si>
    <t>TTWO</t>
  </si>
  <si>
    <t>Republic Services Inc</t>
  </si>
  <si>
    <t>RSG</t>
  </si>
  <si>
    <t>eBay Inc</t>
  </si>
  <si>
    <t>EBAY</t>
  </si>
  <si>
    <t>Goldman Sachs Group Inc/The</t>
  </si>
  <si>
    <t>GS</t>
  </si>
  <si>
    <t>Sempra Energy</t>
  </si>
  <si>
    <t>SRE</t>
  </si>
  <si>
    <t>SBA Communications Corp</t>
  </si>
  <si>
    <t>SBAC</t>
  </si>
  <si>
    <t>Moody's Corp</t>
  </si>
  <si>
    <t>MCO</t>
  </si>
  <si>
    <t>Booking Holdings Inc</t>
  </si>
  <si>
    <t>BKNG</t>
  </si>
  <si>
    <t>F5 Networks Inc</t>
  </si>
  <si>
    <t>FFIV</t>
  </si>
  <si>
    <t>Akamai Technologies Inc</t>
  </si>
  <si>
    <t>AKAM</t>
  </si>
  <si>
    <t>Devon Energy Corp</t>
  </si>
  <si>
    <t>DVN</t>
  </si>
  <si>
    <t>Alphabet Inc</t>
  </si>
  <si>
    <t>GOOGL</t>
  </si>
  <si>
    <t>Allegion PLC</t>
  </si>
  <si>
    <t>ALLE</t>
  </si>
  <si>
    <t>Netflix Inc</t>
  </si>
  <si>
    <t>NFLX</t>
  </si>
  <si>
    <t>Agilent Technologies Inc</t>
  </si>
  <si>
    <t>Anthem Inc</t>
  </si>
  <si>
    <t>ANTM</t>
  </si>
  <si>
    <t>CME Group Inc</t>
  </si>
  <si>
    <t>CME</t>
  </si>
  <si>
    <t>Juniper Networks Inc</t>
  </si>
  <si>
    <t>JNPR</t>
  </si>
  <si>
    <t>BlackRock Inc</t>
  </si>
  <si>
    <t>BLK</t>
  </si>
  <si>
    <t>DTE Energy Co</t>
  </si>
  <si>
    <t>DTE</t>
  </si>
  <si>
    <t>Nasdaq Inc</t>
  </si>
  <si>
    <t>NDAQ</t>
  </si>
  <si>
    <t>Philip Morris International Inc</t>
  </si>
  <si>
    <t>PM</t>
  </si>
  <si>
    <t>salesforce.com Inc</t>
  </si>
  <si>
    <t>CRM</t>
  </si>
  <si>
    <t>Huntington Ingalls Industries Inc</t>
  </si>
  <si>
    <t>HII</t>
  </si>
  <si>
    <t>MetLife Inc</t>
  </si>
  <si>
    <t>MET</t>
  </si>
  <si>
    <t>UA</t>
  </si>
  <si>
    <t>Tapestry Inc</t>
  </si>
  <si>
    <t>TPR</t>
  </si>
  <si>
    <t>CSX Corp</t>
  </si>
  <si>
    <t>CSX</t>
  </si>
  <si>
    <t>Edwards Lifesciences Corp</t>
  </si>
  <si>
    <t>EW</t>
  </si>
  <si>
    <t>Ameriprise Financial Inc</t>
  </si>
  <si>
    <t>AMP</t>
  </si>
  <si>
    <t>TechnipFMC PLC</t>
  </si>
  <si>
    <t>FTI</t>
  </si>
  <si>
    <t>Zimmer Biomet Holdings Inc</t>
  </si>
  <si>
    <t>ZBH</t>
  </si>
  <si>
    <t>CBRE Group Inc</t>
  </si>
  <si>
    <t>CBRE</t>
  </si>
  <si>
    <t>Mastercard Inc</t>
  </si>
  <si>
    <t>MA</t>
  </si>
  <si>
    <t>CarMax Inc</t>
  </si>
  <si>
    <t>KMX</t>
  </si>
  <si>
    <t>Intercontinental Exchange Inc</t>
  </si>
  <si>
    <t>ICE</t>
  </si>
  <si>
    <t>Fidelity National Information Services Inc</t>
  </si>
  <si>
    <t>FIS</t>
  </si>
  <si>
    <t>Chipotle Mexican Grill Inc</t>
  </si>
  <si>
    <t>CMG</t>
  </si>
  <si>
    <t>Wynn Resorts Ltd</t>
  </si>
  <si>
    <t>WYNN</t>
  </si>
  <si>
    <t>Assurant Inc</t>
  </si>
  <si>
    <t>AIZ</t>
  </si>
  <si>
    <t>NRG Energy Inc</t>
  </si>
  <si>
    <t>NRG</t>
  </si>
  <si>
    <t>Monster Beverage Corp</t>
  </si>
  <si>
    <t>MNST</t>
  </si>
  <si>
    <t>Regions Financial Corp</t>
  </si>
  <si>
    <t>RF</t>
  </si>
  <si>
    <t>Mosaic Co/The</t>
  </si>
  <si>
    <t>MOS</t>
  </si>
  <si>
    <t>Expedia Group Inc</t>
  </si>
  <si>
    <t>EXPE</t>
  </si>
  <si>
    <t>Evergy Inc</t>
  </si>
  <si>
    <t>EVRG</t>
  </si>
  <si>
    <t>Discovery Inc</t>
  </si>
  <si>
    <t>DISCA</t>
  </si>
  <si>
    <t>CF Industries Holdings Inc</t>
  </si>
  <si>
    <t>CF</t>
  </si>
  <si>
    <t>Viacom Inc</t>
  </si>
  <si>
    <t>VIAB</t>
  </si>
  <si>
    <t>GOOG</t>
  </si>
  <si>
    <t>TE Connectivity Ltd</t>
  </si>
  <si>
    <t>TEL</t>
  </si>
  <si>
    <t>Cooper Cos Inc/The</t>
  </si>
  <si>
    <t>COO</t>
  </si>
  <si>
    <t>Discover Financial Services</t>
  </si>
  <si>
    <t>DFS</t>
  </si>
  <si>
    <t>TripAdvisor Inc</t>
  </si>
  <si>
    <t>TRIP</t>
  </si>
  <si>
    <t>Visa Inc</t>
  </si>
  <si>
    <t>V</t>
  </si>
  <si>
    <t>Mid-America Apartment Communities Inc</t>
  </si>
  <si>
    <t>MAA</t>
  </si>
  <si>
    <t>Xylem Inc/NY</t>
  </si>
  <si>
    <t>XYL</t>
  </si>
  <si>
    <t>Marathon Petroleum Corp</t>
  </si>
  <si>
    <t>MPC</t>
  </si>
  <si>
    <t>Tractor Supply Co</t>
  </si>
  <si>
    <t>TSCO</t>
  </si>
  <si>
    <t>Advanced Micro Devices Inc</t>
  </si>
  <si>
    <t>AMD</t>
  </si>
  <si>
    <t>ResMed Inc</t>
  </si>
  <si>
    <t>RMD</t>
  </si>
  <si>
    <t>Mettler-Toledo International Inc</t>
  </si>
  <si>
    <t>MTD</t>
  </si>
  <si>
    <t>Copart Inc</t>
  </si>
  <si>
    <t>CPRT</t>
  </si>
  <si>
    <t>Albemarle Corp</t>
  </si>
  <si>
    <t>ALB</t>
  </si>
  <si>
    <t>Fortinet Inc</t>
  </si>
  <si>
    <t>FTNT</t>
  </si>
  <si>
    <t>Essex Property Trust Inc</t>
  </si>
  <si>
    <t>ESS</t>
  </si>
  <si>
    <t>Realty Income Corp</t>
  </si>
  <si>
    <t>O</t>
  </si>
  <si>
    <t>Seagate Technology PLC</t>
  </si>
  <si>
    <t>STX</t>
  </si>
  <si>
    <t>Westrock Co</t>
  </si>
  <si>
    <t>WRK</t>
  </si>
  <si>
    <t>IHS Markit Ltd</t>
  </si>
  <si>
    <t>INFO</t>
  </si>
  <si>
    <t>Western Digital Corp</t>
  </si>
  <si>
    <t>WDC</t>
  </si>
  <si>
    <t>PepsiCo Inc</t>
  </si>
  <si>
    <t>PEP</t>
  </si>
  <si>
    <t>Diamondback Energy Inc</t>
  </si>
  <si>
    <t>FANG</t>
  </si>
  <si>
    <t>Nektar Therapeutics</t>
  </si>
  <si>
    <t>NKTR</t>
  </si>
  <si>
    <t>Maxim Integrated Products Inc</t>
  </si>
  <si>
    <t>MXIM</t>
  </si>
  <si>
    <t>Church &amp; Dwight Co Inc</t>
  </si>
  <si>
    <t>CHD</t>
  </si>
  <si>
    <t>Duke Realty Corp</t>
  </si>
  <si>
    <t>DRE</t>
  </si>
  <si>
    <t>Federal Realty Investment Trust</t>
  </si>
  <si>
    <t>FRT</t>
  </si>
  <si>
    <t>MGM Resorts International</t>
  </si>
  <si>
    <t>MGM</t>
  </si>
  <si>
    <t>FOX</t>
  </si>
  <si>
    <t>Alliant Energy Corp</t>
  </si>
  <si>
    <t>LNT</t>
  </si>
  <si>
    <t>JB Hunt Transport Services Inc</t>
  </si>
  <si>
    <t>JBHT</t>
  </si>
  <si>
    <t>Lam Research Corp</t>
  </si>
  <si>
    <t>LRCX</t>
  </si>
  <si>
    <t>Mohawk Industries Inc</t>
  </si>
  <si>
    <t>MHK</t>
  </si>
  <si>
    <t>Pentair PLC</t>
  </si>
  <si>
    <t>PNR</t>
  </si>
  <si>
    <t>Vertex Pharmaceuticals Inc</t>
  </si>
  <si>
    <t>VRTX</t>
  </si>
  <si>
    <t>Facebook Inc</t>
  </si>
  <si>
    <t>FB</t>
  </si>
  <si>
    <t>United Rentals Inc</t>
  </si>
  <si>
    <t>URI</t>
  </si>
  <si>
    <t>Alexandria Real Estate Equities Inc</t>
  </si>
  <si>
    <t>ARE</t>
  </si>
  <si>
    <t>ABIOMED Inc</t>
  </si>
  <si>
    <t>ABMD</t>
  </si>
  <si>
    <t>Delta Air Lines Inc</t>
  </si>
  <si>
    <t>DAL</t>
  </si>
  <si>
    <t>UAL</t>
  </si>
  <si>
    <t>News Corp</t>
  </si>
  <si>
    <t>NWS</t>
  </si>
  <si>
    <t>Centene Corp</t>
  </si>
  <si>
    <t>CNC</t>
  </si>
  <si>
    <t>Macerich Co/The</t>
  </si>
  <si>
    <t>MAC</t>
  </si>
  <si>
    <t>Martin Marietta Materials Inc</t>
  </si>
  <si>
    <t>MLM</t>
  </si>
  <si>
    <t>PayPal Holdings Inc</t>
  </si>
  <si>
    <t>PYPL</t>
  </si>
  <si>
    <t>Coty Inc</t>
  </si>
  <si>
    <t>COTY</t>
  </si>
  <si>
    <t>DISH Network Corp</t>
  </si>
  <si>
    <t>DISH</t>
  </si>
  <si>
    <t>Alexion Pharmaceuticals Inc</t>
  </si>
  <si>
    <t>ALXN</t>
  </si>
  <si>
    <t>Everest Re Group Ltd</t>
  </si>
  <si>
    <t>RE</t>
  </si>
  <si>
    <t>WellCare Health Plans Inc</t>
  </si>
  <si>
    <t>WCG</t>
  </si>
  <si>
    <t>NWSA</t>
  </si>
  <si>
    <t>Global Payments Inc</t>
  </si>
  <si>
    <t>GPN</t>
  </si>
  <si>
    <t>Crown Castle International Corp</t>
  </si>
  <si>
    <t>CCI</t>
  </si>
  <si>
    <t>Aptiv PLC</t>
  </si>
  <si>
    <t>APTV</t>
  </si>
  <si>
    <t>Advance Auto Parts Inc</t>
  </si>
  <si>
    <t>AAP</t>
  </si>
  <si>
    <t>Align Technology Inc</t>
  </si>
  <si>
    <t>ALGN</t>
  </si>
  <si>
    <t>Illumina Inc</t>
  </si>
  <si>
    <t>ILMN</t>
  </si>
  <si>
    <t>Alliance Data Systems Corp</t>
  </si>
  <si>
    <t>ADS</t>
  </si>
  <si>
    <t>LKQ Corp</t>
  </si>
  <si>
    <t>LKQ</t>
  </si>
  <si>
    <t>Nielsen Holdings PLC</t>
  </si>
  <si>
    <t>NLSN</t>
  </si>
  <si>
    <t>Garmin Ltd</t>
  </si>
  <si>
    <t>GRMN</t>
  </si>
  <si>
    <t>Cimarex Energy Co</t>
  </si>
  <si>
    <t>XEC</t>
  </si>
  <si>
    <t>Zoetis Inc</t>
  </si>
  <si>
    <t>ZTS</t>
  </si>
  <si>
    <t>Digital Realty Trust Inc</t>
  </si>
  <si>
    <t>DLR</t>
  </si>
  <si>
    <t>Equinix Inc</t>
  </si>
  <si>
    <t>EQIX</t>
  </si>
  <si>
    <t>DISCK</t>
  </si>
  <si>
    <t>Celanese Corp</t>
  </si>
  <si>
    <t>CE</t>
  </si>
  <si>
    <t>Capri Holdings Ltd</t>
  </si>
  <si>
    <t>CPRI</t>
  </si>
  <si>
    <t>All Proxy Group</t>
  </si>
  <si>
    <t>With Exclusions</t>
  </si>
  <si>
    <t>[12]</t>
  </si>
  <si>
    <t>[13]</t>
  </si>
  <si>
    <t>Low ROE</t>
  </si>
  <si>
    <t>Mean ROE</t>
  </si>
  <si>
    <t>High ROE</t>
  </si>
  <si>
    <t>[12] Equals [9] if greater than 7.00%</t>
  </si>
  <si>
    <t>[13] Equals [10] if greater than 7.00%</t>
  </si>
  <si>
    <t>[14] Equals [11] if greater than 7.00%</t>
  </si>
  <si>
    <t>[6] Source: Value Line</t>
  </si>
  <si>
    <t>[5] Source: Value Line</t>
  </si>
  <si>
    <t>[3] Source: Value Line</t>
  </si>
  <si>
    <t>[2] Source: Value Line</t>
  </si>
  <si>
    <t>[1] Source: Value Line</t>
  </si>
  <si>
    <t>n/a</t>
  </si>
  <si>
    <r>
      <t>SUMMARY OF ROE ANALYSES RESULTS</t>
    </r>
    <r>
      <rPr>
        <vertAlign val="superscript"/>
        <sz val="11"/>
        <rFont val="Arial"/>
        <family val="2"/>
      </rPr>
      <t>1</t>
    </r>
  </si>
  <si>
    <t>Y</t>
  </si>
  <si>
    <t>Constant Growth Average</t>
  </si>
  <si>
    <t>Lower End ROE Recommendation</t>
  </si>
  <si>
    <t>Higher End ROE Recommendation</t>
  </si>
  <si>
    <t>Current 30-day Average Treasury Bond Yield</t>
  </si>
  <si>
    <t>Near-Term Blue Chip Forecast Yield</t>
  </si>
  <si>
    <t>Long-Term Blue Chip Forecast Yield</t>
  </si>
  <si>
    <t>Risk Premium Mean Result</t>
  </si>
  <si>
    <t>Median</t>
  </si>
  <si>
    <t>BOND YIELD PLUS RISK PREMIUM</t>
  </si>
  <si>
    <t>Current 30-Day Average [4]</t>
  </si>
  <si>
    <t>[7] See notes [4], [5] &amp; [6]</t>
  </si>
  <si>
    <t>[9] Equals Column [7] + Column [8]</t>
  </si>
  <si>
    <t>Yes</t>
  </si>
  <si>
    <t>First Republic Bank/CA</t>
  </si>
  <si>
    <t>FRC</t>
  </si>
  <si>
    <t>Teleflex Inc</t>
  </si>
  <si>
    <t>TFX</t>
  </si>
  <si>
    <t>EXPECTED EARNINGS ANALYSIS</t>
  </si>
  <si>
    <t>Adjustment Factor</t>
  </si>
  <si>
    <t>Adjusted Return on Common Equity</t>
  </si>
  <si>
    <t>Average</t>
  </si>
  <si>
    <t>[4] Equals [2] x [3]</t>
  </si>
  <si>
    <t>[7] Equals [5] x [6]</t>
  </si>
  <si>
    <t>[8] Equals ([7] / [4]) ^ (1/5) - 1</t>
  </si>
  <si>
    <t>[9] Equals 2 x (1 + [8]) / (2 + [8])</t>
  </si>
  <si>
    <t>[10] Equals [1] x [9]</t>
  </si>
  <si>
    <t>Operation State</t>
  </si>
  <si>
    <t>Operation</t>
  </si>
  <si>
    <t>Test Year</t>
  </si>
  <si>
    <t>Rate Base</t>
  </si>
  <si>
    <t>Full</t>
  </si>
  <si>
    <t>Partial</t>
  </si>
  <si>
    <t>Kansas</t>
  </si>
  <si>
    <t>Gas</t>
  </si>
  <si>
    <t>Historical</t>
  </si>
  <si>
    <t>Year End</t>
  </si>
  <si>
    <t>Kentucky</t>
  </si>
  <si>
    <t>Fully Forecast</t>
  </si>
  <si>
    <t>Louisiana</t>
  </si>
  <si>
    <t>Mississippi</t>
  </si>
  <si>
    <t>Tennessee</t>
  </si>
  <si>
    <t>New Jersey</t>
  </si>
  <si>
    <t>Partially Forecast</t>
  </si>
  <si>
    <t>Oregon</t>
  </si>
  <si>
    <t>Washington</t>
  </si>
  <si>
    <t>Oklahoma</t>
  </si>
  <si>
    <t>Alabama</t>
  </si>
  <si>
    <t>Missouri</t>
  </si>
  <si>
    <t>Expected Earnings Analysis</t>
  </si>
  <si>
    <t>Proxy Group Median</t>
  </si>
  <si>
    <t>Expected Earnings Result</t>
  </si>
  <si>
    <t>Expected Earnings</t>
  </si>
  <si>
    <t>($ Millions)</t>
  </si>
  <si>
    <t>Cap. Ex. /</t>
  </si>
  <si>
    <t>Net Plant</t>
  </si>
  <si>
    <t>Capital Spending per Share</t>
  </si>
  <si>
    <t>Common Shares Outstanding</t>
  </si>
  <si>
    <t>Capital Expenditures</t>
  </si>
  <si>
    <t>Capital Expenditures [8]</t>
  </si>
  <si>
    <t xml:space="preserve">[7] Equals (Column [2] + [3] + [4] + [5] + [6]) /  Column [1] </t>
  </si>
  <si>
    <t>X- Axis</t>
  </si>
  <si>
    <t>Constant Growth DCF</t>
  </si>
  <si>
    <t>Mean</t>
  </si>
  <si>
    <t>Compound Annual Growth Rate</t>
  </si>
  <si>
    <t>Bloomberg Beta</t>
  </si>
  <si>
    <t>Value Line Beta</t>
  </si>
  <si>
    <t>Positive Growth Rates from at least two sources (Value Line, Yahoo! First Call, and Zacks)</t>
  </si>
  <si>
    <t>Generation Assets Included in Rate Base</t>
  </si>
  <si>
    <t>% Regulated Coal Generation Capacity &gt; 5%</t>
  </si>
  <si>
    <t>% Regulated Operating Income &gt; 60%</t>
  </si>
  <si>
    <t>% Regulated Electric Operating Income ≥ 60%</t>
  </si>
  <si>
    <t>ALLETE, Inc.</t>
  </si>
  <si>
    <t>ALE</t>
  </si>
  <si>
    <t>Alliant Energy Corporation</t>
  </si>
  <si>
    <t>Ameren Corporation</t>
  </si>
  <si>
    <t>American Electric Power Company, Inc.</t>
  </si>
  <si>
    <t>Avista Corporation</t>
  </si>
  <si>
    <t>AVA</t>
  </si>
  <si>
    <t>CenterPoint Energy, Inc.</t>
  </si>
  <si>
    <t>CMS Energy Corporation</t>
  </si>
  <si>
    <t>Dominion Resources, Inc.</t>
  </si>
  <si>
    <t>DTE Energy Company</t>
  </si>
  <si>
    <t>Duke Energy Corporation</t>
  </si>
  <si>
    <t>Entergy Corporation</t>
  </si>
  <si>
    <t>FirstEnergy Corporation</t>
  </si>
  <si>
    <t xml:space="preserve">Evergy, Inc. </t>
  </si>
  <si>
    <t>IDACORP, Inc.</t>
  </si>
  <si>
    <t>IDA</t>
  </si>
  <si>
    <t>NextEra Energy, Inc.</t>
  </si>
  <si>
    <t>NorthWestern Corporation</t>
  </si>
  <si>
    <t>NWE</t>
  </si>
  <si>
    <t>OGE Energy Corporation</t>
  </si>
  <si>
    <t>OGE</t>
  </si>
  <si>
    <t>Pinnacle West Capital Corporation</t>
  </si>
  <si>
    <t>PNM Resources, Inc.</t>
  </si>
  <si>
    <t>PNM</t>
  </si>
  <si>
    <t>Portland General Electric Company</t>
  </si>
  <si>
    <t>POR</t>
  </si>
  <si>
    <t>PPL Corporation</t>
  </si>
  <si>
    <t>Southern Company</t>
  </si>
  <si>
    <t>Xcel Energy Inc.</t>
  </si>
  <si>
    <t>[2] Source: Bloomberg Professional</t>
  </si>
  <si>
    <t>[5] to [6] Source: SNL Financial</t>
  </si>
  <si>
    <t>[7] to [8] Source: Form 10-Ks for 2018, 2017 &amp; 2016</t>
  </si>
  <si>
    <t>[9] SNL Financial News Releases</t>
  </si>
  <si>
    <t>Mean Low</t>
  </si>
  <si>
    <t>Mean High</t>
  </si>
  <si>
    <t>Negative</t>
  </si>
  <si>
    <t>NMF</t>
  </si>
  <si>
    <t>[2] Source: Bloomberg Professional, equals 30-day average as of September 30, 2019</t>
  </si>
  <si>
    <t>[2] Source: Bloomberg Professional, equals 90-day average as of September 30, 2019</t>
  </si>
  <si>
    <t>[2] Source: Bloomberg Professional, equals 180-day average as of September 30, 2019</t>
  </si>
  <si>
    <t>CAPITAL ASSET PRICING MODEL -- CURRENT RISK-FREE RATE &amp; VL BETA</t>
  </si>
  <si>
    <t>K = Rf + β (Rm − Rf)</t>
  </si>
  <si>
    <t>Current 30-day average of 30-year U.S. Treasury bond yield</t>
  </si>
  <si>
    <t>Beta (β)</t>
  </si>
  <si>
    <t>Market Return (Rm)</t>
  </si>
  <si>
    <t>Market Risk Premium (Rm − Rf)</t>
  </si>
  <si>
    <t>ROE (K)</t>
  </si>
  <si>
    <t>[4] Equals [3] - [1]</t>
  </si>
  <si>
    <t>[5] Equals [1] + [2] x [4]</t>
  </si>
  <si>
    <t>CAPITAL ASSET PRICING MODEL -- NEAR-TERM PROJECTED RISK-FREE RATE &amp; VL BETA</t>
  </si>
  <si>
    <t>[2] Source:  Value Line</t>
  </si>
  <si>
    <t>CAPITAL ASSET PRICING MODEL -- LONG-TERM PROJECTED RISK-FREE RATE &amp; VL BETA</t>
  </si>
  <si>
    <t>Projected 30-year U.S. Treasury bond yield (2021 - 2025)</t>
  </si>
  <si>
    <t>[1] Source: Blue Chip Financial Forecasts, Vol. 38, No. 6, June 1, 2019, at 14</t>
  </si>
  <si>
    <t>CAPITAL ASSET PRICING MODEL -- CURRENT RISK-FREE RATE &amp; BLOOMBERG BETA</t>
  </si>
  <si>
    <t>CAPITAL ASSET PRICING MODEL -- NEAR-TERM PROJECTED RISK-FREE RATE &amp; BLOOMBERG BETA</t>
  </si>
  <si>
    <t>CAPITAL ASSET PRICING MODEL -- LONG-TERM PROJECTED RISK-FREE RATE &amp; BLOOMBERG BETA</t>
  </si>
  <si>
    <t>[8] S&amp;P 500 Estimated Required Market Return</t>
  </si>
  <si>
    <t>Atmos Energy Corp</t>
  </si>
  <si>
    <t>L3Harris Technologies Inc</t>
  </si>
  <si>
    <t>LHX</t>
  </si>
  <si>
    <t>Xerox Holdings Corp</t>
  </si>
  <si>
    <t>IDEX Corp</t>
  </si>
  <si>
    <t>IEX</t>
  </si>
  <si>
    <t>DuPont de Nemours Inc</t>
  </si>
  <si>
    <t>DD</t>
  </si>
  <si>
    <t>Newmont Goldcorp Corp</t>
  </si>
  <si>
    <t>Corteva Inc</t>
  </si>
  <si>
    <t>CTVA</t>
  </si>
  <si>
    <t>Globe Life Inc</t>
  </si>
  <si>
    <t>GL</t>
  </si>
  <si>
    <t>KLA Corp</t>
  </si>
  <si>
    <t>Fox Corp</t>
  </si>
  <si>
    <t>MarketAxess Holdings Inc</t>
  </si>
  <si>
    <t>MKTX</t>
  </si>
  <si>
    <t>Leidos Holdings Inc</t>
  </si>
  <si>
    <t>LDOS</t>
  </si>
  <si>
    <t>Wabtec Corp</t>
  </si>
  <si>
    <t>WAB</t>
  </si>
  <si>
    <t>Amcor PLC</t>
  </si>
  <si>
    <t>AMCR</t>
  </si>
  <si>
    <t>T-Mobile US Inc</t>
  </si>
  <si>
    <t>TMUS</t>
  </si>
  <si>
    <t>United Airlines Holdings Inc</t>
  </si>
  <si>
    <t>Dow Inc</t>
  </si>
  <si>
    <t>DOW</t>
  </si>
  <si>
    <t>[8] Equals ([6] x (1 + (0.5 x [7]))) + [7]</t>
  </si>
  <si>
    <t xml:space="preserve">Near-term projected 30-year U.S. Treasury bond yield
(Q1 2020 - Q1 2021) </t>
  </si>
  <si>
    <t>[1] Source: Blue Chip Financial Forecasts, Vol. 38, No. 10, October 1, 2019, at 2</t>
  </si>
  <si>
    <t>CDW Corp/DE</t>
  </si>
  <si>
    <t>CDW</t>
  </si>
  <si>
    <t>NVR Inc</t>
  </si>
  <si>
    <t>NVR</t>
  </si>
  <si>
    <t>Average Authorized Electric ROE</t>
  </si>
  <si>
    <t>Blue Chip Consensus Forecast (2021-2025) [6]</t>
  </si>
  <si>
    <t>[5] Source: Blue Chip Financial Forecasts, Vol. 38, No. 10, October 1, 2019, at 2</t>
  </si>
  <si>
    <t>[6] Source: Blue Chip Financial Forecasts, Vol. 38, No. 6, June 1, 2019, at 14</t>
  </si>
  <si>
    <t>[4] Source: Bloomberg Professional, 30-day average as of September 30, 2019</t>
  </si>
  <si>
    <t>[1] Source: Regulatory Research Associates, includes cases through September 30, 2019</t>
  </si>
  <si>
    <t>Blue Chip Consensus Forecast (Q1 2020 - Q1 2021) [5]</t>
  </si>
  <si>
    <t>Value Line ROE
2022-2024</t>
  </si>
  <si>
    <t>Value Line
Total Capital
2018</t>
  </si>
  <si>
    <t>Value Line
Common Equity Ratio 
2018</t>
  </si>
  <si>
    <t>Total Equity 
2018</t>
  </si>
  <si>
    <t>Value Line
Total Capital
2022-2024</t>
  </si>
  <si>
    <t>Value Line
Common Equity Ratio
2022-2024</t>
  </si>
  <si>
    <t>Total Equity 
2022-2024</t>
  </si>
  <si>
    <t>2020-2024 CAPITAL EXPENDITURES AS A PERCENT OF 2018 NET PLANT</t>
  </si>
  <si>
    <t>2020-24</t>
  </si>
  <si>
    <t>Rank</t>
  </si>
  <si>
    <t>Net Plant [9]</t>
  </si>
  <si>
    <t>[1] - [6] Source: Value Line, dated  July 26, 2019, August 16, 2019 and September 13, 2019.</t>
  </si>
  <si>
    <t>[8] Source: Company Provided Data</t>
  </si>
  <si>
    <t>[9] Source: Company Provided Data</t>
  </si>
  <si>
    <t>Projected CAPEX / 2018 Net Plant</t>
  </si>
  <si>
    <t>2020-2024</t>
  </si>
  <si>
    <t>For Chart</t>
  </si>
  <si>
    <t>ALLETE (Minnesota Power)</t>
  </si>
  <si>
    <t>Superior Water, Light and Power Company</t>
  </si>
  <si>
    <t>Interstate Power and Light Company</t>
  </si>
  <si>
    <t>Wisconsin Power and Light Company</t>
  </si>
  <si>
    <t>Ameren Illinois Company</t>
  </si>
  <si>
    <t>Union Electric Company</t>
  </si>
  <si>
    <t>AEP Texas, Inc.</t>
  </si>
  <si>
    <t>Appalachian Power Company</t>
  </si>
  <si>
    <t>Indiana Michigan Power Company</t>
  </si>
  <si>
    <t>Kentucky Power Company</t>
  </si>
  <si>
    <t>Kingsport Power Company</t>
  </si>
  <si>
    <t>Ohio Power Company</t>
  </si>
  <si>
    <t>Public Service Company of Oklahoma</t>
  </si>
  <si>
    <t>Southwestern Electric Power Company</t>
  </si>
  <si>
    <t>Wheeling Power Company</t>
  </si>
  <si>
    <t>Alaska Electric Light and Power Company</t>
  </si>
  <si>
    <t>Southern Indiana Gas and Electric Company, Inc.</t>
  </si>
  <si>
    <t>Consumers Energy Company</t>
  </si>
  <si>
    <t>Virginia Electric and Power Company</t>
  </si>
  <si>
    <t>South Carolina Electric &amp; Gas Co.</t>
  </si>
  <si>
    <t>DTE Electric Company</t>
  </si>
  <si>
    <t>Duke Energy Carolinas, LLC</t>
  </si>
  <si>
    <t>Duke Energy Florida, LLC</t>
  </si>
  <si>
    <t>Duke Energy Indiana, LLC</t>
  </si>
  <si>
    <t>Duke Energy Kentucky, Inc.</t>
  </si>
  <si>
    <t>Duke Energy Ohio, Inc.</t>
  </si>
  <si>
    <t>Duke Energy Progress, LLC</t>
  </si>
  <si>
    <t>Entergy Arkansas, Inc.</t>
  </si>
  <si>
    <t>Entergy Louisiana, LLC</t>
  </si>
  <si>
    <t>Entergy Mississippi, Inc.</t>
  </si>
  <si>
    <t>Entergy Texas, Inc.</t>
  </si>
  <si>
    <t>Kansas City Power &amp; Light Company</t>
  </si>
  <si>
    <t>Kansas Gas and Electric Company</t>
  </si>
  <si>
    <t>KCP&amp;L Greater Missouri Operations Company</t>
  </si>
  <si>
    <t>Westar Energy (KPL)</t>
  </si>
  <si>
    <t>Cleveland Electric Illuminating Company</t>
  </si>
  <si>
    <t>Jersey Central Power &amp; Light Company</t>
  </si>
  <si>
    <t>Metropolitan Edison Company</t>
  </si>
  <si>
    <t>Monongahela Power Company</t>
  </si>
  <si>
    <t>Ohio Edison Company</t>
  </si>
  <si>
    <t>Pennsylvania Electric Company</t>
  </si>
  <si>
    <t>Pennsylvania Power Company</t>
  </si>
  <si>
    <t>Potomac Edison Company</t>
  </si>
  <si>
    <t>Toledo Edison Company</t>
  </si>
  <si>
    <t>West Penn Power Company</t>
  </si>
  <si>
    <t>Idaho Power Co.</t>
  </si>
  <si>
    <t>Florida Power &amp; Light Company</t>
  </si>
  <si>
    <t>Gulf Power Company</t>
  </si>
  <si>
    <t>Oklahoma Gas and Electric Company</t>
  </si>
  <si>
    <t>Arizona Public Service Company</t>
  </si>
  <si>
    <t>Public Service Company of New Mexico</t>
  </si>
  <si>
    <t>Kentucky Utilities Company</t>
  </si>
  <si>
    <t>Louisville Gas and Electric Company</t>
  </si>
  <si>
    <t>PPL Electric Utilities Corporation</t>
  </si>
  <si>
    <t>Alabama Power Company</t>
  </si>
  <si>
    <t>Georgia Power Company</t>
  </si>
  <si>
    <t>Mississippi Power Company</t>
  </si>
  <si>
    <t>Northern States Power Company - MN</t>
  </si>
  <si>
    <t>Northern States Power Company - WI</t>
  </si>
  <si>
    <t>Public Service Company of Colorado</t>
  </si>
  <si>
    <t>Southwestern Public Service Company</t>
  </si>
  <si>
    <t xml:space="preserve">[2] Natural Gas and Electric Operating Subsidiaries with data listed as N/A from SNL Financial have been excluded from the analysis.  </t>
  </si>
  <si>
    <t>RISK ASSESSMENT</t>
  </si>
  <si>
    <t>Revenue Decoupling</t>
  </si>
  <si>
    <t>Capital Cost Recovery Mechanism</t>
  </si>
  <si>
    <t/>
  </si>
  <si>
    <t>Illinois</t>
  </si>
  <si>
    <t>Electric</t>
  </si>
  <si>
    <t>Arkansas</t>
  </si>
  <si>
    <t>Indiana</t>
  </si>
  <si>
    <t>Michigan</t>
  </si>
  <si>
    <t>Ohio</t>
  </si>
  <si>
    <t>Texas</t>
  </si>
  <si>
    <t>Virginia</t>
  </si>
  <si>
    <t>West Virginia</t>
  </si>
  <si>
    <t>FirstEnergy Corp.</t>
  </si>
  <si>
    <t>Maryland</t>
  </si>
  <si>
    <t>Pennsylvania</t>
  </si>
  <si>
    <t>Evergy, Inc.</t>
  </si>
  <si>
    <t>Minnesota</t>
  </si>
  <si>
    <t>North Dakota</t>
  </si>
  <si>
    <t>Capital Cost Recovery</t>
  </si>
  <si>
    <t>Proxy Group Average</t>
  </si>
  <si>
    <t>Forecast</t>
  </si>
  <si>
    <t>RDM</t>
  </si>
  <si>
    <t>CCRM</t>
  </si>
  <si>
    <t xml:space="preserve">COMPARISON OF PACIFIC POWER AND PROXY GROUP COMPANIES  </t>
  </si>
  <si>
    <t>N/A</t>
  </si>
  <si>
    <t>Fuel Cost Recovery Mechanism</t>
  </si>
  <si>
    <t>Iowa</t>
  </si>
  <si>
    <t>Wisconsin</t>
  </si>
  <si>
    <t>Alaska</t>
  </si>
  <si>
    <t>Idaho</t>
  </si>
  <si>
    <t>North Carolina</t>
  </si>
  <si>
    <t>South Carolina</t>
  </si>
  <si>
    <t>Utah</t>
  </si>
  <si>
    <t>Florida</t>
  </si>
  <si>
    <t>Louisiana PSC</t>
  </si>
  <si>
    <t>Louisiana NOCC</t>
  </si>
  <si>
    <t>Montana</t>
  </si>
  <si>
    <t>Nebraska</t>
  </si>
  <si>
    <t>South Dakota</t>
  </si>
  <si>
    <t>New Mexico</t>
  </si>
  <si>
    <t>Georgia</t>
  </si>
  <si>
    <t>Colorado</t>
  </si>
  <si>
    <t>[2] Source: "Alternative Regulation for Evolving Utility Challenges," Prepared by Pacific Economics Group Research for Edison Electric Institute, Table 6, November 2015; S&amp;P RRA Research; Company Investor Presentations.</t>
  </si>
  <si>
    <t>PROXY GROUP SCREENING DATA AND RESULTS - FINAL PROXY GROUP</t>
  </si>
  <si>
    <t>Arizona</t>
  </si>
  <si>
    <t>CenterPoint Energy Houston Electric, LLC</t>
  </si>
  <si>
    <t>Texas-New Mexico Power Company</t>
  </si>
  <si>
    <t>Yes / N/A</t>
  </si>
  <si>
    <t>[15]</t>
  </si>
  <si>
    <t>[16]</t>
  </si>
  <si>
    <t>Annualized Dividend  
(2021- 2023)</t>
  </si>
  <si>
    <t>Average Growth Rate</t>
  </si>
  <si>
    <t xml:space="preserve">High </t>
  </si>
  <si>
    <t xml:space="preserve">Low </t>
  </si>
  <si>
    <t xml:space="preserve">[2] Source: Value Line </t>
  </si>
  <si>
    <t xml:space="preserve">[3] Source: Value Line </t>
  </si>
  <si>
    <t>[4] Equals Average ([2], [3])</t>
  </si>
  <si>
    <t>[5] Equals [1] / [4]</t>
  </si>
  <si>
    <t>[6] Equals [5] x (1 + 0.50 x [10])</t>
  </si>
  <si>
    <t>[7] Source: Value Line</t>
  </si>
  <si>
    <t>[8] Source: Yahoo! Finance</t>
  </si>
  <si>
    <t>[9] Source: Zacks</t>
  </si>
  <si>
    <t>[10] Equals Average ([7], [8], [9])</t>
  </si>
  <si>
    <t>[11] Equals [5] x (1 + 0.50 x Minimum ([7], [8], [9]) + Minimum ([7], [8], [9])</t>
  </si>
  <si>
    <t>[12] Equals [6] + [10]</t>
  </si>
  <si>
    <t>[13] Equals [5] x (1 + 0.50 x Maximum ([7], [8], [9]) + Maximum ([7], [8], [9])</t>
  </si>
  <si>
    <t>[15] Equals [12] if greater than 7.00%</t>
  </si>
  <si>
    <t>[16] Equals [13] if greater than 7.00%</t>
  </si>
  <si>
    <t>Stock Price (2022 - 2024)</t>
  </si>
  <si>
    <t>Projected DCF</t>
  </si>
  <si>
    <t>2022-2024 Projection</t>
  </si>
  <si>
    <t>[1] The analytical results included in the table reflect the results of the Constant Growth and Projected DCF analyses excluding the results for individual companies that did not meet the minimum threshold of 7 percent.</t>
  </si>
  <si>
    <t>Yes - Sharing Band</t>
  </si>
  <si>
    <t>[1] Ratios are weighted by actual common capital, preferred capital, and long-term debt of Operating Subsidiaries.</t>
  </si>
  <si>
    <t>Wyoming</t>
  </si>
  <si>
    <t>Georgia [6]</t>
  </si>
  <si>
    <t>North Dakota [6]</t>
  </si>
  <si>
    <t>Ohio [6]</t>
  </si>
  <si>
    <t xml:space="preserve">[1] Source: S&amp;P Global Market Intelligence, Regulatory Focus: Adjustment Clauses, dated November 12, 2019. Operating subsidiaries not covered in this report were excluded from this exhibit. </t>
  </si>
  <si>
    <t>[3] Source:  Regulatory Research Associates, effective as of November 26, 2019.</t>
  </si>
  <si>
    <t xml:space="preserve">[4] - [5] Source: S&amp;P Global Market Intelligence, Regulatory Focus: Adjustment Clauses, dated November 12, 2019. </t>
  </si>
  <si>
    <t>Entergy New Orleans, LLC</t>
  </si>
  <si>
    <t>MARKET RISK PREMIUM DERIVED FROM S&amp;P EARNINGS AND ESTIMATE REPORT</t>
  </si>
  <si>
    <t>[6] S&amp;P's estimate of the S&amp;P 500 Dividend Yield</t>
  </si>
  <si>
    <t>[7] S&amp;P's estimate of the S&amp;P 500 Growth Rate</t>
  </si>
  <si>
    <t>[9] Estimated Weighted Average Dividend Yield</t>
  </si>
  <si>
    <t>[10] Estimated Weighted Average Long-Term Growth Rate</t>
  </si>
  <si>
    <t>[11] S&amp;P 500 Estimated Required Market Return</t>
  </si>
  <si>
    <t>[6] Source: S&amp;P Dow Jones Indices, S&amp;P 500 Earnings and Estimate Report, September 30, 2019</t>
  </si>
  <si>
    <t>[7] Source: S&amp;P Dow Jones Indices, S&amp;P 500 Earnings and Estimate Report, September 30, 2019</t>
  </si>
  <si>
    <t>[9] Equals sum of Col. [14]</t>
  </si>
  <si>
    <t>[10] Equals sum of Col. [16]</t>
  </si>
  <si>
    <t>[11] Equals ([9] x (1 + (0.5 x [10]))) + [10]</t>
  </si>
  <si>
    <t xml:space="preserve">[12] Equals weight in S&amp;P 500 based on market capitalization </t>
  </si>
  <si>
    <t>[13] Source: Bloomberg Professional, as of September 30, 2019.</t>
  </si>
  <si>
    <t>[14] Equals [12] x [13]</t>
  </si>
  <si>
    <t>[15] Source: Bloomberg Professional, as of September 30, 2019.</t>
  </si>
  <si>
    <t>[16] Equals [12] x [15]</t>
  </si>
  <si>
    <t>[3] Source: Exhibit No. AEB-8, page 7 (Analysts Long-term growth estimates)</t>
  </si>
  <si>
    <t>[3] Source: Exhibit No. AEB-8, page 7 (S&amp;P Earnings and Estimates Report)</t>
  </si>
  <si>
    <t>Source: Exhibit No. AEB-11, pages 1-2 col. [7]</t>
  </si>
  <si>
    <t>2019Q3</t>
  </si>
  <si>
    <t>2019Q2</t>
  </si>
  <si>
    <t>2019Q1</t>
  </si>
  <si>
    <t>2018Q4</t>
  </si>
  <si>
    <t>2018Q3</t>
  </si>
  <si>
    <t>2018Q2</t>
  </si>
  <si>
    <t>2018Q1</t>
  </si>
  <si>
    <t>2017Q4</t>
  </si>
  <si>
    <t>Calculated Return on the S&amp;P 500 Companies</t>
  </si>
  <si>
    <t>S&amp;P Implied Return on the S&amp;P 500</t>
  </si>
  <si>
    <t xml:space="preserve">30-DAY CONSTANT GROWTH DCF -- PACIFICORP PROXY GROUP </t>
  </si>
  <si>
    <t xml:space="preserve">90-DAY CONSTANT GROWTH DCF -- PACIFICORP PROXY GROUP </t>
  </si>
  <si>
    <t xml:space="preserve">180-DAY CONSTANT GROWTH DCF -- PACIFICORP PROXY GROUP </t>
  </si>
  <si>
    <t>PROJECTED CONSTANT GROWTH DCF -- PACIFICORP PROXY GROUP</t>
  </si>
  <si>
    <t>PacifiCorp</t>
  </si>
  <si>
    <t>PacifiCorp CapEx Total (2020 - 2024)</t>
  </si>
  <si>
    <t>PacifiCorp CapEx Annual Average</t>
  </si>
  <si>
    <t>PacifiCorp as % Proxy Group Median</t>
  </si>
  <si>
    <t>PacifiCorp/Proxy Group</t>
  </si>
  <si>
    <t>PacifiCorp [7]</t>
  </si>
  <si>
    <t>[7] Data provided by PacifiCorp</t>
  </si>
  <si>
    <t>[6] Operations classified as full revenue decoupling since the company operates under a straight fixed-variable rate design.</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</si>
</sst>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
    <numFmt numFmtId="166" formatCode="0.0000"/>
    <numFmt numFmtId="167" formatCode="_(&quot;$&quot;* #,##0.00000_);_(&quot;$&quot;* \(#,##0.00000\);_(&quot;$&quot;* &quot;-&quot;?????_);_(@_)"/>
    <numFmt numFmtId="168" formatCode="0.00_);\(0.00\)"/>
    <numFmt numFmtId="169" formatCode="&quot;$&quot;* #,##0_);&quot;$&quot;* \(#,##0\)"/>
    <numFmt numFmtId="170" formatCode="_(* #,##0.00000_);_(* \(#,##0.00000\);_(* &quot;-&quot;?????_);_(@_)"/>
    <numFmt numFmtId="171" formatCode="General_)"/>
    <numFmt numFmtId="172" formatCode="0.000"/>
    <numFmt numFmtId="173" formatCode="_(* #,##0_);_(* \(#,##0\);_(* &quot;-&quot;??_);_(@_)"/>
    <numFmt numFmtId="174" formatCode="&quot;[&quot;#&quot;]&quot;"/>
    <numFmt numFmtId="175" formatCode="_(* #,##0.000000_);_(* \(#,##0.000000\);_(* &quot;-&quot;??_);_(@_)"/>
    <numFmt numFmtId="176" formatCode="_(* #,##0.0000_);_(* \(#,##0.0000\);_(* &quot;-&quot;??_);_(@_)"/>
    <numFmt numFmtId="177" formatCode="&quot;$&quot;#,##0.0"/>
    <numFmt numFmtId="178" formatCode="0.0%"/>
    <numFmt numFmtId="179" formatCode="0.0000%"/>
    <numFmt numFmtId="180" formatCode="0.00\%"/>
    <numFmt numFmtId="181" formatCode="0.00000"/>
    <numFmt numFmtId="182" formatCode="_(* #,##0.00000_);_(* \(#,##0.00000\);_(* &quot;-&quot;??_);_(@_)"/>
    <numFmt numFmtId="183" formatCode="[$-409]mmm\-yy;@"/>
  </numFmts>
  <fonts count="10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8"/>
      <name val="Arial"/>
      <family val="2"/>
    </font>
    <font>
      <b/>
      <sz val="10"/>
      <name val="Arial"/>
      <family val="2"/>
    </font>
    <font>
      <b/>
      <sz val="9"/>
      <name val="Arial"/>
      <family val="2"/>
    </font>
    <font>
      <i/>
      <sz val="10"/>
      <color indexed="23"/>
      <name val="Arial"/>
      <family val="2"/>
    </font>
    <font>
      <b/>
      <sz val="14"/>
      <color indexed="9"/>
      <name val="Arial"/>
      <family val="2"/>
    </font>
    <font>
      <b/>
      <sz val="14"/>
      <name val="Arial"/>
      <family val="2"/>
    </font>
    <font>
      <b/>
      <sz val="12"/>
      <color indexed="9"/>
      <name val="Arial"/>
      <family val="2"/>
    </font>
    <font>
      <b/>
      <sz val="12"/>
      <name val="Arial"/>
      <family val="2"/>
    </font>
    <font>
      <b/>
      <sz val="10"/>
      <name val="Arial"/>
      <family val="2"/>
    </font>
    <font>
      <b/>
      <sz val="10"/>
      <color indexed="9"/>
      <name val="Arial"/>
      <family val="2"/>
    </font>
    <font>
      <b/>
      <i/>
      <sz val="8"/>
      <color indexed="9"/>
      <name val="Arial"/>
      <family val="2"/>
    </font>
    <font>
      <b/>
      <sz val="8"/>
      <name val="Arial"/>
      <family val="2"/>
    </font>
    <font>
      <sz val="10"/>
      <color indexed="10"/>
      <name val="Arial"/>
      <family val="2"/>
    </font>
    <font>
      <sz val="10"/>
      <color rgb="FF0000FF"/>
      <name val="Arial"/>
      <family val="2"/>
    </font>
    <font>
      <u/>
      <sz val="8.5"/>
      <color theme="10"/>
      <name val="Arial"/>
      <family val="2"/>
    </font>
    <font>
      <u/>
      <sz val="11"/>
      <color theme="10"/>
      <name val="Calibri"/>
      <family val="2"/>
    </font>
    <font>
      <u/>
      <sz val="10"/>
      <color theme="10"/>
      <name val="Arial"/>
      <family val="2"/>
    </font>
    <font>
      <sz val="10"/>
      <color indexed="8"/>
      <name val="Arial"/>
      <family val="2"/>
    </font>
    <font>
      <sz val="11"/>
      <color theme="0"/>
      <name val="Calibri"/>
      <family val="2"/>
      <scheme val="minor"/>
    </font>
    <font>
      <sz val="10"/>
      <color indexed="9"/>
      <name val="Arial"/>
      <family val="2"/>
    </font>
    <font>
      <sz val="10"/>
      <color rgb="FFFF6600"/>
      <name val="Arial"/>
      <family val="2"/>
    </font>
    <font>
      <sz val="11"/>
      <color rgb="FF9C0006"/>
      <name val="Calibri"/>
      <family val="2"/>
      <scheme val="minor"/>
    </font>
    <font>
      <sz val="10"/>
      <color indexed="20"/>
      <name val="Arial"/>
      <family val="2"/>
    </font>
    <font>
      <b/>
      <sz val="11"/>
      <color rgb="FFFA7D00"/>
      <name val="Calibri"/>
      <family val="2"/>
      <scheme val="minor"/>
    </font>
    <font>
      <b/>
      <sz val="10"/>
      <color indexed="52"/>
      <name val="Arial"/>
      <family val="2"/>
    </font>
    <font>
      <b/>
      <sz val="11"/>
      <color theme="0"/>
      <name val="Calibri"/>
      <family val="2"/>
      <scheme val="minor"/>
    </font>
    <font>
      <sz val="11"/>
      <color indexed="8"/>
      <name val="Calibri"/>
      <family val="2"/>
    </font>
    <font>
      <sz val="12"/>
      <color indexed="8"/>
      <name val="Arial"/>
      <family val="2"/>
    </font>
    <font>
      <sz val="11"/>
      <color theme="1"/>
      <name val="Calibri"/>
      <family val="2"/>
    </font>
    <font>
      <sz val="12"/>
      <name val="Tms Rmn"/>
    </font>
    <font>
      <sz val="24"/>
      <name val="Arial"/>
      <family val="2"/>
    </font>
    <font>
      <sz val="10"/>
      <name val="Helv"/>
    </font>
    <font>
      <i/>
      <sz val="11"/>
      <color rgb="FF7F7F7F"/>
      <name val="Calibri"/>
      <family val="2"/>
      <scheme val="minor"/>
    </font>
    <font>
      <sz val="11"/>
      <color rgb="FF006100"/>
      <name val="Calibri"/>
      <family val="2"/>
      <scheme val="minor"/>
    </font>
    <font>
      <sz val="10"/>
      <color indexed="17"/>
      <name val="Arial"/>
      <family val="2"/>
    </font>
    <font>
      <sz val="10"/>
      <color rgb="FF660066"/>
      <name val="Arial"/>
      <family val="2"/>
    </font>
    <font>
      <b/>
      <sz val="11"/>
      <name val="Arial"/>
      <family val="2"/>
    </font>
    <font>
      <b/>
      <sz val="15"/>
      <color theme="3"/>
      <name val="Calibri"/>
      <family val="2"/>
      <scheme val="minor"/>
    </font>
    <font>
      <b/>
      <sz val="15"/>
      <color indexed="56"/>
      <name val="Arial"/>
      <family val="2"/>
    </font>
    <font>
      <b/>
      <sz val="13"/>
      <color theme="3"/>
      <name val="Calibri"/>
      <family val="2"/>
      <scheme val="minor"/>
    </font>
    <font>
      <b/>
      <sz val="13"/>
      <color indexed="56"/>
      <name val="Arial"/>
      <family val="2"/>
    </font>
    <font>
      <b/>
      <sz val="11"/>
      <color theme="3"/>
      <name val="Calibri"/>
      <family val="2"/>
      <scheme val="minor"/>
    </font>
    <font>
      <b/>
      <sz val="11"/>
      <color indexed="56"/>
      <name val="Arial"/>
      <family val="2"/>
    </font>
    <font>
      <sz val="11"/>
      <color rgb="FF3F3F76"/>
      <name val="Calibri"/>
      <family val="2"/>
      <scheme val="minor"/>
    </font>
    <font>
      <sz val="10"/>
      <color indexed="62"/>
      <name val="Arial"/>
      <family val="2"/>
    </font>
    <font>
      <b/>
      <sz val="12"/>
      <name val="Tms Rmn"/>
    </font>
    <font>
      <sz val="11"/>
      <color rgb="FFFA7D00"/>
      <name val="Calibri"/>
      <family val="2"/>
      <scheme val="minor"/>
    </font>
    <font>
      <sz val="10"/>
      <color indexed="52"/>
      <name val="Arial"/>
      <family val="2"/>
    </font>
    <font>
      <sz val="11"/>
      <color rgb="FF9C6500"/>
      <name val="Calibri"/>
      <family val="2"/>
      <scheme val="minor"/>
    </font>
    <font>
      <sz val="10"/>
      <color indexed="60"/>
      <name val="Arial"/>
      <family val="2"/>
    </font>
    <font>
      <sz val="11"/>
      <color theme="1"/>
      <name val="Arial"/>
      <family val="2"/>
    </font>
    <font>
      <sz val="12"/>
      <name val="Arial MT"/>
    </font>
    <font>
      <b/>
      <sz val="11"/>
      <color rgb="FF3F3F3F"/>
      <name val="Calibri"/>
      <family val="2"/>
      <scheme val="minor"/>
    </font>
    <font>
      <b/>
      <sz val="10"/>
      <color indexed="63"/>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9.75"/>
      <name val="Arial"/>
      <family val="2"/>
    </font>
    <font>
      <sz val="10"/>
      <name val="MS Sans Serif"/>
      <family val="2"/>
    </font>
    <font>
      <b/>
      <sz val="10"/>
      <name val="MS Sans Serif"/>
      <family val="2"/>
    </font>
    <font>
      <u/>
      <sz val="10"/>
      <name val="Arial"/>
      <family val="2"/>
    </font>
    <font>
      <sz val="12"/>
      <color indexed="13"/>
      <name val="Tms Rmn"/>
    </font>
    <font>
      <b/>
      <sz val="18"/>
      <color indexed="56"/>
      <name val="Cambria"/>
      <family val="2"/>
    </font>
    <font>
      <b/>
      <sz val="11"/>
      <color theme="1"/>
      <name val="Calibri"/>
      <family val="2"/>
      <scheme val="minor"/>
    </font>
    <font>
      <b/>
      <sz val="10"/>
      <color indexed="8"/>
      <name val="Arial"/>
      <family val="2"/>
    </font>
    <font>
      <sz val="12"/>
      <color indexed="8"/>
      <name val="Arial MT"/>
    </font>
    <font>
      <sz val="11"/>
      <color rgb="FFFF0000"/>
      <name val="Calibri"/>
      <family val="2"/>
      <scheme val="minor"/>
    </font>
    <font>
      <sz val="11"/>
      <name val="Garamond"/>
      <family val="1"/>
    </font>
    <font>
      <sz val="12"/>
      <name val="Times New Roman"/>
      <family val="1"/>
    </font>
    <font>
      <i/>
      <sz val="10"/>
      <name val="Arial"/>
      <family val="2"/>
    </font>
    <font>
      <u/>
      <sz val="10"/>
      <color theme="1"/>
      <name val="Arial"/>
      <family val="2"/>
    </font>
    <font>
      <sz val="10"/>
      <color theme="0"/>
      <name val="Arial"/>
      <family val="2"/>
    </font>
    <font>
      <sz val="11"/>
      <name val="Arial"/>
      <family val="2"/>
    </font>
    <font>
      <vertAlign val="superscript"/>
      <sz val="11"/>
      <name val="Arial"/>
      <family val="2"/>
    </font>
    <font>
      <b/>
      <i/>
      <sz val="11"/>
      <name val="Arial"/>
      <family val="2"/>
    </font>
    <font>
      <sz val="11"/>
      <color rgb="FF000000"/>
      <name val="Arial"/>
      <family val="2"/>
    </font>
    <font>
      <sz val="10"/>
      <name val="Times New Roman"/>
      <family val="1"/>
    </font>
    <font>
      <sz val="12"/>
      <color theme="1"/>
      <name val="Times New Roman"/>
      <family val="1"/>
    </font>
    <font>
      <b/>
      <sz val="10"/>
      <color theme="1"/>
      <name val="Arial"/>
      <family val="2"/>
    </font>
    <font>
      <sz val="10"/>
      <color theme="0"/>
      <name val="Ariel"/>
      <family val="2"/>
    </font>
  </fonts>
  <fills count="64">
    <fill>
      <patternFill patternType="none"/>
    </fill>
    <fill>
      <patternFill patternType="gray125"/>
    </fill>
    <fill>
      <patternFill patternType="solid">
        <fgColor indexed="63"/>
        <bgColor indexed="64"/>
      </patternFill>
    </fill>
    <fill>
      <patternFill patternType="solid">
        <fgColor indexed="8"/>
        <bgColor indexed="64"/>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3"/>
      </patternFill>
    </fill>
    <fill>
      <patternFill patternType="solid">
        <fgColor indexed="43"/>
      </patternFill>
    </fill>
    <fill>
      <patternFill patternType="mediumGray">
        <fgColor indexed="22"/>
      </patternFill>
    </fill>
    <fill>
      <patternFill patternType="solid">
        <fgColor indexed="12"/>
      </patternFill>
    </fill>
    <fill>
      <patternFill patternType="solid">
        <fgColor theme="0" tint="-4.9989318521683403E-2"/>
        <bgColor indexed="64"/>
      </patternFill>
    </fill>
    <fill>
      <patternFill patternType="solid">
        <fgColor theme="0"/>
        <bgColor indexed="64"/>
      </patternFill>
    </fill>
  </fills>
  <borders count="51">
    <border>
      <left/>
      <right/>
      <top/>
      <bottom/>
      <diagonal/>
    </border>
    <border>
      <left/>
      <right/>
      <top/>
      <bottom style="medium">
        <color indexed="64"/>
      </bottom>
      <diagonal/>
    </border>
    <border>
      <left/>
      <right/>
      <top/>
      <bottom style="thin">
        <color indexed="64"/>
      </bottom>
      <diagonal/>
    </border>
    <border>
      <left/>
      <right style="thin">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auto="1"/>
      </top>
      <bottom/>
      <diagonal/>
    </border>
    <border>
      <left style="thin">
        <color indexed="8"/>
      </left>
      <right style="thin">
        <color indexed="8"/>
      </right>
      <top style="thin">
        <color indexed="8"/>
      </top>
      <bottom style="thin">
        <color indexed="8"/>
      </bottom>
      <diagonal/>
    </border>
    <border>
      <left/>
      <right/>
      <top style="medium">
        <color indexed="8"/>
      </top>
      <bottom style="double">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bottom style="medium">
        <color indexed="8"/>
      </bottom>
      <diagonal/>
    </border>
    <border>
      <left/>
      <right/>
      <top style="medium">
        <color auto="1"/>
      </top>
      <bottom/>
      <diagonal/>
    </border>
    <border>
      <left/>
      <right/>
      <top/>
      <bottom style="thin">
        <color auto="1"/>
      </bottom>
      <diagonal/>
    </border>
    <border>
      <left/>
      <right style="medium">
        <color auto="1"/>
      </right>
      <top style="thin">
        <color indexed="64"/>
      </top>
      <bottom style="thin">
        <color indexed="64"/>
      </bottom>
      <diagonal/>
    </border>
    <border>
      <left/>
      <right/>
      <top style="medium">
        <color auto="1"/>
      </top>
      <bottom style="thin">
        <color auto="1"/>
      </bottom>
      <diagonal/>
    </border>
    <border>
      <left style="thin">
        <color indexed="64"/>
      </left>
      <right/>
      <top style="thin">
        <color indexed="64"/>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7560">
    <xf numFmtId="0" fontId="0" fillId="0" borderId="0"/>
    <xf numFmtId="0" fontId="23" fillId="0" borderId="0" applyNumberFormat="0" applyFill="0" applyBorder="0" applyProtection="0">
      <alignment wrapText="1"/>
    </xf>
    <xf numFmtId="0" fontId="23" fillId="0" borderId="0" applyNumberFormat="0" applyFill="0" applyBorder="0" applyProtection="0">
      <alignment horizontal="justify" vertical="top" wrapText="1"/>
    </xf>
    <xf numFmtId="9" fontId="23" fillId="0" borderId="0" applyFont="0" applyFill="0" applyBorder="0" applyAlignment="0" applyProtection="0"/>
    <xf numFmtId="0" fontId="29" fillId="2" borderId="0" applyNumberFormat="0" applyBorder="0" applyAlignment="0" applyProtection="0"/>
    <xf numFmtId="0" fontId="30" fillId="0" borderId="0" applyNumberFormat="0" applyFill="0" applyBorder="0" applyAlignment="0" applyProtection="0"/>
    <xf numFmtId="0" fontId="31" fillId="2" borderId="0" applyNumberFormat="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3" borderId="0" applyNumberFormat="0" applyBorder="0" applyAlignment="0" applyProtection="0"/>
    <xf numFmtId="0" fontId="34" fillId="3" borderId="0" applyNumberFormat="0" applyBorder="0" applyProtection="0">
      <alignment horizontal="center"/>
    </xf>
    <xf numFmtId="0" fontId="35" fillId="3" borderId="0" applyNumberFormat="0" applyBorder="0" applyAlignment="0" applyProtection="0"/>
    <xf numFmtId="0" fontId="23" fillId="0" borderId="0" applyNumberFormat="0" applyFont="0" applyFill="0" applyBorder="0" applyProtection="0">
      <alignment horizontal="right"/>
    </xf>
    <xf numFmtId="0" fontId="23" fillId="0" borderId="0" applyNumberFormat="0" applyFont="0" applyFill="0" applyBorder="0" applyProtection="0">
      <alignment horizontal="left"/>
    </xf>
    <xf numFmtId="0" fontId="24" fillId="0" borderId="0" applyNumberFormat="0" applyFill="0" applyBorder="0" applyAlignment="0" applyProtection="0"/>
    <xf numFmtId="0" fontId="36" fillId="0" borderId="0" applyNumberFormat="0" applyFill="0" applyBorder="0" applyAlignment="0" applyProtection="0"/>
    <xf numFmtId="0" fontId="23" fillId="4" borderId="0" applyNumberFormat="0" applyFont="0" applyBorder="0" applyAlignment="0" applyProtection="0"/>
    <xf numFmtId="166" fontId="23" fillId="0" borderId="0" applyFont="0" applyFill="0" applyBorder="0" applyAlignment="0" applyProtection="0"/>
    <xf numFmtId="2" fontId="23" fillId="0" borderId="0" applyFont="0" applyFill="0" applyBorder="0" applyAlignment="0" applyProtection="0"/>
    <xf numFmtId="165" fontId="23" fillId="0" borderId="0" applyFont="0" applyFill="0" applyBorder="0" applyAlignment="0" applyProtection="0"/>
    <xf numFmtId="0" fontId="23" fillId="0" borderId="1" applyNumberFormat="0" applyFont="0" applyFill="0" applyAlignment="0" applyProtection="0"/>
    <xf numFmtId="0" fontId="22" fillId="0" borderId="0"/>
    <xf numFmtId="0" fontId="21" fillId="0" borderId="0"/>
    <xf numFmtId="0" fontId="21" fillId="0" borderId="0"/>
    <xf numFmtId="0" fontId="21" fillId="0" borderId="0"/>
    <xf numFmtId="44" fontId="21" fillId="0" borderId="0" applyFont="0" applyFill="0" applyBorder="0" applyAlignment="0" applyProtection="0"/>
    <xf numFmtId="0" fontId="20" fillId="0" borderId="0"/>
    <xf numFmtId="0" fontId="20" fillId="0" borderId="0"/>
    <xf numFmtId="0" fontId="21" fillId="0" borderId="0"/>
    <xf numFmtId="0" fontId="20" fillId="0" borderId="0"/>
    <xf numFmtId="0" fontId="26" fillId="0" borderId="0" applyNumberFormat="0" applyFill="0" applyBorder="0" applyAlignment="0" applyProtection="0"/>
    <xf numFmtId="0" fontId="25" fillId="0" borderId="0" applyNumberFormat="0" applyFill="0" applyBorder="0" applyAlignment="0" applyProtection="0"/>
    <xf numFmtId="43" fontId="21" fillId="0" borderId="0" applyFont="0" applyFill="0" applyBorder="0" applyAlignment="0" applyProtection="0"/>
    <xf numFmtId="9" fontId="21" fillId="0" borderId="0" applyFont="0" applyFill="0" applyBorder="0" applyAlignment="0" applyProtection="0"/>
    <xf numFmtId="0" fontId="39" fillId="0" borderId="0" applyNumberFormat="0" applyFill="0" applyBorder="0" applyAlignment="0" applyProtection="0">
      <alignment vertical="top"/>
      <protection locked="0"/>
    </xf>
    <xf numFmtId="0" fontId="23" fillId="0" borderId="0"/>
    <xf numFmtId="0" fontId="19" fillId="0" borderId="0"/>
    <xf numFmtId="0" fontId="20" fillId="0" borderId="0"/>
    <xf numFmtId="0" fontId="20" fillId="0" borderId="0"/>
    <xf numFmtId="44"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0" fontId="23" fillId="0" borderId="0"/>
    <xf numFmtId="42" fontId="23" fillId="0" borderId="0" applyFill="0" applyBorder="0" applyProtection="0">
      <alignment horizontal="left"/>
    </xf>
    <xf numFmtId="42" fontId="38" fillId="0" borderId="0" applyFill="0" applyBorder="0" applyAlignment="0" applyProtection="0"/>
    <xf numFmtId="44" fontId="19" fillId="0" borderId="0">
      <alignment horizontal="left"/>
    </xf>
    <xf numFmtId="167" fontId="23" fillId="0" borderId="16" applyBorder="0">
      <alignment horizontal="center"/>
    </xf>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42" fillId="3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42" fillId="3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42" fillId="40"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42" fillId="4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42" fillId="42"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42" fillId="43"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42" fillId="44"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42" fillId="45"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42" fillId="46"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42" fillId="41"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42" fillId="44"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42" fillId="4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4" fillId="48"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44" fillId="45"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4" fillId="46"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4" fillId="49" borderId="0" applyNumberFormat="0" applyBorder="0" applyAlignment="0" applyProtection="0"/>
    <xf numFmtId="0" fontId="43" fillId="33" borderId="0" applyNumberFormat="0" applyBorder="0" applyAlignment="0" applyProtection="0"/>
    <xf numFmtId="0" fontId="43" fillId="33" borderId="0" applyNumberFormat="0" applyBorder="0" applyAlignment="0" applyProtection="0"/>
    <xf numFmtId="0" fontId="43" fillId="33" borderId="0" applyNumberFormat="0" applyBorder="0" applyAlignment="0" applyProtection="0"/>
    <xf numFmtId="0" fontId="43" fillId="33" borderId="0" applyNumberFormat="0" applyBorder="0" applyAlignment="0" applyProtection="0"/>
    <xf numFmtId="0" fontId="44" fillId="50"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4" fillId="51"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4" fillId="52"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4" fillId="53"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4" fillId="54"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4" fillId="49"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4" fillId="50" borderId="0" applyNumberFormat="0" applyBorder="0" applyAlignment="0" applyProtection="0"/>
    <xf numFmtId="0" fontId="43" fillId="34" borderId="0" applyNumberFormat="0" applyBorder="0" applyAlignment="0" applyProtection="0"/>
    <xf numFmtId="0" fontId="43" fillId="34" borderId="0" applyNumberFormat="0" applyBorder="0" applyAlignment="0" applyProtection="0"/>
    <xf numFmtId="0" fontId="43" fillId="34" borderId="0" applyNumberFormat="0" applyBorder="0" applyAlignment="0" applyProtection="0"/>
    <xf numFmtId="0" fontId="43" fillId="34" borderId="0" applyNumberFormat="0" applyBorder="0" applyAlignment="0" applyProtection="0"/>
    <xf numFmtId="0" fontId="44" fillId="55" borderId="0" applyNumberFormat="0" applyBorder="0" applyAlignment="0" applyProtection="0"/>
    <xf numFmtId="43" fontId="19" fillId="0" borderId="0">
      <alignment horizontal="left"/>
    </xf>
    <xf numFmtId="168" fontId="19" fillId="0" borderId="0">
      <alignment horizontal="left"/>
    </xf>
    <xf numFmtId="37" fontId="23" fillId="0" borderId="0" applyNumberFormat="0" applyBorder="0" applyAlignment="0"/>
    <xf numFmtId="38" fontId="45" fillId="0" borderId="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7" fillId="39" borderId="0" applyNumberFormat="0" applyBorder="0" applyAlignment="0" applyProtection="0"/>
    <xf numFmtId="0" fontId="48" fillId="11" borderId="10" applyNumberFormat="0" applyAlignment="0" applyProtection="0"/>
    <xf numFmtId="0" fontId="48" fillId="11" borderId="10" applyNumberFormat="0" applyAlignment="0" applyProtection="0"/>
    <xf numFmtId="0" fontId="48" fillId="11" borderId="10" applyNumberFormat="0" applyAlignment="0" applyProtection="0"/>
    <xf numFmtId="0" fontId="48" fillId="11" borderId="10" applyNumberFormat="0" applyAlignment="0" applyProtection="0"/>
    <xf numFmtId="0" fontId="49" fillId="56" borderId="17" applyNumberFormat="0" applyAlignment="0" applyProtection="0"/>
    <xf numFmtId="0" fontId="50" fillId="12" borderId="13" applyNumberFormat="0" applyAlignment="0" applyProtection="0"/>
    <xf numFmtId="0" fontId="50" fillId="12" borderId="13" applyNumberFormat="0" applyAlignment="0" applyProtection="0"/>
    <xf numFmtId="0" fontId="50" fillId="12" borderId="13" applyNumberFormat="0" applyAlignment="0" applyProtection="0"/>
    <xf numFmtId="0" fontId="50" fillId="12" borderId="13" applyNumberFormat="0" applyAlignment="0" applyProtection="0"/>
    <xf numFmtId="0" fontId="34" fillId="57" borderId="18" applyNumberFormat="0" applyAlignment="0" applyProtection="0"/>
    <xf numFmtId="37" fontId="19" fillId="0" borderId="0">
      <alignment horizontal="center"/>
    </xf>
    <xf numFmtId="37" fontId="23" fillId="0" borderId="0" applyNumberFormat="0" applyFill="0" applyBorder="0" applyProtection="0">
      <alignment horizontal="centerContinuous"/>
    </xf>
    <xf numFmtId="37" fontId="19" fillId="0" borderId="2">
      <alignment horizontal="center"/>
    </xf>
    <xf numFmtId="37" fontId="19" fillId="0" borderId="2">
      <alignment horizontal="center"/>
    </xf>
    <xf numFmtId="41"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0" fillId="0" borderId="0" applyFont="0" applyFill="0" applyBorder="0" applyAlignment="0" applyProtection="0"/>
    <xf numFmtId="43" fontId="23" fillId="0" borderId="0" applyFont="0" applyFill="0" applyBorder="0" applyAlignment="0" applyProtection="0"/>
    <xf numFmtId="43" fontId="2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51"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51" fillId="0" borderId="0" applyFont="0" applyFill="0" applyBorder="0" applyAlignment="0" applyProtection="0"/>
    <xf numFmtId="43" fontId="23"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2"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23"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23"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2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0" fillId="0" borderId="0" applyFont="0" applyFill="0" applyBorder="0" applyAlignment="0" applyProtection="0"/>
    <xf numFmtId="43" fontId="51" fillId="0" borderId="0" applyFont="0" applyFill="0" applyBorder="0" applyAlignment="0" applyProtection="0"/>
    <xf numFmtId="43" fontId="23"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0"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1"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0" fontId="23" fillId="0" borderId="0" applyNumberFormat="0" applyFill="0" applyBorder="0" applyAlignment="0" applyProtection="0"/>
    <xf numFmtId="43" fontId="2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20"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0"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1" fillId="0" borderId="0" applyFont="0" applyFill="0" applyBorder="0" applyAlignment="0" applyProtection="0"/>
    <xf numFmtId="43" fontId="2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3" fontId="23" fillId="0" borderId="0" applyFont="0" applyFill="0" applyBorder="0" applyAlignment="0" applyProtection="0"/>
    <xf numFmtId="37" fontId="23" fillId="0" borderId="0" applyFill="0" applyBorder="0" applyAlignment="0" applyProtection="0"/>
    <xf numFmtId="0" fontId="23" fillId="0" borderId="0" applyNumberFormat="0" applyFill="0" applyBorder="0" applyAlignment="0" applyProtection="0"/>
    <xf numFmtId="4" fontId="27" fillId="0" borderId="1" applyFill="0" applyProtection="0">
      <alignment horizontal="center" vertical="center" wrapText="1"/>
    </xf>
    <xf numFmtId="0" fontId="23" fillId="0" borderId="0" applyNumberForma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52"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23" fillId="0" borderId="0" applyFont="0" applyFill="0" applyBorder="0" applyAlignment="0" applyProtection="0"/>
    <xf numFmtId="0" fontId="23" fillId="0" borderId="0" applyNumberForma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3" fillId="0" borderId="0" applyNumberForma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2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20" fillId="0" borderId="0" applyFont="0" applyFill="0" applyBorder="0" applyAlignment="0" applyProtection="0"/>
    <xf numFmtId="44" fontId="51" fillId="0" borderId="0" applyFont="0" applyFill="0" applyBorder="0" applyAlignment="0" applyProtection="0"/>
    <xf numFmtId="44" fontId="23"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5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1" fontId="23" fillId="0" borderId="0" applyFill="0" applyBorder="0" applyAlignment="0" applyProtection="0"/>
    <xf numFmtId="42" fontId="23" fillId="0" borderId="19"/>
    <xf numFmtId="42" fontId="23" fillId="0" borderId="19"/>
    <xf numFmtId="43" fontId="23" fillId="0" borderId="0" applyBorder="0">
      <alignment horizontal="left"/>
    </xf>
    <xf numFmtId="5" fontId="23" fillId="0" borderId="0" applyFill="0" applyBorder="0" applyAlignment="0" applyProtection="0"/>
    <xf numFmtId="0" fontId="54" fillId="0" borderId="0"/>
    <xf numFmtId="0" fontId="54" fillId="0" borderId="0"/>
    <xf numFmtId="0" fontId="54" fillId="0" borderId="20"/>
    <xf numFmtId="0" fontId="23" fillId="0" borderId="0" applyFont="0" applyFill="0" applyBorder="0" applyAlignment="0" applyProtection="0"/>
    <xf numFmtId="169" fontId="23" fillId="0" borderId="0"/>
    <xf numFmtId="7" fontId="55" fillId="0" borderId="21"/>
    <xf numFmtId="4" fontId="56" fillId="0" borderId="0" applyFont="0" applyBorder="0">
      <alignment horizontal="justify"/>
    </xf>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28" fillId="0" borderId="0" applyNumberFormat="0" applyFill="0" applyBorder="0" applyAlignment="0" applyProtection="0"/>
    <xf numFmtId="2" fontId="23" fillId="0" borderId="0" applyFont="0" applyFill="0" applyBorder="0" applyAlignment="0" applyProtection="0"/>
    <xf numFmtId="38" fontId="38" fillId="0" borderId="0"/>
    <xf numFmtId="170" fontId="23" fillId="0" borderId="0">
      <alignment horizontal="center"/>
    </xf>
    <xf numFmtId="0" fontId="58" fillId="7" borderId="0" applyNumberFormat="0" applyBorder="0" applyAlignment="0" applyProtection="0"/>
    <xf numFmtId="0" fontId="58" fillId="7" borderId="0" applyNumberFormat="0" applyBorder="0" applyAlignment="0" applyProtection="0"/>
    <xf numFmtId="0" fontId="58" fillId="7" borderId="0" applyNumberFormat="0" applyBorder="0" applyAlignment="0" applyProtection="0"/>
    <xf numFmtId="0" fontId="58" fillId="7" borderId="0" applyNumberFormat="0" applyBorder="0" applyAlignment="0" applyProtection="0"/>
    <xf numFmtId="0" fontId="59" fillId="40" borderId="0" applyNumberFormat="0" applyBorder="0" applyAlignment="0" applyProtection="0"/>
    <xf numFmtId="38" fontId="60" fillId="0" borderId="0"/>
    <xf numFmtId="49" fontId="61" fillId="0" borderId="0" applyNumberFormat="0" applyFill="0" applyBorder="0" applyProtection="0">
      <alignment horizontal="centerContinuous"/>
    </xf>
    <xf numFmtId="0" fontId="62" fillId="0" borderId="7" applyNumberFormat="0" applyFill="0" applyAlignment="0" applyProtection="0"/>
    <xf numFmtId="0" fontId="62" fillId="0" borderId="7" applyNumberFormat="0" applyFill="0" applyAlignment="0" applyProtection="0"/>
    <xf numFmtId="0" fontId="62" fillId="0" borderId="7" applyNumberFormat="0" applyFill="0" applyAlignment="0" applyProtection="0"/>
    <xf numFmtId="0" fontId="62" fillId="0" borderId="7" applyNumberFormat="0" applyFill="0" applyAlignment="0" applyProtection="0"/>
    <xf numFmtId="0" fontId="63" fillId="0" borderId="22" applyNumberFormat="0" applyFill="0" applyAlignment="0" applyProtection="0"/>
    <xf numFmtId="0" fontId="64" fillId="0" borderId="8" applyNumberFormat="0" applyFill="0" applyAlignment="0" applyProtection="0"/>
    <xf numFmtId="0" fontId="64" fillId="0" borderId="8" applyNumberFormat="0" applyFill="0" applyAlignment="0" applyProtection="0"/>
    <xf numFmtId="0" fontId="64" fillId="0" borderId="8" applyNumberFormat="0" applyFill="0" applyAlignment="0" applyProtection="0"/>
    <xf numFmtId="0" fontId="64" fillId="0" borderId="8" applyNumberFormat="0" applyFill="0" applyAlignment="0" applyProtection="0"/>
    <xf numFmtId="0" fontId="65" fillId="0" borderId="23" applyNumberFormat="0" applyFill="0" applyAlignment="0" applyProtection="0"/>
    <xf numFmtId="0" fontId="66" fillId="0" borderId="9" applyNumberFormat="0" applyFill="0" applyAlignment="0" applyProtection="0"/>
    <xf numFmtId="0" fontId="66" fillId="0" borderId="9" applyNumberFormat="0" applyFill="0" applyAlignment="0" applyProtection="0"/>
    <xf numFmtId="0" fontId="66" fillId="0" borderId="9" applyNumberFormat="0" applyFill="0" applyAlignment="0" applyProtection="0"/>
    <xf numFmtId="0" fontId="66" fillId="0" borderId="9" applyNumberFormat="0" applyFill="0" applyAlignment="0" applyProtection="0"/>
    <xf numFmtId="0" fontId="67" fillId="0" borderId="24"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52" fillId="6" borderId="0"/>
    <xf numFmtId="0" fontId="52" fillId="6" borderId="0"/>
    <xf numFmtId="0" fontId="68" fillId="10" borderId="10" applyNumberFormat="0" applyAlignment="0" applyProtection="0"/>
    <xf numFmtId="0" fontId="68" fillId="10" borderId="10" applyNumberFormat="0" applyAlignment="0" applyProtection="0"/>
    <xf numFmtId="0" fontId="68" fillId="10" borderId="10" applyNumberFormat="0" applyAlignment="0" applyProtection="0"/>
    <xf numFmtId="0" fontId="68" fillId="10" borderId="10" applyNumberFormat="0" applyAlignment="0" applyProtection="0"/>
    <xf numFmtId="0" fontId="69" fillId="43" borderId="17" applyNumberFormat="0" applyAlignment="0" applyProtection="0"/>
    <xf numFmtId="0" fontId="70" fillId="58" borderId="20"/>
    <xf numFmtId="37" fontId="24" fillId="0" borderId="0" applyBorder="0" applyAlignment="0" applyProtection="0"/>
    <xf numFmtId="0" fontId="24" fillId="5" borderId="0"/>
    <xf numFmtId="41" fontId="38" fillId="0" borderId="0" applyFill="0" applyBorder="0" applyAlignment="0" applyProtection="0"/>
    <xf numFmtId="0" fontId="71" fillId="0" borderId="12" applyNumberFormat="0" applyFill="0" applyAlignment="0" applyProtection="0"/>
    <xf numFmtId="0" fontId="71" fillId="0" borderId="12" applyNumberFormat="0" applyFill="0" applyAlignment="0" applyProtection="0"/>
    <xf numFmtId="0" fontId="71" fillId="0" borderId="12" applyNumberFormat="0" applyFill="0" applyAlignment="0" applyProtection="0"/>
    <xf numFmtId="0" fontId="71" fillId="0" borderId="12" applyNumberFormat="0" applyFill="0" applyAlignment="0" applyProtection="0"/>
    <xf numFmtId="0" fontId="72" fillId="0" borderId="25" applyNumberFormat="0" applyFill="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4" fillId="59" borderId="0" applyNumberFormat="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3" fillId="0" borderId="0"/>
    <xf numFmtId="0" fontId="19" fillId="0" borderId="0"/>
    <xf numFmtId="0" fontId="20" fillId="0" borderId="0"/>
    <xf numFmtId="0" fontId="19" fillId="0" borderId="0"/>
    <xf numFmtId="0" fontId="19" fillId="0" borderId="0"/>
    <xf numFmtId="0" fontId="23"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20"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20" fillId="0" borderId="0"/>
    <xf numFmtId="0" fontId="19" fillId="0" borderId="0"/>
    <xf numFmtId="0" fontId="23" fillId="0" borderId="0"/>
    <xf numFmtId="0" fontId="20" fillId="0" borderId="0"/>
    <xf numFmtId="0" fontId="19" fillId="0" borderId="0"/>
    <xf numFmtId="0" fontId="20" fillId="0" borderId="0"/>
    <xf numFmtId="0" fontId="20" fillId="0" borderId="0"/>
    <xf numFmtId="0" fontId="19" fillId="0" borderId="0"/>
    <xf numFmtId="0" fontId="20" fillId="0" borderId="0"/>
    <xf numFmtId="0" fontId="19" fillId="0" borderId="0"/>
    <xf numFmtId="0" fontId="20" fillId="0" borderId="0"/>
    <xf numFmtId="0" fontId="20" fillId="0" borderId="0"/>
    <xf numFmtId="0" fontId="19" fillId="0" borderId="0"/>
    <xf numFmtId="0" fontId="19"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9" fillId="0" borderId="0"/>
    <xf numFmtId="0" fontId="20" fillId="0" borderId="0"/>
    <xf numFmtId="0" fontId="19" fillId="0" borderId="0"/>
    <xf numFmtId="0" fontId="23" fillId="0" borderId="0"/>
    <xf numFmtId="0" fontId="19" fillId="0" borderId="0"/>
    <xf numFmtId="0" fontId="19" fillId="0" borderId="0"/>
    <xf numFmtId="0" fontId="19"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23" fillId="0" borderId="0"/>
    <xf numFmtId="0" fontId="23" fillId="0" borderId="0"/>
    <xf numFmtId="0" fontId="23" fillId="0" borderId="0"/>
    <xf numFmtId="0" fontId="19" fillId="0" borderId="0"/>
    <xf numFmtId="0" fontId="20" fillId="0" borderId="0"/>
    <xf numFmtId="0" fontId="20" fillId="0" borderId="0"/>
    <xf numFmtId="0" fontId="20" fillId="0" borderId="0"/>
    <xf numFmtId="0" fontId="23" fillId="0" borderId="0"/>
    <xf numFmtId="0" fontId="20"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23" fillId="0" borderId="0"/>
    <xf numFmtId="0" fontId="20" fillId="0" borderId="0"/>
    <xf numFmtId="0" fontId="19" fillId="0" borderId="0"/>
    <xf numFmtId="0" fontId="23" fillId="0" borderId="0"/>
    <xf numFmtId="0" fontId="23" fillId="0" borderId="0"/>
    <xf numFmtId="0" fontId="20" fillId="0" borderId="0"/>
    <xf numFmtId="0" fontId="19" fillId="0" borderId="0"/>
    <xf numFmtId="0" fontId="20" fillId="0" borderId="0"/>
    <xf numFmtId="0" fontId="23"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23" fillId="0" borderId="0"/>
    <xf numFmtId="0" fontId="23" fillId="0" borderId="0"/>
    <xf numFmtId="0" fontId="23" fillId="0" borderId="0"/>
    <xf numFmtId="0" fontId="20" fillId="0" borderId="0"/>
    <xf numFmtId="0" fontId="23" fillId="0" borderId="0"/>
    <xf numFmtId="0" fontId="20" fillId="0" borderId="0"/>
    <xf numFmtId="0" fontId="23" fillId="0" borderId="0"/>
    <xf numFmtId="0" fontId="23"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3" fillId="0" borderId="0"/>
    <xf numFmtId="0" fontId="53" fillId="0" borderId="0"/>
    <xf numFmtId="0" fontId="53" fillId="0" borderId="0"/>
    <xf numFmtId="0" fontId="23" fillId="0" borderId="0"/>
    <xf numFmtId="0" fontId="20" fillId="0" borderId="0"/>
    <xf numFmtId="0" fontId="20" fillId="0" borderId="0"/>
    <xf numFmtId="0" fontId="20" fillId="0" borderId="0"/>
    <xf numFmtId="0" fontId="53" fillId="0" borderId="0"/>
    <xf numFmtId="0" fontId="2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23" fillId="0" borderId="0"/>
    <xf numFmtId="0" fontId="20" fillId="0" borderId="0"/>
    <xf numFmtId="0" fontId="20" fillId="0" borderId="0"/>
    <xf numFmtId="0" fontId="20" fillId="0" borderId="0"/>
    <xf numFmtId="0" fontId="19" fillId="0" borderId="0"/>
    <xf numFmtId="0" fontId="2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23" fillId="0" borderId="0"/>
    <xf numFmtId="0" fontId="20" fillId="0" borderId="0"/>
    <xf numFmtId="0" fontId="23" fillId="0" borderId="0"/>
    <xf numFmtId="0" fontId="20" fillId="0" borderId="0"/>
    <xf numFmtId="0" fontId="23" fillId="0" borderId="0"/>
    <xf numFmtId="0" fontId="1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23" fillId="0" borderId="0"/>
    <xf numFmtId="0" fontId="23" fillId="0" borderId="0"/>
    <xf numFmtId="0" fontId="53" fillId="0" borderId="0"/>
    <xf numFmtId="0" fontId="53" fillId="0" borderId="0"/>
    <xf numFmtId="0" fontId="53"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3"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19" fillId="0" borderId="0"/>
    <xf numFmtId="0" fontId="23" fillId="0" borderId="0"/>
    <xf numFmtId="0" fontId="23" fillId="0" borderId="0"/>
    <xf numFmtId="0" fontId="20" fillId="0" borderId="0"/>
    <xf numFmtId="0" fontId="19"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20" fillId="0" borderId="0"/>
    <xf numFmtId="0" fontId="19" fillId="0" borderId="0"/>
    <xf numFmtId="0" fontId="20"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3"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0" fillId="0" borderId="0"/>
    <xf numFmtId="0" fontId="23"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3" fillId="0" borderId="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53" fillId="0" borderId="0"/>
    <xf numFmtId="0" fontId="19" fillId="0" borderId="0"/>
    <xf numFmtId="0" fontId="23" fillId="0" borderId="0" applyNumberFormat="0" applyFill="0" applyBorder="0" applyAlignment="0" applyProtection="0"/>
    <xf numFmtId="0" fontId="20" fillId="0" borderId="0"/>
    <xf numFmtId="0" fontId="75" fillId="0" borderId="0"/>
    <xf numFmtId="0" fontId="20" fillId="0" borderId="0"/>
    <xf numFmtId="0" fontId="23" fillId="0" borderId="0"/>
    <xf numFmtId="0" fontId="23" fillId="0" borderId="0"/>
    <xf numFmtId="0" fontId="23" fillId="0" borderId="0"/>
    <xf numFmtId="0" fontId="23" fillId="0" borderId="0"/>
    <xf numFmtId="0" fontId="19" fillId="0" borderId="0"/>
    <xf numFmtId="0" fontId="19" fillId="0" borderId="0"/>
    <xf numFmtId="0" fontId="23" fillId="0" borderId="0"/>
    <xf numFmtId="0" fontId="23" fillId="0" borderId="0"/>
    <xf numFmtId="0" fontId="19" fillId="0" borderId="0"/>
    <xf numFmtId="0" fontId="19" fillId="0" borderId="0"/>
    <xf numFmtId="0" fontId="23" fillId="0" borderId="0"/>
    <xf numFmtId="0" fontId="23" fillId="0" borderId="0"/>
    <xf numFmtId="0" fontId="19" fillId="0" borderId="0"/>
    <xf numFmtId="0" fontId="19" fillId="0" borderId="0"/>
    <xf numFmtId="0" fontId="23" fillId="0" borderId="0" applyNumberFormat="0" applyFill="0" applyBorder="0" applyAlignment="0" applyProtection="0"/>
    <xf numFmtId="0" fontId="23" fillId="0" borderId="0" applyNumberFormat="0" applyFill="0" applyBorder="0" applyAlignment="0" applyProtection="0"/>
    <xf numFmtId="0" fontId="19" fillId="0" borderId="0"/>
    <xf numFmtId="0" fontId="19" fillId="0" borderId="0"/>
    <xf numFmtId="0" fontId="23" fillId="0" borderId="0"/>
    <xf numFmtId="0" fontId="23" fillId="0" borderId="0"/>
    <xf numFmtId="0" fontId="19" fillId="0" borderId="0"/>
    <xf numFmtId="0" fontId="19" fillId="0" borderId="0"/>
    <xf numFmtId="0" fontId="23" fillId="0" borderId="0" applyNumberFormat="0" applyFill="0" applyBorder="0" applyAlignment="0" applyProtection="0"/>
    <xf numFmtId="0" fontId="23" fillId="0" borderId="0" applyNumberFormat="0" applyFill="0" applyBorder="0" applyAlignment="0" applyProtection="0"/>
    <xf numFmtId="0" fontId="19" fillId="0" borderId="0"/>
    <xf numFmtId="0" fontId="19" fillId="0" borderId="0"/>
    <xf numFmtId="0" fontId="23" fillId="0" borderId="0" applyNumberFormat="0" applyFill="0" applyBorder="0" applyAlignment="0" applyProtection="0"/>
    <xf numFmtId="0" fontId="23" fillId="0" borderId="0" applyNumberFormat="0" applyFill="0" applyBorder="0" applyAlignment="0" applyProtection="0"/>
    <xf numFmtId="0" fontId="19" fillId="0" borderId="0"/>
    <xf numFmtId="0" fontId="19" fillId="0" borderId="0"/>
    <xf numFmtId="0" fontId="23" fillId="0" borderId="0" applyNumberFormat="0" applyFill="0" applyBorder="0" applyAlignment="0" applyProtection="0"/>
    <xf numFmtId="0" fontId="23" fillId="0" borderId="0" applyNumberFormat="0" applyFill="0" applyBorder="0" applyAlignment="0" applyProtection="0"/>
    <xf numFmtId="0" fontId="19" fillId="0" borderId="0"/>
    <xf numFmtId="0" fontId="19" fillId="0" borderId="0"/>
    <xf numFmtId="0" fontId="23" fillId="0" borderId="0" applyNumberFormat="0" applyFill="0" applyBorder="0" applyAlignment="0" applyProtection="0"/>
    <xf numFmtId="0" fontId="23" fillId="0" borderId="0" applyNumberFormat="0" applyFill="0" applyBorder="0" applyAlignment="0" applyProtection="0"/>
    <xf numFmtId="0" fontId="19" fillId="0" borderId="0"/>
    <xf numFmtId="0" fontId="19" fillId="0" borderId="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53" fillId="0" borderId="0"/>
    <xf numFmtId="0" fontId="19" fillId="0" borderId="0"/>
    <xf numFmtId="0" fontId="23" fillId="0" borderId="0"/>
    <xf numFmtId="0" fontId="19" fillId="0" borderId="0"/>
    <xf numFmtId="0" fontId="19" fillId="0" borderId="0"/>
    <xf numFmtId="0" fontId="5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3" fillId="0" borderId="0"/>
    <xf numFmtId="0" fontId="20"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2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9" fillId="0" borderId="0"/>
    <xf numFmtId="0" fontId="53" fillId="0" borderId="0"/>
    <xf numFmtId="0" fontId="19" fillId="0" borderId="0"/>
    <xf numFmtId="0" fontId="53" fillId="0" borderId="0"/>
    <xf numFmtId="0" fontId="23" fillId="0" borderId="0"/>
    <xf numFmtId="0" fontId="53" fillId="0" borderId="0"/>
    <xf numFmtId="0" fontId="53" fillId="0" borderId="0"/>
    <xf numFmtId="0" fontId="53" fillId="0" borderId="0"/>
    <xf numFmtId="0" fontId="53" fillId="0" borderId="0"/>
    <xf numFmtId="0" fontId="53" fillId="0" borderId="0"/>
    <xf numFmtId="0" fontId="23" fillId="0" borderId="0"/>
    <xf numFmtId="0" fontId="23" fillId="0" borderId="0"/>
    <xf numFmtId="0" fontId="23" fillId="0" borderId="0"/>
    <xf numFmtId="0" fontId="53" fillId="0" borderId="0"/>
    <xf numFmtId="0" fontId="53" fillId="0" borderId="0"/>
    <xf numFmtId="0" fontId="23" fillId="0" borderId="0"/>
    <xf numFmtId="0" fontId="2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23" fillId="0" borderId="0" applyNumberFormat="0" applyFill="0" applyBorder="0" applyAlignment="0" applyProtection="0"/>
    <xf numFmtId="0" fontId="19"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9" fillId="0" borderId="0"/>
    <xf numFmtId="0" fontId="19" fillId="0" borderId="0"/>
    <xf numFmtId="0" fontId="23" fillId="0" borderId="0"/>
    <xf numFmtId="0" fontId="23" fillId="0" borderId="0"/>
    <xf numFmtId="0" fontId="23"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3" fillId="0" borderId="0"/>
    <xf numFmtId="0" fontId="23" fillId="0" borderId="0"/>
    <xf numFmtId="0" fontId="23"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23" fillId="0" borderId="0"/>
    <xf numFmtId="0" fontId="23"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applyNumberFormat="0" applyFill="0" applyBorder="0" applyAlignment="0" applyProtection="0"/>
    <xf numFmtId="0" fontId="23" fillId="0" borderId="0" applyNumberFormat="0" applyFill="0" applyBorder="0" applyAlignment="0" applyProtection="0"/>
    <xf numFmtId="0" fontId="19"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9" fillId="0" borderId="0"/>
    <xf numFmtId="0" fontId="23" fillId="0" borderId="0"/>
    <xf numFmtId="0" fontId="23" fillId="0" borderId="0"/>
    <xf numFmtId="0" fontId="19"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23" fillId="0" borderId="0"/>
    <xf numFmtId="0" fontId="23"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applyNumberFormat="0" applyFill="0" applyBorder="0" applyAlignment="0" applyProtection="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23" fillId="0" borderId="0" applyNumberFormat="0" applyFill="0" applyBorder="0" applyAlignment="0" applyProtection="0"/>
    <xf numFmtId="0" fontId="5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9" fillId="0" borderId="0"/>
    <xf numFmtId="0" fontId="23"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3" fillId="0" borderId="0"/>
    <xf numFmtId="0" fontId="76" fillId="0" borderId="0"/>
    <xf numFmtId="0" fontId="76" fillId="0" borderId="0"/>
    <xf numFmtId="0" fontId="19"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applyNumberFormat="0" applyFill="0" applyBorder="0" applyAlignment="0" applyProtection="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19" fillId="0" borderId="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applyNumberFormat="0" applyFill="0" applyBorder="0" applyAlignment="0" applyProtection="0"/>
    <xf numFmtId="0" fontId="19" fillId="0" borderId="0"/>
    <xf numFmtId="0" fontId="23" fillId="0" borderId="0"/>
    <xf numFmtId="0" fontId="23" fillId="0" borderId="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applyNumberFormat="0" applyFill="0" applyBorder="0" applyAlignment="0" applyProtection="0"/>
    <xf numFmtId="0" fontId="19" fillId="0" borderId="0"/>
    <xf numFmtId="0" fontId="23" fillId="0" borderId="0"/>
    <xf numFmtId="0" fontId="23" fillId="0" borderId="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applyNumberFormat="0" applyFill="0" applyBorder="0" applyAlignment="0" applyProtection="0"/>
    <xf numFmtId="0" fontId="19" fillId="0" borderId="0"/>
    <xf numFmtId="0" fontId="23" fillId="0" borderId="0"/>
    <xf numFmtId="0" fontId="23" fillId="0" borderId="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23" fillId="0" borderId="0" applyNumberFormat="0" applyFill="0" applyBorder="0" applyAlignment="0" applyProtection="0"/>
    <xf numFmtId="0" fontId="19" fillId="0" borderId="0"/>
    <xf numFmtId="0" fontId="23" fillId="0" borderId="0"/>
    <xf numFmtId="0" fontId="23" fillId="0" borderId="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23" fillId="0" borderId="0"/>
    <xf numFmtId="0" fontId="19" fillId="0" borderId="0"/>
    <xf numFmtId="0" fontId="19" fillId="0" borderId="0"/>
    <xf numFmtId="0" fontId="23" fillId="0" borderId="0"/>
    <xf numFmtId="0" fontId="23" fillId="0" borderId="0"/>
    <xf numFmtId="0" fontId="23" fillId="0" borderId="0"/>
    <xf numFmtId="0" fontId="23" fillId="0" borderId="0"/>
    <xf numFmtId="0" fontId="19" fillId="0" borderId="0"/>
    <xf numFmtId="0" fontId="19" fillId="0" borderId="0"/>
    <xf numFmtId="0" fontId="19" fillId="0" borderId="0"/>
    <xf numFmtId="0" fontId="23" fillId="0" borderId="0" applyNumberFormat="0" applyFill="0" applyBorder="0" applyAlignment="0" applyProtection="0"/>
    <xf numFmtId="0" fontId="23" fillId="0" borderId="0"/>
    <xf numFmtId="0" fontId="23" fillId="0" borderId="0"/>
    <xf numFmtId="0" fontId="20" fillId="0" borderId="0"/>
    <xf numFmtId="0" fontId="23" fillId="0" borderId="0"/>
    <xf numFmtId="0" fontId="23"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20"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20"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20" fillId="0" borderId="0"/>
    <xf numFmtId="0" fontId="20" fillId="0" borderId="0"/>
    <xf numFmtId="0" fontId="20" fillId="0" borderId="0"/>
    <xf numFmtId="0" fontId="19"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19" fillId="0" borderId="0"/>
    <xf numFmtId="0" fontId="19" fillId="0" borderId="0"/>
    <xf numFmtId="0" fontId="19" fillId="0" borderId="0"/>
    <xf numFmtId="0" fontId="19" fillId="0" borderId="0"/>
    <xf numFmtId="0" fontId="19"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9" fillId="0" borderId="0"/>
    <xf numFmtId="0" fontId="23"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3" fillId="0" borderId="0"/>
    <xf numFmtId="0" fontId="23" fillId="0" borderId="0"/>
    <xf numFmtId="0" fontId="53" fillId="0" borderId="0"/>
    <xf numFmtId="0" fontId="53" fillId="0" borderId="0"/>
    <xf numFmtId="0" fontId="53" fillId="0" borderId="0"/>
    <xf numFmtId="0" fontId="53" fillId="0" borderId="0"/>
    <xf numFmtId="0" fontId="53" fillId="0" borderId="0"/>
    <xf numFmtId="0" fontId="23" fillId="0" borderId="0"/>
    <xf numFmtId="0" fontId="23" fillId="0" borderId="0"/>
    <xf numFmtId="0" fontId="23" fillId="0" borderId="0"/>
    <xf numFmtId="0" fontId="53" fillId="0" borderId="0"/>
    <xf numFmtId="0" fontId="5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3" fillId="0" borderId="0"/>
    <xf numFmtId="0" fontId="53" fillId="0" borderId="0"/>
    <xf numFmtId="0" fontId="23" fillId="0" borderId="0"/>
    <xf numFmtId="0" fontId="19" fillId="0" borderId="0"/>
    <xf numFmtId="0" fontId="19" fillId="0" borderId="0"/>
    <xf numFmtId="0" fontId="19" fillId="0" borderId="0"/>
    <xf numFmtId="0" fontId="23" fillId="0" borderId="0"/>
    <xf numFmtId="0" fontId="19"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23" fillId="0" borderId="0"/>
    <xf numFmtId="0" fontId="53" fillId="0" borderId="0"/>
    <xf numFmtId="0" fontId="23" fillId="0" borderId="0"/>
    <xf numFmtId="0" fontId="23" fillId="0" borderId="0"/>
    <xf numFmtId="0" fontId="23" fillId="0" borderId="0"/>
    <xf numFmtId="0" fontId="23" fillId="0" borderId="0"/>
    <xf numFmtId="0" fontId="23" fillId="0" borderId="0"/>
    <xf numFmtId="0" fontId="23" fillId="0" borderId="0" applyNumberFormat="0" applyFill="0" applyBorder="0" applyAlignment="0" applyProtection="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23"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37" fontId="23" fillId="0" borderId="0" applyFill="0" applyBorder="0" applyAlignment="0" applyProtection="0"/>
    <xf numFmtId="37" fontId="23" fillId="0" borderId="0" applyFill="0" applyBorder="0" applyProtection="0"/>
    <xf numFmtId="37" fontId="23" fillId="0" borderId="0" applyBorder="0" applyAlignment="0" applyProtection="0"/>
    <xf numFmtId="0" fontId="51" fillId="13" borderId="14" applyNumberFormat="0" applyFont="0" applyAlignment="0" applyProtection="0"/>
    <xf numFmtId="0" fontId="20" fillId="13" borderId="14" applyNumberFormat="0" applyFont="0" applyAlignment="0" applyProtection="0"/>
    <xf numFmtId="0" fontId="20" fillId="13" borderId="14" applyNumberFormat="0" applyFont="0" applyAlignment="0" applyProtection="0"/>
    <xf numFmtId="0" fontId="20" fillId="13" borderId="14" applyNumberFormat="0" applyFont="0" applyAlignment="0" applyProtection="0"/>
    <xf numFmtId="0" fontId="20" fillId="13" borderId="14" applyNumberFormat="0" applyFont="0" applyAlignment="0" applyProtection="0"/>
    <xf numFmtId="0" fontId="20" fillId="13" borderId="14" applyNumberFormat="0" applyFont="0" applyAlignment="0" applyProtection="0"/>
    <xf numFmtId="0" fontId="20" fillId="13" borderId="14" applyNumberFormat="0" applyFont="0" applyAlignment="0" applyProtection="0"/>
    <xf numFmtId="0" fontId="77" fillId="11" borderId="11" applyNumberFormat="0" applyAlignment="0" applyProtection="0"/>
    <xf numFmtId="0" fontId="77" fillId="11" borderId="11" applyNumberFormat="0" applyAlignment="0" applyProtection="0"/>
    <xf numFmtId="0" fontId="77" fillId="11" borderId="11" applyNumberFormat="0" applyAlignment="0" applyProtection="0"/>
    <xf numFmtId="0" fontId="77" fillId="11" borderId="11" applyNumberFormat="0" applyAlignment="0" applyProtection="0"/>
    <xf numFmtId="0" fontId="78" fillId="56" borderId="26" applyNumberFormat="0" applyAlignment="0" applyProtection="0"/>
    <xf numFmtId="40" fontId="79" fillId="6" borderId="0">
      <alignment horizontal="right"/>
    </xf>
    <xf numFmtId="0" fontId="80" fillId="6" borderId="0">
      <alignment horizontal="right"/>
    </xf>
    <xf numFmtId="0" fontId="81" fillId="6" borderId="3"/>
    <xf numFmtId="0" fontId="81" fillId="0" borderId="0" applyBorder="0">
      <alignment horizontal="centerContinuous"/>
    </xf>
    <xf numFmtId="0" fontId="82" fillId="0" borderId="0" applyBorder="0">
      <alignment horizontal="centerContinuous"/>
    </xf>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4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19" fillId="0" borderId="0" applyFont="0" applyFill="0" applyBorder="0" applyAlignment="0" applyProtection="0"/>
    <xf numFmtId="9" fontId="8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83" fillId="0" borderId="0" applyFont="0" applyFill="0" applyBorder="0" applyAlignment="0" applyProtection="0"/>
    <xf numFmtId="9" fontId="19" fillId="0" borderId="0" applyFont="0" applyFill="0" applyBorder="0" applyAlignment="0" applyProtection="0"/>
    <xf numFmtId="9" fontId="83" fillId="0" borderId="0" applyFont="0" applyFill="0" applyBorder="0" applyAlignment="0" applyProtection="0"/>
    <xf numFmtId="9" fontId="19" fillId="0" borderId="0" applyFont="0" applyFill="0" applyBorder="0" applyAlignment="0" applyProtection="0"/>
    <xf numFmtId="9" fontId="8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3" fontId="27" fillId="0" borderId="1" applyFill="0" applyProtection="0">
      <alignment horizontal="center" vertical="center" wrapText="1"/>
    </xf>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5"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3" fillId="0" borderId="0" applyFont="0" applyFill="0" applyBorder="0" applyAlignment="0" applyProtection="0"/>
    <xf numFmtId="9" fontId="51" fillId="0" borderId="0" applyFont="0" applyFill="0" applyBorder="0" applyAlignment="0" applyProtection="0"/>
    <xf numFmtId="9" fontId="53"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3" fillId="0" borderId="0" applyFont="0" applyFill="0" applyBorder="0" applyAlignment="0" applyProtection="0"/>
    <xf numFmtId="37" fontId="24" fillId="0" borderId="0" applyNumberFormat="0" applyBorder="0" applyAlignment="0"/>
    <xf numFmtId="0" fontId="84" fillId="0" borderId="0" applyNumberFormat="0" applyFont="0" applyFill="0" applyBorder="0" applyAlignment="0" applyProtection="0">
      <alignment horizontal="left"/>
    </xf>
    <xf numFmtId="15" fontId="84" fillId="0" borderId="0" applyFont="0" applyFill="0" applyBorder="0" applyAlignment="0" applyProtection="0"/>
    <xf numFmtId="4" fontId="84" fillId="0" borderId="0" applyFont="0" applyFill="0" applyBorder="0" applyAlignment="0" applyProtection="0"/>
    <xf numFmtId="0" fontId="85" fillId="0" borderId="1">
      <alignment horizontal="center"/>
    </xf>
    <xf numFmtId="3" fontId="84" fillId="0" borderId="0" applyFont="0" applyFill="0" applyBorder="0" applyAlignment="0" applyProtection="0"/>
    <xf numFmtId="0" fontId="84" fillId="60" borderId="0" applyNumberFormat="0" applyFont="0" applyBorder="0" applyAlignment="0" applyProtection="0"/>
    <xf numFmtId="0" fontId="54" fillId="0" borderId="0"/>
    <xf numFmtId="0" fontId="54" fillId="0" borderId="0"/>
    <xf numFmtId="49" fontId="23" fillId="0" borderId="0">
      <alignment horizontal="left" wrapText="1"/>
    </xf>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Protection="0">
      <alignment horizontal="center"/>
    </xf>
    <xf numFmtId="0" fontId="34" fillId="3" borderId="0" applyNumberFormat="0" applyBorder="0" applyProtection="0">
      <alignment horizontal="center"/>
    </xf>
    <xf numFmtId="0" fontId="34" fillId="3" borderId="0" applyNumberFormat="0" applyBorder="0" applyProtection="0">
      <alignment horizontal="center"/>
    </xf>
    <xf numFmtId="0" fontId="34" fillId="3" borderId="0" applyNumberFormat="0" applyBorder="0" applyProtection="0">
      <alignment horizontal="center"/>
    </xf>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54" fillId="0" borderId="20"/>
    <xf numFmtId="0" fontId="54" fillId="0" borderId="20"/>
    <xf numFmtId="37" fontId="86" fillId="0" borderId="0">
      <alignment horizontal="left"/>
    </xf>
    <xf numFmtId="37" fontId="23" fillId="0" borderId="0">
      <alignment horizontal="left" indent="1"/>
    </xf>
    <xf numFmtId="37" fontId="23" fillId="0" borderId="0">
      <alignment horizontal="left" indent="2"/>
    </xf>
    <xf numFmtId="37" fontId="23" fillId="0" borderId="0">
      <alignment horizontal="left" indent="3"/>
    </xf>
    <xf numFmtId="37" fontId="86" fillId="0" borderId="0">
      <alignment horizontal="left"/>
    </xf>
    <xf numFmtId="37" fontId="86" fillId="0" borderId="0">
      <alignment horizontal="left" indent="1"/>
    </xf>
    <xf numFmtId="49" fontId="19" fillId="0" borderId="0">
      <alignment horizontal="left" vertical="center" wrapText="1" indent="1"/>
    </xf>
    <xf numFmtId="0" fontId="87" fillId="61" borderId="0"/>
    <xf numFmtId="0" fontId="87" fillId="61" borderId="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9" fillId="0" borderId="15" applyNumberFormat="0" applyFill="0" applyAlignment="0" applyProtection="0"/>
    <xf numFmtId="0" fontId="89" fillId="0" borderId="15" applyNumberFormat="0" applyFill="0" applyAlignment="0" applyProtection="0"/>
    <xf numFmtId="0" fontId="89" fillId="0" borderId="15" applyNumberFormat="0" applyFill="0" applyAlignment="0" applyProtection="0"/>
    <xf numFmtId="0" fontId="89" fillId="0" borderId="15" applyNumberFormat="0" applyFill="0" applyAlignment="0" applyProtection="0"/>
    <xf numFmtId="0" fontId="90" fillId="0" borderId="27" applyNumberFormat="0" applyFill="0" applyAlignment="0" applyProtection="0"/>
    <xf numFmtId="0" fontId="70" fillId="0" borderId="28"/>
    <xf numFmtId="0" fontId="70" fillId="0" borderId="28"/>
    <xf numFmtId="0" fontId="70" fillId="0" borderId="20"/>
    <xf numFmtId="0" fontId="70" fillId="0" borderId="20"/>
    <xf numFmtId="171" fontId="91" fillId="0" borderId="0"/>
    <xf numFmtId="39" fontId="55" fillId="0" borderId="29"/>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37" fillId="0" borderId="0" applyNumberFormat="0" applyFill="0" applyBorder="0" applyAlignment="0" applyProtection="0"/>
    <xf numFmtId="0" fontId="18" fillId="0" borderId="0"/>
    <xf numFmtId="9" fontId="18" fillId="0" borderId="0" applyFont="0" applyFill="0" applyBorder="0" applyAlignment="0" applyProtection="0"/>
    <xf numFmtId="0" fontId="17" fillId="0" borderId="0"/>
    <xf numFmtId="0" fontId="17" fillId="0" borderId="0"/>
    <xf numFmtId="9" fontId="17" fillId="0" borderId="0" applyFont="0" applyFill="0" applyBorder="0" applyAlignment="0" applyProtection="0"/>
    <xf numFmtId="43" fontId="23" fillId="0" borderId="0" applyFont="0" applyFill="0" applyBorder="0" applyAlignment="0" applyProtection="0"/>
    <xf numFmtId="0" fontId="23" fillId="0" borderId="0" applyNumberFormat="0" applyFill="0" applyBorder="0" applyAlignment="0" applyProtection="0"/>
    <xf numFmtId="0" fontId="20" fillId="0" borderId="0"/>
    <xf numFmtId="0" fontId="23" fillId="0" borderId="0"/>
    <xf numFmtId="9" fontId="23" fillId="0" borderId="0" applyFont="0" applyFill="0" applyBorder="0" applyAlignment="0" applyProtection="0"/>
    <xf numFmtId="0" fontId="16" fillId="0" borderId="0"/>
    <xf numFmtId="9" fontId="15" fillId="0" borderId="0" applyFont="0" applyFill="0" applyBorder="0" applyAlignment="0" applyProtection="0"/>
    <xf numFmtId="0" fontId="15" fillId="0" borderId="0"/>
    <xf numFmtId="9" fontId="16" fillId="0" borderId="0" applyFont="0" applyFill="0" applyBorder="0" applyAlignment="0" applyProtection="0"/>
    <xf numFmtId="0" fontId="16" fillId="0" borderId="0"/>
    <xf numFmtId="0" fontId="23" fillId="0" borderId="0"/>
    <xf numFmtId="0" fontId="15" fillId="0" borderId="0"/>
    <xf numFmtId="0" fontId="15" fillId="0" borderId="0"/>
    <xf numFmtId="0" fontId="15" fillId="0" borderId="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6" fillId="0" borderId="0"/>
    <xf numFmtId="0" fontId="16" fillId="0" borderId="0"/>
    <xf numFmtId="0" fontId="15" fillId="0" borderId="0"/>
    <xf numFmtId="0" fontId="15" fillId="0" borderId="0"/>
    <xf numFmtId="0" fontId="16" fillId="0" borderId="0"/>
    <xf numFmtId="0" fontId="16" fillId="0" borderId="0"/>
    <xf numFmtId="0" fontId="15" fillId="0" borderId="0"/>
    <xf numFmtId="0" fontId="15" fillId="0" borderId="0"/>
    <xf numFmtId="0" fontId="15" fillId="0" borderId="0"/>
    <xf numFmtId="0" fontId="16" fillId="0" borderId="0"/>
    <xf numFmtId="9" fontId="1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4" fillId="0" borderId="0"/>
    <xf numFmtId="9" fontId="14" fillId="0" borderId="0" applyFont="0" applyFill="0" applyBorder="0" applyAlignment="0" applyProtection="0"/>
    <xf numFmtId="0" fontId="93" fillId="0" borderId="0"/>
    <xf numFmtId="0" fontId="94" fillId="0" borderId="0"/>
    <xf numFmtId="0" fontId="16" fillId="0" borderId="0"/>
    <xf numFmtId="0" fontId="16" fillId="0" borderId="0"/>
    <xf numFmtId="0" fontId="13" fillId="0" borderId="0"/>
    <xf numFmtId="0" fontId="16" fillId="0" borderId="0"/>
    <xf numFmtId="0" fontId="13" fillId="0" borderId="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0" fontId="12" fillId="0" borderId="0"/>
    <xf numFmtId="43" fontId="12" fillId="0" borderId="0" applyFont="0" applyFill="0" applyBorder="0" applyAlignment="0" applyProtection="0"/>
    <xf numFmtId="0" fontId="11" fillId="0" borderId="0"/>
    <xf numFmtId="0" fontId="23" fillId="0" borderId="0"/>
    <xf numFmtId="9" fontId="11" fillId="0" borderId="0" applyFont="0" applyFill="0" applyBorder="0" applyAlignment="0" applyProtection="0"/>
    <xf numFmtId="9" fontId="10" fillId="0" borderId="0" applyFont="0" applyFill="0" applyBorder="0" applyAlignment="0" applyProtection="0"/>
    <xf numFmtId="0" fontId="16" fillId="0" borderId="0"/>
    <xf numFmtId="9" fontId="10" fillId="0" borderId="0" applyFont="0" applyFill="0" applyBorder="0" applyAlignment="0" applyProtection="0"/>
    <xf numFmtId="9" fontId="10" fillId="0" borderId="0" applyFont="0" applyFill="0" applyBorder="0" applyAlignment="0" applyProtection="0"/>
    <xf numFmtId="0" fontId="23" fillId="0" borderId="0"/>
    <xf numFmtId="9" fontId="9" fillId="0" borderId="0" applyFont="0" applyFill="0" applyBorder="0" applyAlignment="0" applyProtection="0"/>
    <xf numFmtId="0" fontId="9" fillId="0" borderId="0"/>
    <xf numFmtId="0" fontId="8" fillId="0" borderId="0"/>
    <xf numFmtId="0" fontId="102" fillId="0" borderId="0"/>
    <xf numFmtId="9"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16" fillId="0" borderId="0"/>
    <xf numFmtId="9" fontId="8" fillId="0" borderId="0" applyFont="0" applyFill="0" applyBorder="0" applyAlignment="0" applyProtection="0"/>
    <xf numFmtId="0" fontId="16" fillId="0" borderId="0"/>
    <xf numFmtId="9" fontId="8" fillId="0" borderId="0" applyFont="0" applyFill="0" applyBorder="0" applyAlignment="0" applyProtection="0"/>
    <xf numFmtId="9" fontId="7" fillId="0" borderId="0" applyFon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6"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9" fontId="3" fillId="0" borderId="0" applyFont="0" applyFill="0" applyBorder="0" applyAlignment="0" applyProtection="0"/>
    <xf numFmtId="0" fontId="16"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183" fontId="23" fillId="0" borderId="0" applyNumberFormat="0" applyFill="0" applyBorder="0" applyAlignment="0" applyProtection="0"/>
  </cellStyleXfs>
  <cellXfs count="409">
    <xf numFmtId="0" fontId="0" fillId="0" borderId="0" xfId="0"/>
    <xf numFmtId="0" fontId="0" fillId="0" borderId="0" xfId="0" applyAlignment="1">
      <alignment horizontal="centerContinuous"/>
    </xf>
    <xf numFmtId="0" fontId="0" fillId="0" borderId="4" xfId="0" applyBorder="1"/>
    <xf numFmtId="0" fontId="0" fillId="0" borderId="4" xfId="0" applyBorder="1" applyAlignment="1">
      <alignment horizontal="center" wrapText="1"/>
    </xf>
    <xf numFmtId="0" fontId="0" fillId="0" borderId="4" xfId="0" applyBorder="1" applyAlignment="1">
      <alignment horizontal="center"/>
    </xf>
    <xf numFmtId="164" fontId="0" fillId="0" borderId="0" xfId="0" applyNumberFormat="1" applyAlignment="1">
      <alignment horizontal="center"/>
    </xf>
    <xf numFmtId="10" fontId="0" fillId="0" borderId="0" xfId="3" applyNumberFormat="1" applyFont="1" applyAlignment="1">
      <alignment horizontal="center"/>
    </xf>
    <xf numFmtId="0" fontId="23" fillId="0" borderId="0" xfId="36" applyFont="1" applyAlignment="1">
      <alignment horizontal="right"/>
    </xf>
    <xf numFmtId="0" fontId="19" fillId="0" borderId="0" xfId="36" applyAlignment="1">
      <alignment horizontal="center"/>
    </xf>
    <xf numFmtId="8" fontId="19" fillId="0" borderId="0" xfId="36" applyNumberFormat="1" applyAlignment="1">
      <alignment horizontal="center"/>
    </xf>
    <xf numFmtId="0" fontId="23" fillId="0" borderId="0" xfId="0" applyFont="1" applyAlignment="1">
      <alignment horizontal="centerContinuous"/>
    </xf>
    <xf numFmtId="0" fontId="23" fillId="0" borderId="4" xfId="0" applyFont="1" applyBorder="1" applyAlignment="1">
      <alignment horizontal="center" wrapText="1"/>
    </xf>
    <xf numFmtId="0" fontId="42" fillId="0" borderId="31" xfId="2721" applyFont="1" applyBorder="1"/>
    <xf numFmtId="0" fontId="23" fillId="0" borderId="0" xfId="2813"/>
    <xf numFmtId="0" fontId="23" fillId="0" borderId="0" xfId="0" applyFont="1"/>
    <xf numFmtId="0" fontId="0" fillId="0" borderId="6" xfId="0" applyBorder="1"/>
    <xf numFmtId="0" fontId="23" fillId="0" borderId="0" xfId="0" applyFont="1" applyAlignment="1">
      <alignment horizontal="center"/>
    </xf>
    <xf numFmtId="164" fontId="42" fillId="0" borderId="0" xfId="2721" applyNumberFormat="1" applyFont="1"/>
    <xf numFmtId="0" fontId="23" fillId="0" borderId="0" xfId="0" quotePrefix="1" applyFont="1"/>
    <xf numFmtId="0" fontId="16" fillId="0" borderId="0" xfId="7423"/>
    <xf numFmtId="0" fontId="16" fillId="0" borderId="33" xfId="7423" applyBorder="1"/>
    <xf numFmtId="0" fontId="16" fillId="0" borderId="33" xfId="7423" applyBorder="1" applyAlignment="1">
      <alignment horizontal="center"/>
    </xf>
    <xf numFmtId="0" fontId="16" fillId="0" borderId="33" xfId="7423" applyBorder="1" applyAlignment="1">
      <alignment horizontal="center" wrapText="1"/>
    </xf>
    <xf numFmtId="0" fontId="16" fillId="0" borderId="31" xfId="7423" applyBorder="1"/>
    <xf numFmtId="0" fontId="0" fillId="0" borderId="0" xfId="0" applyAlignment="1">
      <alignment horizontal="center"/>
    </xf>
    <xf numFmtId="0" fontId="16" fillId="0" borderId="0" xfId="36" applyFont="1" applyAlignment="1">
      <alignment horizontal="center"/>
    </xf>
    <xf numFmtId="164" fontId="23" fillId="0" borderId="0" xfId="0" applyNumberFormat="1" applyFont="1" applyAlignment="1">
      <alignment horizontal="center"/>
    </xf>
    <xf numFmtId="0" fontId="23" fillId="0" borderId="0" xfId="3157"/>
    <xf numFmtId="173" fontId="23" fillId="0" borderId="0" xfId="3157" applyNumberFormat="1"/>
    <xf numFmtId="0" fontId="23" fillId="0" borderId="0" xfId="3157" quotePrefix="1" applyAlignment="1">
      <alignment horizontal="center"/>
    </xf>
    <xf numFmtId="0" fontId="23" fillId="0" borderId="0" xfId="3157" applyAlignment="1">
      <alignment horizontal="center"/>
    </xf>
    <xf numFmtId="0" fontId="23" fillId="0" borderId="30" xfId="3157" applyBorder="1"/>
    <xf numFmtId="0" fontId="23" fillId="0" borderId="30" xfId="3157" applyBorder="1" applyAlignment="1">
      <alignment horizontal="center"/>
    </xf>
    <xf numFmtId="0" fontId="23" fillId="0" borderId="31" xfId="3157" applyBorder="1"/>
    <xf numFmtId="0" fontId="23" fillId="0" borderId="31" xfId="3157" applyBorder="1" applyAlignment="1">
      <alignment horizontal="center"/>
    </xf>
    <xf numFmtId="0" fontId="23" fillId="0" borderId="31" xfId="7527" applyBorder="1" applyAlignment="1">
      <alignment horizontal="center" wrapText="1"/>
    </xf>
    <xf numFmtId="0" fontId="16" fillId="0" borderId="0" xfId="3157" applyFont="1"/>
    <xf numFmtId="0" fontId="16" fillId="0" borderId="0" xfId="3157" applyFont="1" applyAlignment="1">
      <alignment horizontal="center"/>
    </xf>
    <xf numFmtId="174" fontId="23" fillId="0" borderId="0" xfId="0" applyNumberFormat="1" applyFont="1" applyAlignment="1">
      <alignment horizontal="center"/>
    </xf>
    <xf numFmtId="0" fontId="23" fillId="0" borderId="33" xfId="0" applyFont="1" applyBorder="1" applyAlignment="1">
      <alignment horizontal="center"/>
    </xf>
    <xf numFmtId="0" fontId="23" fillId="0" borderId="33" xfId="0" applyFont="1" applyBorder="1" applyAlignment="1">
      <alignment horizontal="center" wrapText="1"/>
    </xf>
    <xf numFmtId="0" fontId="23" fillId="0" borderId="0" xfId="0" applyFont="1" applyAlignment="1">
      <alignment horizontal="center" wrapText="1"/>
    </xf>
    <xf numFmtId="10" fontId="23" fillId="0" borderId="0" xfId="3" applyNumberFormat="1" applyAlignment="1">
      <alignment horizontal="center"/>
    </xf>
    <xf numFmtId="10" fontId="23" fillId="0" borderId="6" xfId="41" applyNumberFormat="1" applyBorder="1" applyAlignment="1">
      <alignment horizontal="center"/>
    </xf>
    <xf numFmtId="0" fontId="23" fillId="0" borderId="6" xfId="0" applyFont="1" applyBorder="1"/>
    <xf numFmtId="0" fontId="0" fillId="0" borderId="6" xfId="0" applyBorder="1" applyAlignment="1">
      <alignment horizontal="right"/>
    </xf>
    <xf numFmtId="10" fontId="0" fillId="0" borderId="6" xfId="3" applyNumberFormat="1" applyFont="1" applyBorder="1" applyAlignment="1">
      <alignment horizontal="center"/>
    </xf>
    <xf numFmtId="9" fontId="97" fillId="0" borderId="33" xfId="0" applyNumberFormat="1" applyFont="1" applyBorder="1"/>
    <xf numFmtId="174" fontId="23" fillId="0" borderId="0" xfId="0" applyNumberFormat="1" applyFont="1"/>
    <xf numFmtId="0" fontId="98" fillId="63" borderId="0" xfId="7533" applyFont="1" applyFill="1" applyAlignment="1">
      <alignment horizontal="center" wrapText="1"/>
    </xf>
    <xf numFmtId="0" fontId="98" fillId="63" borderId="0" xfId="7533" applyFont="1" applyFill="1" applyAlignment="1">
      <alignment wrapText="1"/>
    </xf>
    <xf numFmtId="0" fontId="98" fillId="63" borderId="0" xfId="7533" applyFont="1" applyFill="1" applyAlignment="1">
      <alignment horizontal="center" vertical="center" wrapText="1"/>
    </xf>
    <xf numFmtId="0" fontId="98" fillId="63" borderId="0" xfId="7533" applyFont="1" applyFill="1" applyAlignment="1">
      <alignment horizontal="right" vertical="center"/>
    </xf>
    <xf numFmtId="10" fontId="98" fillId="63" borderId="0" xfId="7533" applyNumberFormat="1" applyFont="1" applyFill="1" applyAlignment="1">
      <alignment horizontal="center" vertical="center" wrapText="1"/>
    </xf>
    <xf numFmtId="165" fontId="98" fillId="63" borderId="0" xfId="7533" applyNumberFormat="1" applyFont="1" applyFill="1" applyAlignment="1">
      <alignment horizontal="center" vertical="center" wrapText="1"/>
    </xf>
    <xf numFmtId="0" fontId="61" fillId="63" borderId="39" xfId="7533" applyFont="1" applyFill="1" applyBorder="1" applyAlignment="1">
      <alignment horizontal="center" vertical="center" wrapText="1"/>
    </xf>
    <xf numFmtId="0" fontId="98" fillId="63" borderId="40" xfId="7533" applyFont="1" applyFill="1" applyBorder="1" applyAlignment="1">
      <alignment horizontal="center" vertical="center" wrapText="1"/>
    </xf>
    <xf numFmtId="0" fontId="98" fillId="63" borderId="41" xfId="7533" applyFont="1" applyFill="1" applyBorder="1" applyAlignment="1">
      <alignment horizontal="center" vertical="center" wrapText="1"/>
    </xf>
    <xf numFmtId="0" fontId="98" fillId="63" borderId="39" xfId="7533" applyFont="1" applyFill="1" applyBorder="1" applyAlignment="1">
      <alignment horizontal="center" vertical="center" wrapText="1"/>
    </xf>
    <xf numFmtId="10" fontId="98" fillId="63" borderId="40" xfId="7533" applyNumberFormat="1" applyFont="1" applyFill="1" applyBorder="1" applyAlignment="1">
      <alignment horizontal="center" vertical="center" wrapText="1"/>
    </xf>
    <xf numFmtId="10" fontId="98" fillId="63" borderId="41" xfId="7533" applyNumberFormat="1" applyFont="1" applyFill="1" applyBorder="1" applyAlignment="1">
      <alignment horizontal="center" vertical="center" wrapText="1"/>
    </xf>
    <xf numFmtId="10" fontId="98" fillId="63" borderId="0" xfId="7533" applyNumberFormat="1" applyFont="1" applyFill="1" applyAlignment="1">
      <alignment horizontal="right" vertical="center"/>
    </xf>
    <xf numFmtId="0" fontId="101" fillId="0" borderId="39" xfId="7533" applyFont="1" applyBorder="1" applyAlignment="1">
      <alignment horizontal="center" vertical="center" wrapText="1"/>
    </xf>
    <xf numFmtId="0" fontId="101" fillId="0" borderId="41" xfId="7533" applyFont="1" applyBorder="1" applyAlignment="1">
      <alignment horizontal="center" vertical="center" wrapText="1"/>
    </xf>
    <xf numFmtId="10" fontId="101" fillId="0" borderId="40" xfId="7533" applyNumberFormat="1" applyFont="1" applyBorder="1" applyAlignment="1">
      <alignment horizontal="center" vertical="center" wrapText="1"/>
    </xf>
    <xf numFmtId="10" fontId="101" fillId="0" borderId="41" xfId="7533" applyNumberFormat="1" applyFont="1" applyBorder="1" applyAlignment="1">
      <alignment horizontal="center" vertical="center" wrapText="1"/>
    </xf>
    <xf numFmtId="0" fontId="101" fillId="63" borderId="0" xfId="7533" applyFont="1" applyFill="1" applyAlignment="1">
      <alignment horizontal="center" vertical="center" wrapText="1"/>
    </xf>
    <xf numFmtId="0" fontId="61" fillId="63" borderId="31" xfId="7533" applyFont="1" applyFill="1" applyBorder="1" applyAlignment="1">
      <alignment horizontal="left" wrapText="1"/>
    </xf>
    <xf numFmtId="0" fontId="75" fillId="63" borderId="0" xfId="7521" applyFont="1" applyFill="1" applyAlignment="1">
      <alignment vertical="center" wrapText="1"/>
    </xf>
    <xf numFmtId="0" fontId="98" fillId="63" borderId="0" xfId="7533" applyFont="1" applyFill="1"/>
    <xf numFmtId="10" fontId="16" fillId="0" borderId="0" xfId="3" applyNumberFormat="1" applyFont="1" applyAlignment="1">
      <alignment horizontal="center"/>
    </xf>
    <xf numFmtId="10" fontId="23" fillId="0" borderId="0" xfId="41" applyNumberFormat="1" applyAlignment="1">
      <alignment horizontal="center"/>
    </xf>
    <xf numFmtId="0" fontId="23" fillId="0" borderId="0" xfId="3157" applyAlignment="1">
      <alignment wrapText="1"/>
    </xf>
    <xf numFmtId="0" fontId="23" fillId="0" borderId="4" xfId="3157" applyBorder="1"/>
    <xf numFmtId="0" fontId="23" fillId="0" borderId="4" xfId="3157" applyBorder="1" applyAlignment="1">
      <alignment horizontal="center" wrapText="1"/>
    </xf>
    <xf numFmtId="10" fontId="0" fillId="0" borderId="0" xfId="6062" applyNumberFormat="1" applyFont="1" applyAlignment="1">
      <alignment horizontal="center"/>
    </xf>
    <xf numFmtId="10" fontId="0" fillId="0" borderId="19" xfId="6062" applyNumberFormat="1" applyFont="1" applyBorder="1" applyAlignment="1">
      <alignment horizontal="center"/>
    </xf>
    <xf numFmtId="173" fontId="23" fillId="0" borderId="0" xfId="251" applyNumberFormat="1"/>
    <xf numFmtId="0" fontId="23" fillId="0" borderId="1" xfId="2813" applyBorder="1"/>
    <xf numFmtId="0" fontId="23" fillId="0" borderId="0" xfId="2813" applyAlignment="1">
      <alignment horizontal="center"/>
    </xf>
    <xf numFmtId="10" fontId="0" fillId="0" borderId="31" xfId="6062" applyNumberFormat="1" applyFont="1" applyBorder="1" applyAlignment="1">
      <alignment horizontal="center"/>
    </xf>
    <xf numFmtId="0" fontId="23" fillId="0" borderId="6" xfId="3157" applyBorder="1"/>
    <xf numFmtId="10" fontId="23" fillId="0" borderId="6" xfId="6062" applyNumberFormat="1" applyBorder="1" applyAlignment="1">
      <alignment horizontal="center"/>
    </xf>
    <xf numFmtId="10" fontId="0" fillId="0" borderId="6" xfId="6062" applyNumberFormat="1" applyFont="1" applyBorder="1" applyAlignment="1">
      <alignment horizontal="center"/>
    </xf>
    <xf numFmtId="10" fontId="23" fillId="0" borderId="0" xfId="3157" applyNumberFormat="1"/>
    <xf numFmtId="0" fontId="23" fillId="0" borderId="31" xfId="4277" applyBorder="1" applyAlignment="1">
      <alignment horizontal="left"/>
    </xf>
    <xf numFmtId="0" fontId="23" fillId="0" borderId="0" xfId="4277" applyAlignment="1">
      <alignment horizontal="left"/>
    </xf>
    <xf numFmtId="0" fontId="23" fillId="0" borderId="0" xfId="3157" applyAlignment="1">
      <alignment horizontal="left"/>
    </xf>
    <xf numFmtId="0" fontId="23" fillId="0" borderId="19" xfId="3157" applyBorder="1" applyAlignment="1">
      <alignment horizontal="center"/>
    </xf>
    <xf numFmtId="10" fontId="16" fillId="0" borderId="19" xfId="3157" applyNumberFormat="1" applyFont="1" applyBorder="1" applyAlignment="1">
      <alignment horizontal="center"/>
    </xf>
    <xf numFmtId="0" fontId="23" fillId="0" borderId="1" xfId="3157" applyBorder="1" applyAlignment="1">
      <alignment horizontal="center"/>
    </xf>
    <xf numFmtId="10" fontId="16" fillId="0" borderId="1" xfId="3157" applyNumberFormat="1" applyFont="1" applyBorder="1" applyAlignment="1">
      <alignment horizontal="center"/>
    </xf>
    <xf numFmtId="10" fontId="23" fillId="0" borderId="0" xfId="41" applyNumberFormat="1"/>
    <xf numFmtId="10" fontId="0" fillId="0" borderId="0" xfId="41" applyNumberFormat="1" applyFont="1" applyAlignment="1">
      <alignment horizontal="center"/>
    </xf>
    <xf numFmtId="9" fontId="23" fillId="0" borderId="0" xfId="41"/>
    <xf numFmtId="0" fontId="16" fillId="0" borderId="0" xfId="7536" applyFont="1"/>
    <xf numFmtId="0" fontId="26" fillId="0" borderId="0" xfId="7537" applyFont="1" applyAlignment="1">
      <alignment horizontal="center" vertical="center" wrapText="1"/>
    </xf>
    <xf numFmtId="0" fontId="103" fillId="0" borderId="0" xfId="7536" applyFont="1"/>
    <xf numFmtId="0" fontId="16" fillId="0" borderId="0" xfId="7536" applyFont="1" applyAlignment="1">
      <alignment horizontal="center"/>
    </xf>
    <xf numFmtId="0" fontId="103" fillId="0" borderId="0" xfId="7536" applyFont="1" applyAlignment="1">
      <alignment horizontal="centerContinuous"/>
    </xf>
    <xf numFmtId="0" fontId="16" fillId="0" borderId="0" xfId="7536" applyFont="1" applyAlignment="1">
      <alignment horizontal="center" wrapText="1"/>
    </xf>
    <xf numFmtId="0" fontId="16" fillId="0" borderId="4" xfId="7536" applyFont="1" applyBorder="1"/>
    <xf numFmtId="0" fontId="16" fillId="0" borderId="4" xfId="7536" applyFont="1" applyBorder="1" applyAlignment="1">
      <alignment horizontal="center" wrapText="1"/>
    </xf>
    <xf numFmtId="9" fontId="103" fillId="0" borderId="0" xfId="7538" applyFont="1"/>
    <xf numFmtId="0" fontId="16" fillId="0" borderId="0" xfId="7536" applyFont="1" applyAlignment="1">
      <alignment horizontal="center" vertical="center"/>
    </xf>
    <xf numFmtId="10" fontId="23" fillId="0" borderId="0" xfId="6062" applyNumberFormat="1" applyAlignment="1">
      <alignment horizontal="center"/>
    </xf>
    <xf numFmtId="3" fontId="23" fillId="0" borderId="0" xfId="7539" applyNumberFormat="1" applyFont="1" applyAlignment="1">
      <alignment horizontal="center"/>
    </xf>
    <xf numFmtId="10" fontId="16" fillId="0" borderId="0" xfId="7540" applyNumberFormat="1" applyFont="1" applyAlignment="1">
      <alignment horizontal="center"/>
    </xf>
    <xf numFmtId="172" fontId="16" fillId="0" borderId="0" xfId="7536" applyNumberFormat="1" applyFont="1" applyAlignment="1">
      <alignment horizontal="center"/>
    </xf>
    <xf numFmtId="10" fontId="16" fillId="0" borderId="0" xfId="7536" applyNumberFormat="1" applyFont="1" applyAlignment="1">
      <alignment horizontal="center"/>
    </xf>
    <xf numFmtId="176" fontId="103" fillId="0" borderId="0" xfId="7539" applyNumberFormat="1" applyFont="1"/>
    <xf numFmtId="10" fontId="103" fillId="0" borderId="0" xfId="7538" applyNumberFormat="1" applyFont="1"/>
    <xf numFmtId="0" fontId="23" fillId="0" borderId="0" xfId="7541" applyFont="1" applyAlignment="1">
      <alignment horizontal="left" vertical="center"/>
    </xf>
    <xf numFmtId="0" fontId="26" fillId="0" borderId="0" xfId="7537" applyFont="1"/>
    <xf numFmtId="0" fontId="16" fillId="0" borderId="31" xfId="7536" applyFont="1" applyBorder="1"/>
    <xf numFmtId="0" fontId="103" fillId="0" borderId="0" xfId="7536" applyFont="1" applyAlignment="1">
      <alignment horizontal="center"/>
    </xf>
    <xf numFmtId="0" fontId="16" fillId="0" borderId="0" xfId="7536" applyFont="1" applyAlignment="1">
      <alignment horizontal="left"/>
    </xf>
    <xf numFmtId="3" fontId="16" fillId="0" borderId="0" xfId="7536" applyNumberFormat="1" applyFont="1"/>
    <xf numFmtId="173" fontId="16" fillId="0" borderId="0" xfId="7539" applyNumberFormat="1" applyFont="1"/>
    <xf numFmtId="173" fontId="103" fillId="0" borderId="0" xfId="7536" applyNumberFormat="1" applyFont="1"/>
    <xf numFmtId="43" fontId="16" fillId="0" borderId="0" xfId="7536" applyNumberFormat="1" applyFont="1"/>
    <xf numFmtId="43" fontId="103" fillId="0" borderId="0" xfId="7536" applyNumberFormat="1" applyFont="1"/>
    <xf numFmtId="10" fontId="16" fillId="0" borderId="0" xfId="7538" applyNumberFormat="1" applyFont="1"/>
    <xf numFmtId="0" fontId="103" fillId="0" borderId="0" xfId="7536" applyFont="1" applyAlignment="1">
      <alignment horizontal="left"/>
    </xf>
    <xf numFmtId="10" fontId="98" fillId="0" borderId="0" xfId="7533" applyNumberFormat="1" applyFont="1" applyAlignment="1">
      <alignment horizontal="center" vertical="center" wrapText="1"/>
    </xf>
    <xf numFmtId="0" fontId="16" fillId="0" borderId="0" xfId="7543"/>
    <xf numFmtId="0" fontId="16" fillId="0" borderId="0" xfId="7541"/>
    <xf numFmtId="0" fontId="0" fillId="0" borderId="0" xfId="7541" applyFont="1"/>
    <xf numFmtId="0" fontId="23" fillId="0" borderId="0" xfId="7541" applyFont="1" applyAlignment="1">
      <alignment horizontal="center"/>
    </xf>
    <xf numFmtId="0" fontId="23" fillId="0" borderId="0" xfId="7541" applyFont="1"/>
    <xf numFmtId="0" fontId="23" fillId="0" borderId="0" xfId="7541" applyFont="1" applyAlignment="1">
      <alignment horizontal="centerContinuous"/>
    </xf>
    <xf numFmtId="0" fontId="16" fillId="0" borderId="0" xfId="7541" applyAlignment="1">
      <alignment horizontal="centerContinuous"/>
    </xf>
    <xf numFmtId="0" fontId="95" fillId="0" borderId="0" xfId="7541" applyFont="1"/>
    <xf numFmtId="0" fontId="95" fillId="0" borderId="30" xfId="7541" applyFont="1" applyBorder="1"/>
    <xf numFmtId="0" fontId="23" fillId="0" borderId="30" xfId="7541" applyFont="1" applyBorder="1"/>
    <xf numFmtId="0" fontId="23" fillId="0" borderId="31" xfId="7541" applyFont="1" applyBorder="1"/>
    <xf numFmtId="0" fontId="23" fillId="0" borderId="31" xfId="7541" applyFont="1" applyBorder="1" applyAlignment="1">
      <alignment horizontal="center"/>
    </xf>
    <xf numFmtId="164" fontId="23" fillId="0" borderId="0" xfId="7541" applyNumberFormat="1" applyFont="1" applyAlignment="1">
      <alignment horizontal="center"/>
    </xf>
    <xf numFmtId="4" fontId="23" fillId="0" borderId="31" xfId="7541" applyNumberFormat="1" applyFont="1" applyBorder="1" applyAlignment="1">
      <alignment horizontal="center"/>
    </xf>
    <xf numFmtId="177" fontId="23" fillId="0" borderId="0" xfId="7541" applyNumberFormat="1" applyFont="1" applyAlignment="1">
      <alignment horizontal="center"/>
    </xf>
    <xf numFmtId="177" fontId="23" fillId="0" borderId="0" xfId="7541" applyNumberFormat="1" applyFont="1"/>
    <xf numFmtId="43" fontId="23" fillId="0" borderId="0" xfId="7480" applyFont="1"/>
    <xf numFmtId="0" fontId="104" fillId="0" borderId="0" xfId="7541" applyFont="1" applyAlignment="1">
      <alignment horizontal="centerContinuous"/>
    </xf>
    <xf numFmtId="10" fontId="23" fillId="0" borderId="0" xfId="7541" applyNumberFormat="1" applyFont="1" applyAlignment="1">
      <alignment horizontal="center"/>
    </xf>
    <xf numFmtId="10" fontId="16" fillId="0" borderId="0" xfId="7541" applyNumberFormat="1"/>
    <xf numFmtId="0" fontId="16" fillId="0" borderId="1" xfId="7541" applyBorder="1"/>
    <xf numFmtId="0" fontId="23" fillId="0" borderId="1" xfId="7541" applyFont="1" applyBorder="1"/>
    <xf numFmtId="2" fontId="23" fillId="0" borderId="1" xfId="7541" applyNumberFormat="1" applyFont="1" applyBorder="1" applyAlignment="1">
      <alignment horizontal="center"/>
    </xf>
    <xf numFmtId="2" fontId="23" fillId="0" borderId="0" xfId="7541" applyNumberFormat="1" applyFont="1" applyAlignment="1">
      <alignment horizontal="center"/>
    </xf>
    <xf numFmtId="0" fontId="16" fillId="0" borderId="31" xfId="7541" applyBorder="1"/>
    <xf numFmtId="0" fontId="97" fillId="0" borderId="0" xfId="7541" applyFont="1" applyAlignment="1">
      <alignment horizontal="center"/>
    </xf>
    <xf numFmtId="0" fontId="97" fillId="0" borderId="0" xfId="7541" applyFont="1"/>
    <xf numFmtId="10" fontId="97" fillId="0" borderId="0" xfId="7541" applyNumberFormat="1" applyFont="1"/>
    <xf numFmtId="0" fontId="98" fillId="0" borderId="39" xfId="7533" applyFont="1" applyBorder="1" applyAlignment="1">
      <alignment horizontal="center" vertical="center" wrapText="1"/>
    </xf>
    <xf numFmtId="0" fontId="16" fillId="0" borderId="0" xfId="7515" applyAlignment="1">
      <alignment horizontal="center"/>
    </xf>
    <xf numFmtId="164" fontId="23" fillId="0" borderId="0" xfId="7541" applyNumberFormat="1" applyFont="1"/>
    <xf numFmtId="9" fontId="98" fillId="63" borderId="0" xfId="7533" applyNumberFormat="1" applyFont="1" applyFill="1" applyAlignment="1">
      <alignment horizontal="center" vertical="center" wrapText="1"/>
    </xf>
    <xf numFmtId="179" fontId="98" fillId="63" borderId="0" xfId="7533" applyNumberFormat="1" applyFont="1" applyFill="1" applyAlignment="1">
      <alignment horizontal="center" vertical="center" wrapText="1"/>
    </xf>
    <xf numFmtId="0" fontId="16" fillId="0" borderId="1" xfId="7536" applyFont="1" applyBorder="1"/>
    <xf numFmtId="0" fontId="16" fillId="0" borderId="1" xfId="7536" applyFont="1" applyBorder="1" applyAlignment="1">
      <alignment horizontal="center"/>
    </xf>
    <xf numFmtId="0" fontId="26" fillId="0" borderId="1" xfId="7536" applyFont="1" applyBorder="1" applyAlignment="1">
      <alignment horizontal="center"/>
    </xf>
    <xf numFmtId="0" fontId="23" fillId="0" borderId="45" xfId="7541" applyFont="1" applyBorder="1" applyAlignment="1">
      <alignment horizontal="left" vertical="center"/>
    </xf>
    <xf numFmtId="0" fontId="16" fillId="0" borderId="45" xfId="7536" applyFont="1" applyBorder="1" applyAlignment="1">
      <alignment horizontal="center"/>
    </xf>
    <xf numFmtId="0" fontId="26" fillId="0" borderId="45" xfId="7536" applyFont="1" applyBorder="1" applyAlignment="1">
      <alignment horizontal="center"/>
    </xf>
    <xf numFmtId="0" fontId="16" fillId="0" borderId="45" xfId="7536" applyFont="1" applyBorder="1"/>
    <xf numFmtId="10" fontId="23" fillId="0" borderId="45" xfId="7542" applyNumberFormat="1" applyFont="1" applyBorder="1" applyAlignment="1">
      <alignment horizontal="center"/>
    </xf>
    <xf numFmtId="10" fontId="16" fillId="0" borderId="1" xfId="7536" applyNumberFormat="1" applyFont="1" applyBorder="1" applyAlignment="1">
      <alignment horizontal="center" vertical="center"/>
    </xf>
    <xf numFmtId="0" fontId="16" fillId="0" borderId="0" xfId="7423" applyAlignment="1">
      <alignment horizontal="center"/>
    </xf>
    <xf numFmtId="0" fontId="16" fillId="0" borderId="45" xfId="7423" applyBorder="1" applyAlignment="1">
      <alignment horizontal="center"/>
    </xf>
    <xf numFmtId="10" fontId="16" fillId="0" borderId="45" xfId="3" applyNumberFormat="1" applyFont="1" applyBorder="1" applyAlignment="1">
      <alignment horizontal="center"/>
    </xf>
    <xf numFmtId="178" fontId="16" fillId="0" borderId="45" xfId="3" applyNumberFormat="1" applyFont="1" applyBorder="1" applyAlignment="1">
      <alignment horizontal="center"/>
    </xf>
    <xf numFmtId="178" fontId="16" fillId="0" borderId="0" xfId="3" applyNumberFormat="1" applyFont="1" applyAlignment="1">
      <alignment horizontal="center"/>
    </xf>
    <xf numFmtId="0" fontId="16" fillId="0" borderId="0" xfId="7550"/>
    <xf numFmtId="0" fontId="0" fillId="0" borderId="0" xfId="7550" applyFont="1" applyAlignment="1">
      <alignment horizontal="centerContinuous"/>
    </xf>
    <xf numFmtId="0" fontId="16" fillId="0" borderId="0" xfId="7550" applyAlignment="1">
      <alignment horizontal="centerContinuous"/>
    </xf>
    <xf numFmtId="0" fontId="104" fillId="0" borderId="0" xfId="7550" applyFont="1" applyAlignment="1">
      <alignment horizontal="centerContinuous"/>
    </xf>
    <xf numFmtId="0" fontId="16" fillId="0" borderId="0" xfId="7550" applyAlignment="1">
      <alignment horizontal="center"/>
    </xf>
    <xf numFmtId="0" fontId="16" fillId="0" borderId="33" xfId="7550" applyBorder="1" applyAlignment="1">
      <alignment horizontal="center"/>
    </xf>
    <xf numFmtId="0" fontId="0" fillId="0" borderId="33" xfId="7550" applyFont="1" applyBorder="1" applyAlignment="1">
      <alignment horizontal="center" wrapText="1"/>
    </xf>
    <xf numFmtId="0" fontId="16" fillId="0" borderId="33" xfId="7550" applyBorder="1" applyAlignment="1">
      <alignment horizontal="center" wrapText="1"/>
    </xf>
    <xf numFmtId="0" fontId="23" fillId="0" borderId="33" xfId="7550" applyFont="1" applyBorder="1" applyAlignment="1">
      <alignment horizontal="center" wrapText="1"/>
    </xf>
    <xf numFmtId="0" fontId="23" fillId="0" borderId="0" xfId="7550" applyFont="1"/>
    <xf numFmtId="4" fontId="23" fillId="0" borderId="0" xfId="7550" applyNumberFormat="1" applyFont="1" applyAlignment="1">
      <alignment horizontal="center"/>
    </xf>
    <xf numFmtId="10" fontId="16" fillId="0" borderId="0" xfId="7550" applyNumberFormat="1" applyAlignment="1">
      <alignment horizontal="center"/>
    </xf>
    <xf numFmtId="10" fontId="16" fillId="0" borderId="0" xfId="41" applyNumberFormat="1" applyFont="1" applyAlignment="1">
      <alignment horizontal="center"/>
    </xf>
    <xf numFmtId="10" fontId="23" fillId="0" borderId="0" xfId="7550" applyNumberFormat="1" applyFont="1" applyAlignment="1">
      <alignment horizontal="center" wrapText="1"/>
    </xf>
    <xf numFmtId="0" fontId="16" fillId="0" borderId="6" xfId="7550" applyBorder="1"/>
    <xf numFmtId="10" fontId="16" fillId="0" borderId="6" xfId="7550" applyNumberFormat="1" applyBorder="1" applyAlignment="1">
      <alignment horizontal="center"/>
    </xf>
    <xf numFmtId="10" fontId="23" fillId="0" borderId="0" xfId="7551" applyNumberFormat="1" applyFont="1" applyAlignment="1">
      <alignment horizontal="center"/>
    </xf>
    <xf numFmtId="0" fontId="104" fillId="0" borderId="0" xfId="7550" applyFont="1"/>
    <xf numFmtId="10" fontId="104" fillId="0" borderId="0" xfId="7550" applyNumberFormat="1" applyFont="1" applyAlignment="1">
      <alignment horizontal="center"/>
    </xf>
    <xf numFmtId="0" fontId="16" fillId="0" borderId="31" xfId="7550" applyBorder="1"/>
    <xf numFmtId="0" fontId="0" fillId="0" borderId="0" xfId="7550" applyFont="1"/>
    <xf numFmtId="0" fontId="16" fillId="0" borderId="0" xfId="7550" applyAlignment="1">
      <alignment horizontal="left"/>
    </xf>
    <xf numFmtId="10" fontId="16" fillId="0" borderId="0" xfId="7550" applyNumberFormat="1" applyAlignment="1">
      <alignment horizontal="center" wrapText="1"/>
    </xf>
    <xf numFmtId="4" fontId="16" fillId="0" borderId="0" xfId="7550" applyNumberFormat="1"/>
    <xf numFmtId="10" fontId="16" fillId="0" borderId="0" xfId="7551" applyNumberFormat="1" applyFont="1" applyAlignment="1">
      <alignment horizontal="center" wrapText="1"/>
    </xf>
    <xf numFmtId="0" fontId="42" fillId="0" borderId="0" xfId="7541" applyFont="1"/>
    <xf numFmtId="10" fontId="42" fillId="0" borderId="34" xfId="7541" applyNumberFormat="1" applyFont="1" applyBorder="1" applyAlignment="1">
      <alignment horizontal="centerContinuous"/>
    </xf>
    <xf numFmtId="0" fontId="16" fillId="0" borderId="5" xfId="7541" applyBorder="1" applyAlignment="1">
      <alignment horizontal="centerContinuous"/>
    </xf>
    <xf numFmtId="0" fontId="16" fillId="0" borderId="35" xfId="7541" applyBorder="1" applyAlignment="1">
      <alignment horizontal="centerContinuous"/>
    </xf>
    <xf numFmtId="9" fontId="16" fillId="0" borderId="0" xfId="7541" applyNumberFormat="1"/>
    <xf numFmtId="10" fontId="42" fillId="0" borderId="34" xfId="7551" applyNumberFormat="1" applyFont="1" applyBorder="1" applyAlignment="1">
      <alignment horizontal="centerContinuous"/>
    </xf>
    <xf numFmtId="0" fontId="42" fillId="0" borderId="0" xfId="7541" applyFont="1" applyAlignment="1">
      <alignment horizontal="centerContinuous"/>
    </xf>
    <xf numFmtId="0" fontId="42" fillId="0" borderId="0" xfId="7541" applyFont="1" applyAlignment="1">
      <alignment horizontal="center"/>
    </xf>
    <xf numFmtId="0" fontId="42" fillId="0" borderId="30" xfId="7541" applyFont="1" applyBorder="1"/>
    <xf numFmtId="0" fontId="42" fillId="0" borderId="30" xfId="7541" applyFont="1" applyBorder="1" applyAlignment="1">
      <alignment horizontal="center"/>
    </xf>
    <xf numFmtId="0" fontId="42" fillId="0" borderId="31" xfId="7541" applyFont="1" applyBorder="1" applyAlignment="1">
      <alignment horizontal="center"/>
    </xf>
    <xf numFmtId="0" fontId="42" fillId="0" borderId="0" xfId="7541" applyFont="1" applyAlignment="1">
      <alignment wrapText="1"/>
    </xf>
    <xf numFmtId="0" fontId="16" fillId="0" borderId="0" xfId="7541" applyAlignment="1">
      <alignment horizontal="center"/>
    </xf>
    <xf numFmtId="10" fontId="42" fillId="0" borderId="0" xfId="7541" applyNumberFormat="1" applyFont="1" applyAlignment="1">
      <alignment horizontal="center"/>
    </xf>
    <xf numFmtId="180" fontId="42" fillId="0" borderId="0" xfId="7551" applyNumberFormat="1" applyFont="1" applyAlignment="1">
      <alignment horizontal="center"/>
    </xf>
    <xf numFmtId="180" fontId="42" fillId="0" borderId="0" xfId="7541" applyNumberFormat="1" applyFont="1" applyAlignment="1">
      <alignment horizontal="center"/>
    </xf>
    <xf numFmtId="0" fontId="42" fillId="0" borderId="31" xfId="7541" applyFont="1" applyBorder="1"/>
    <xf numFmtId="2" fontId="16" fillId="0" borderId="0" xfId="7541" applyNumberFormat="1" applyAlignment="1">
      <alignment horizontal="center"/>
    </xf>
    <xf numFmtId="10" fontId="23" fillId="0" borderId="0" xfId="3" applyNumberFormat="1" applyBorder="1" applyAlignment="1">
      <alignment horizontal="center"/>
    </xf>
    <xf numFmtId="0" fontId="16" fillId="0" borderId="1" xfId="7541" applyBorder="1" applyAlignment="1">
      <alignment horizontal="center"/>
    </xf>
    <xf numFmtId="10" fontId="42" fillId="0" borderId="1" xfId="7541" applyNumberFormat="1" applyFont="1" applyBorder="1" applyAlignment="1">
      <alignment horizontal="center"/>
    </xf>
    <xf numFmtId="180" fontId="42" fillId="0" borderId="1" xfId="7551" applyNumberFormat="1" applyFont="1" applyBorder="1" applyAlignment="1">
      <alignment horizontal="center"/>
    </xf>
    <xf numFmtId="180" fontId="42" fillId="0" borderId="1" xfId="7541" applyNumberFormat="1" applyFont="1" applyBorder="1" applyAlignment="1">
      <alignment horizontal="center"/>
    </xf>
    <xf numFmtId="0" fontId="16" fillId="0" borderId="1" xfId="7515" applyBorder="1" applyAlignment="1">
      <alignment horizontal="center"/>
    </xf>
    <xf numFmtId="0" fontId="16" fillId="0" borderId="1" xfId="7423" applyBorder="1" applyAlignment="1">
      <alignment horizontal="center"/>
    </xf>
    <xf numFmtId="10" fontId="16" fillId="0" borderId="1" xfId="3" applyNumberFormat="1" applyFont="1" applyBorder="1" applyAlignment="1">
      <alignment horizontal="center"/>
    </xf>
    <xf numFmtId="178" fontId="16" fillId="0" borderId="1" xfId="3" applyNumberFormat="1" applyFont="1" applyBorder="1" applyAlignment="1">
      <alignment horizontal="center"/>
    </xf>
    <xf numFmtId="0" fontId="23" fillId="0" borderId="30" xfId="7541" applyFont="1" applyBorder="1" applyAlignment="1">
      <alignment horizontal="center"/>
    </xf>
    <xf numFmtId="164" fontId="23" fillId="0" borderId="31" xfId="7541" applyNumberFormat="1" applyFont="1" applyBorder="1" applyAlignment="1">
      <alignment horizontal="center"/>
    </xf>
    <xf numFmtId="10" fontId="23" fillId="0" borderId="0" xfId="7552" applyNumberFormat="1" applyFont="1" applyAlignment="1">
      <alignment horizontal="center"/>
    </xf>
    <xf numFmtId="0" fontId="16" fillId="0" borderId="0" xfId="7541" applyAlignment="1">
      <alignment horizontal="center" vertical="center"/>
    </xf>
    <xf numFmtId="9" fontId="23" fillId="0" borderId="0" xfId="7552" applyFont="1"/>
    <xf numFmtId="0" fontId="97" fillId="0" borderId="0" xfId="7541" applyFont="1" applyAlignment="1">
      <alignment horizontal="left" vertical="center"/>
    </xf>
    <xf numFmtId="10" fontId="23" fillId="0" borderId="0" xfId="7552" applyNumberFormat="1" applyFont="1"/>
    <xf numFmtId="0" fontId="16" fillId="0" borderId="31" xfId="7541" applyBorder="1" applyAlignment="1">
      <alignment horizontal="center"/>
    </xf>
    <xf numFmtId="0" fontId="23" fillId="0" borderId="45" xfId="7541" applyFont="1" applyBorder="1"/>
    <xf numFmtId="0" fontId="16" fillId="0" borderId="45" xfId="7541" applyBorder="1"/>
    <xf numFmtId="10" fontId="23" fillId="0" borderId="45" xfId="7552" applyNumberFormat="1" applyFont="1" applyBorder="1" applyAlignment="1">
      <alignment horizontal="center"/>
    </xf>
    <xf numFmtId="0" fontId="16" fillId="0" borderId="31" xfId="3157" applyFont="1" applyBorder="1"/>
    <xf numFmtId="0" fontId="16" fillId="0" borderId="45" xfId="3157" applyFont="1" applyBorder="1"/>
    <xf numFmtId="0" fontId="16" fillId="0" borderId="45" xfId="3157" applyFont="1" applyBorder="1" applyAlignment="1">
      <alignment horizontal="center"/>
    </xf>
    <xf numFmtId="0" fontId="23" fillId="0" borderId="0" xfId="7541" applyFont="1" applyAlignment="1">
      <alignment horizontal="center"/>
    </xf>
    <xf numFmtId="0" fontId="104" fillId="0" borderId="4" xfId="7541" applyFont="1" applyBorder="1" applyAlignment="1">
      <alignment horizontal="center" vertical="center"/>
    </xf>
    <xf numFmtId="0" fontId="0" fillId="0" borderId="0" xfId="0" applyAlignment="1">
      <alignment horizontal="left"/>
    </xf>
    <xf numFmtId="0" fontId="16" fillId="0" borderId="0" xfId="7555"/>
    <xf numFmtId="0" fontId="16" fillId="0" borderId="0" xfId="7555" applyAlignment="1">
      <alignment horizontal="center"/>
    </xf>
    <xf numFmtId="10" fontId="16" fillId="0" borderId="0" xfId="7556" applyNumberFormat="1" applyFont="1" applyAlignment="1">
      <alignment horizontal="center"/>
    </xf>
    <xf numFmtId="0" fontId="0" fillId="0" borderId="0" xfId="7543" applyFont="1" applyAlignment="1">
      <alignment horizontal="left"/>
    </xf>
    <xf numFmtId="0" fontId="16" fillId="0" borderId="0" xfId="7522" applyAlignment="1">
      <alignment vertical="center"/>
    </xf>
    <xf numFmtId="0" fontId="0" fillId="0" borderId="0" xfId="7522" applyFont="1" applyAlignment="1">
      <alignment vertical="center"/>
    </xf>
    <xf numFmtId="10" fontId="0" fillId="0" borderId="0" xfId="7556" applyNumberFormat="1" applyFont="1" applyAlignment="1">
      <alignment horizontal="center"/>
    </xf>
    <xf numFmtId="0" fontId="0" fillId="0" borderId="0" xfId="7555" applyFont="1" applyAlignment="1">
      <alignment horizontal="center"/>
    </xf>
    <xf numFmtId="178" fontId="23" fillId="0" borderId="0" xfId="7552" applyNumberFormat="1" applyFont="1" applyAlignment="1">
      <alignment horizontal="center"/>
    </xf>
    <xf numFmtId="0" fontId="0" fillId="0" borderId="5" xfId="7541" applyFont="1" applyBorder="1"/>
    <xf numFmtId="0" fontId="16" fillId="0" borderId="5" xfId="7541" applyBorder="1"/>
    <xf numFmtId="0" fontId="0" fillId="0" borderId="5" xfId="0" applyBorder="1" applyAlignment="1">
      <alignment horizontal="left"/>
    </xf>
    <xf numFmtId="0" fontId="16" fillId="0" borderId="5" xfId="7541" applyBorder="1" applyAlignment="1">
      <alignment horizontal="center"/>
    </xf>
    <xf numFmtId="178" fontId="23" fillId="0" borderId="5" xfId="7552" applyNumberFormat="1" applyFont="1" applyBorder="1" applyAlignment="1">
      <alignment horizontal="center"/>
    </xf>
    <xf numFmtId="0" fontId="23" fillId="0" borderId="6" xfId="7541" applyFont="1" applyBorder="1"/>
    <xf numFmtId="0" fontId="16" fillId="0" borderId="6" xfId="7541" applyBorder="1"/>
    <xf numFmtId="0" fontId="0" fillId="0" borderId="6" xfId="7541" applyFont="1" applyBorder="1" applyAlignment="1">
      <alignment horizontal="center"/>
    </xf>
    <xf numFmtId="178" fontId="0" fillId="0" borderId="6" xfId="7541" applyNumberFormat="1" applyFont="1" applyBorder="1" applyAlignment="1">
      <alignment horizontal="center"/>
    </xf>
    <xf numFmtId="178" fontId="16" fillId="0" borderId="6" xfId="7541" applyNumberFormat="1" applyBorder="1" applyAlignment="1">
      <alignment horizontal="center"/>
    </xf>
    <xf numFmtId="0" fontId="0" fillId="0" borderId="0" xfId="7543" applyFont="1" applyAlignment="1">
      <alignment horizontal="left" wrapText="1"/>
    </xf>
    <xf numFmtId="0" fontId="16" fillId="0" borderId="0" xfId="7541" applyAlignment="1">
      <alignment vertical="top"/>
    </xf>
    <xf numFmtId="0" fontId="16" fillId="0" borderId="0" xfId="7541" applyAlignment="1">
      <alignment wrapText="1"/>
    </xf>
    <xf numFmtId="0" fontId="16" fillId="0" borderId="0" xfId="7541" applyAlignment="1">
      <alignment horizontal="center" vertical="top"/>
    </xf>
    <xf numFmtId="0" fontId="23" fillId="0" borderId="0" xfId="7522" applyFont="1" applyAlignment="1">
      <alignment vertical="center"/>
    </xf>
    <xf numFmtId="0" fontId="104" fillId="0" borderId="4" xfId="7541" applyFont="1" applyBorder="1" applyAlignment="1">
      <alignment vertical="center" wrapText="1"/>
    </xf>
    <xf numFmtId="0" fontId="0" fillId="0" borderId="0" xfId="7541" applyFont="1" applyFill="1" applyAlignment="1">
      <alignment horizontal="center"/>
    </xf>
    <xf numFmtId="0" fontId="23" fillId="0" borderId="0" xfId="7541" applyFont="1" applyFill="1" applyAlignment="1">
      <alignment horizontal="center"/>
    </xf>
    <xf numFmtId="0" fontId="23" fillId="0" borderId="0" xfId="5239" applyFont="1"/>
    <xf numFmtId="10" fontId="23" fillId="0" borderId="45" xfId="7550" applyNumberFormat="1" applyFont="1" applyBorder="1" applyAlignment="1">
      <alignment horizontal="center" wrapText="1"/>
    </xf>
    <xf numFmtId="10" fontId="23" fillId="0" borderId="0" xfId="7550" applyNumberFormat="1" applyFont="1" applyBorder="1" applyAlignment="1">
      <alignment horizontal="center" wrapText="1"/>
    </xf>
    <xf numFmtId="10" fontId="23" fillId="0" borderId="31" xfId="7550" applyNumberFormat="1" applyFont="1" applyBorder="1" applyAlignment="1">
      <alignment horizontal="center" wrapText="1"/>
    </xf>
    <xf numFmtId="0" fontId="98" fillId="63" borderId="46" xfId="7533" applyFont="1" applyFill="1" applyBorder="1" applyAlignment="1">
      <alignment horizontal="center" vertical="center" wrapText="1"/>
    </xf>
    <xf numFmtId="10" fontId="98" fillId="63" borderId="49" xfId="7533" applyNumberFormat="1" applyFont="1" applyFill="1" applyBorder="1" applyAlignment="1">
      <alignment horizontal="center" vertical="center" wrapText="1"/>
    </xf>
    <xf numFmtId="0" fontId="95" fillId="0" borderId="4" xfId="0" applyFont="1" applyBorder="1" applyAlignment="1">
      <alignment horizontal="centerContinuous"/>
    </xf>
    <xf numFmtId="181" fontId="0" fillId="0" borderId="0" xfId="0" applyNumberFormat="1"/>
    <xf numFmtId="0" fontId="0" fillId="0" borderId="1" xfId="0" applyBorder="1"/>
    <xf numFmtId="0" fontId="95" fillId="0" borderId="4" xfId="0" applyFont="1" applyBorder="1" applyAlignment="1">
      <alignment horizontal="center"/>
    </xf>
    <xf numFmtId="175" fontId="0" fillId="0" borderId="0" xfId="251" applyNumberFormat="1" applyFont="1"/>
    <xf numFmtId="175" fontId="0" fillId="0" borderId="1" xfId="251" applyNumberFormat="1" applyFont="1" applyBorder="1"/>
    <xf numFmtId="176" fontId="0" fillId="0" borderId="0" xfId="251" applyNumberFormat="1" applyFont="1"/>
    <xf numFmtId="182" fontId="0" fillId="0" borderId="0" xfId="251" applyNumberFormat="1" applyFont="1"/>
    <xf numFmtId="43" fontId="0" fillId="0" borderId="0" xfId="251" applyFont="1"/>
    <xf numFmtId="176" fontId="0" fillId="0" borderId="1" xfId="251" applyNumberFormat="1" applyFont="1" applyBorder="1"/>
    <xf numFmtId="182" fontId="0" fillId="0" borderId="1" xfId="251" applyNumberFormat="1" applyFont="1" applyBorder="1"/>
    <xf numFmtId="43" fontId="0" fillId="0" borderId="1" xfId="251" applyFont="1" applyBorder="1"/>
    <xf numFmtId="0" fontId="16" fillId="0" borderId="0" xfId="7541" applyFill="1"/>
    <xf numFmtId="0" fontId="104" fillId="0" borderId="4" xfId="7541" applyFont="1" applyFill="1" applyBorder="1" applyAlignment="1">
      <alignment horizontal="center" vertical="center" wrapText="1"/>
    </xf>
    <xf numFmtId="0" fontId="16" fillId="0" borderId="0" xfId="7541" applyFill="1" applyAlignment="1">
      <alignment horizontal="center"/>
    </xf>
    <xf numFmtId="0" fontId="16" fillId="0" borderId="0" xfId="7555" applyFill="1" applyAlignment="1">
      <alignment horizontal="center"/>
    </xf>
    <xf numFmtId="10" fontId="16" fillId="0" borderId="0" xfId="7552" applyNumberFormat="1" applyFont="1" applyFill="1" applyAlignment="1">
      <alignment horizontal="center"/>
    </xf>
    <xf numFmtId="0" fontId="16" fillId="0" borderId="5" xfId="7541" applyFill="1" applyBorder="1" applyAlignment="1">
      <alignment horizontal="center"/>
    </xf>
    <xf numFmtId="0" fontId="23" fillId="0" borderId="6" xfId="7541" applyFont="1" applyFill="1" applyBorder="1" applyAlignment="1">
      <alignment horizontal="center"/>
    </xf>
    <xf numFmtId="0" fontId="0" fillId="0" borderId="0" xfId="7543" applyFont="1" applyFill="1" applyAlignment="1">
      <alignment horizontal="left" wrapText="1"/>
    </xf>
    <xf numFmtId="0" fontId="16" fillId="0" borderId="0" xfId="7541" applyFill="1" applyAlignment="1">
      <alignment horizontal="center" vertical="top"/>
    </xf>
    <xf numFmtId="0" fontId="16" fillId="0" borderId="0" xfId="7543" applyFill="1"/>
    <xf numFmtId="0" fontId="16" fillId="0" borderId="0" xfId="7555" applyFill="1"/>
    <xf numFmtId="178" fontId="23" fillId="0" borderId="5" xfId="7552" applyNumberFormat="1" applyFont="1" applyFill="1" applyBorder="1" applyAlignment="1">
      <alignment horizontal="center"/>
    </xf>
    <xf numFmtId="178" fontId="23" fillId="0" borderId="6" xfId="7541" applyNumberFormat="1" applyFont="1" applyFill="1" applyBorder="1" applyAlignment="1">
      <alignment horizontal="center"/>
    </xf>
    <xf numFmtId="178" fontId="16" fillId="0" borderId="6" xfId="7541" applyNumberFormat="1" applyFill="1" applyBorder="1" applyAlignment="1">
      <alignment horizontal="center"/>
    </xf>
    <xf numFmtId="0" fontId="104" fillId="0" borderId="4" xfId="7541" applyFont="1" applyFill="1" applyBorder="1" applyAlignment="1">
      <alignment horizontal="center" vertical="center"/>
    </xf>
    <xf numFmtId="10" fontId="16" fillId="0" borderId="0" xfId="7556" applyNumberFormat="1" applyFont="1" applyFill="1" applyAlignment="1">
      <alignment horizontal="center"/>
    </xf>
    <xf numFmtId="0" fontId="23" fillId="0" borderId="0" xfId="0" applyFont="1" applyAlignment="1">
      <alignment horizontal="center"/>
    </xf>
    <xf numFmtId="0" fontId="23" fillId="0" borderId="0" xfId="7541" applyFont="1" applyAlignment="1">
      <alignment horizontal="center"/>
    </xf>
    <xf numFmtId="0" fontId="16" fillId="0" borderId="0" xfId="7555" applyAlignment="1">
      <alignment horizontal="center"/>
    </xf>
    <xf numFmtId="0" fontId="23" fillId="0" borderId="31" xfId="0" applyFont="1" applyBorder="1" applyAlignment="1">
      <alignment horizontal="center"/>
    </xf>
    <xf numFmtId="0" fontId="23" fillId="0" borderId="31" xfId="0" applyFont="1" applyBorder="1" applyAlignment="1">
      <alignment horizontal="center" wrapText="1"/>
    </xf>
    <xf numFmtId="10" fontId="105" fillId="0" borderId="0" xfId="7532" applyNumberFormat="1" applyFont="1" applyBorder="1" applyAlignment="1">
      <alignment horizontal="center" wrapText="1"/>
    </xf>
    <xf numFmtId="0" fontId="0" fillId="0" borderId="0" xfId="7530" applyFont="1" applyAlignment="1">
      <alignment horizontal="center"/>
    </xf>
    <xf numFmtId="10" fontId="23" fillId="0" borderId="0" xfId="0" applyNumberFormat="1" applyFont="1" applyAlignment="1">
      <alignment horizontal="center"/>
    </xf>
    <xf numFmtId="10" fontId="23" fillId="0" borderId="0" xfId="7480" applyNumberFormat="1" applyFont="1" applyFill="1" applyBorder="1" applyAlignment="1">
      <alignment horizontal="center"/>
    </xf>
    <xf numFmtId="10" fontId="23" fillId="0" borderId="0" xfId="0" quotePrefix="1" applyNumberFormat="1" applyFont="1" applyAlignment="1">
      <alignment horizontal="center"/>
    </xf>
    <xf numFmtId="10" fontId="23" fillId="0" borderId="0" xfId="7532" applyNumberFormat="1" applyFont="1" applyFill="1" applyBorder="1" applyAlignment="1">
      <alignment horizontal="center"/>
    </xf>
    <xf numFmtId="10" fontId="23" fillId="0" borderId="0" xfId="41" applyNumberFormat="1" applyFont="1" applyFill="1" applyBorder="1" applyAlignment="1">
      <alignment horizontal="center"/>
    </xf>
    <xf numFmtId="10" fontId="23" fillId="0" borderId="0" xfId="0" applyNumberFormat="1" applyFont="1"/>
    <xf numFmtId="0" fontId="23" fillId="0" borderId="31" xfId="0" applyFont="1" applyBorder="1"/>
    <xf numFmtId="0" fontId="0" fillId="0" borderId="31" xfId="0" applyBorder="1"/>
    <xf numFmtId="0" fontId="23" fillId="0" borderId="6" xfId="0" applyFont="1" applyBorder="1" applyAlignment="1">
      <alignment horizontal="left"/>
    </xf>
    <xf numFmtId="164" fontId="23" fillId="0" borderId="6" xfId="0" applyNumberFormat="1" applyFont="1" applyBorder="1" applyAlignment="1">
      <alignment horizontal="center"/>
    </xf>
    <xf numFmtId="10" fontId="23" fillId="0" borderId="6" xfId="7532" applyNumberFormat="1" applyFont="1" applyFill="1" applyBorder="1" applyAlignment="1">
      <alignment horizontal="center"/>
    </xf>
    <xf numFmtId="0" fontId="0" fillId="0" borderId="0" xfId="7543" applyFont="1" applyAlignment="1">
      <alignment horizontal="left" wrapText="1"/>
    </xf>
    <xf numFmtId="0" fontId="23" fillId="0" borderId="0" xfId="7541" applyFont="1" applyFill="1"/>
    <xf numFmtId="0" fontId="23" fillId="0" borderId="0" xfId="0" applyFont="1" applyFill="1" applyAlignment="1">
      <alignment horizontal="left"/>
    </xf>
    <xf numFmtId="0" fontId="23" fillId="0" borderId="0" xfId="7543" applyFont="1" applyAlignment="1">
      <alignment horizontal="left"/>
    </xf>
    <xf numFmtId="0" fontId="23" fillId="0" borderId="0" xfId="7550" applyFont="1" applyFill="1"/>
    <xf numFmtId="0" fontId="0" fillId="0" borderId="0" xfId="7541" applyFont="1" applyFill="1"/>
    <xf numFmtId="0" fontId="0" fillId="0" borderId="0" xfId="0" applyFill="1" applyAlignment="1">
      <alignment horizontal="left"/>
    </xf>
    <xf numFmtId="0" fontId="42" fillId="0" borderId="0" xfId="7541" applyFont="1" applyAlignment="1">
      <alignment horizontal="center"/>
    </xf>
    <xf numFmtId="1" fontId="16" fillId="0" borderId="0" xfId="7557" applyNumberFormat="1" applyFont="1" applyAlignment="1">
      <alignment horizontal="right"/>
    </xf>
    <xf numFmtId="0" fontId="16" fillId="0" borderId="0" xfId="7557" applyFont="1" applyAlignment="1">
      <alignment horizontal="center"/>
    </xf>
    <xf numFmtId="0" fontId="16" fillId="0" borderId="31" xfId="7557" applyFont="1" applyBorder="1"/>
    <xf numFmtId="0" fontId="16" fillId="0" borderId="31" xfId="7557" applyFont="1" applyBorder="1" applyAlignment="1">
      <alignment horizontal="center"/>
    </xf>
    <xf numFmtId="0" fontId="23" fillId="0" borderId="0" xfId="7557" applyFont="1"/>
    <xf numFmtId="10" fontId="23" fillId="0" borderId="0" xfId="7558" applyNumberFormat="1" applyFont="1" applyFill="1" applyBorder="1" applyAlignment="1">
      <alignment horizontal="center"/>
    </xf>
    <xf numFmtId="10" fontId="16" fillId="0" borderId="0" xfId="7557" applyNumberFormat="1" applyFont="1" applyAlignment="1">
      <alignment horizontal="center"/>
    </xf>
    <xf numFmtId="0" fontId="16" fillId="0" borderId="0" xfId="7557" applyFont="1"/>
    <xf numFmtId="10" fontId="23" fillId="0" borderId="31" xfId="7558" applyNumberFormat="1" applyFont="1" applyFill="1" applyBorder="1" applyAlignment="1">
      <alignment horizontal="center"/>
    </xf>
    <xf numFmtId="10" fontId="16" fillId="0" borderId="31" xfId="7557" applyNumberFormat="1" applyFont="1" applyBorder="1" applyAlignment="1">
      <alignment horizontal="center"/>
    </xf>
    <xf numFmtId="0" fontId="16" fillId="0" borderId="0" xfId="7557" applyFont="1" applyAlignment="1">
      <alignment horizontal="left"/>
    </xf>
    <xf numFmtId="10" fontId="23" fillId="0" borderId="0" xfId="7558" applyNumberFormat="1" applyFont="1" applyBorder="1" applyAlignment="1">
      <alignment horizontal="center"/>
    </xf>
    <xf numFmtId="10" fontId="16" fillId="0" borderId="0" xfId="7558" applyNumberFormat="1" applyFont="1" applyAlignment="1">
      <alignment horizontal="center"/>
    </xf>
    <xf numFmtId="0" fontId="96" fillId="0" borderId="0" xfId="7557" applyFont="1"/>
    <xf numFmtId="0" fontId="16" fillId="0" borderId="0" xfId="7557" applyFont="1" applyAlignment="1">
      <alignment horizontal="left" vertical="top"/>
    </xf>
    <xf numFmtId="0" fontId="104" fillId="0" borderId="0" xfId="7557" applyFont="1" applyAlignment="1">
      <alignment horizontal="center"/>
    </xf>
    <xf numFmtId="0" fontId="23" fillId="0" borderId="6" xfId="7541" applyFont="1" applyFill="1" applyBorder="1"/>
    <xf numFmtId="9" fontId="16" fillId="0" borderId="5" xfId="3" applyFont="1" applyBorder="1" applyAlignment="1">
      <alignment horizontal="centerContinuous"/>
    </xf>
    <xf numFmtId="9" fontId="16" fillId="0" borderId="35" xfId="3" applyFont="1" applyBorder="1" applyAlignment="1">
      <alignment horizontal="centerContinuous"/>
    </xf>
    <xf numFmtId="10" fontId="42" fillId="0" borderId="34" xfId="3" applyNumberFormat="1" applyFont="1" applyBorder="1" applyAlignment="1">
      <alignment horizontal="centerContinuous"/>
    </xf>
    <xf numFmtId="0" fontId="42" fillId="0" borderId="0" xfId="7541" applyFont="1" applyBorder="1"/>
    <xf numFmtId="10" fontId="16" fillId="0" borderId="0" xfId="7550" applyNumberFormat="1" applyBorder="1" applyAlignment="1">
      <alignment horizontal="center"/>
    </xf>
    <xf numFmtId="10" fontId="16" fillId="0" borderId="31" xfId="7550" applyNumberFormat="1" applyBorder="1" applyAlignment="1">
      <alignment horizontal="center"/>
    </xf>
    <xf numFmtId="164" fontId="23" fillId="0" borderId="0" xfId="7541" applyNumberFormat="1" applyFont="1" applyFill="1" applyAlignment="1">
      <alignment horizontal="center"/>
    </xf>
    <xf numFmtId="10" fontId="23" fillId="0" borderId="0" xfId="7552" applyNumberFormat="1" applyFont="1" applyFill="1" applyAlignment="1">
      <alignment horizontal="center"/>
    </xf>
    <xf numFmtId="177" fontId="23" fillId="0" borderId="0" xfId="7541" applyNumberFormat="1" applyFont="1" applyFill="1" applyAlignment="1">
      <alignment horizontal="center"/>
    </xf>
    <xf numFmtId="10" fontId="23" fillId="0" borderId="0" xfId="7552" applyNumberFormat="1" applyFont="1" applyFill="1"/>
    <xf numFmtId="10" fontId="16" fillId="0" borderId="0" xfId="3157" applyNumberFormat="1" applyFont="1" applyAlignment="1">
      <alignment horizontal="center"/>
    </xf>
    <xf numFmtId="10" fontId="42" fillId="0" borderId="0" xfId="7541" applyNumberFormat="1" applyFont="1"/>
    <xf numFmtId="0" fontId="100" fillId="62" borderId="39" xfId="7533" applyFont="1" applyFill="1" applyBorder="1" applyAlignment="1">
      <alignment horizontal="center" vertical="center" wrapText="1"/>
    </xf>
    <xf numFmtId="0" fontId="100" fillId="62" borderId="40" xfId="7533" applyFont="1" applyFill="1" applyBorder="1" applyAlignment="1">
      <alignment horizontal="center" vertical="center" wrapText="1"/>
    </xf>
    <xf numFmtId="0" fontId="100" fillId="62" borderId="41" xfId="7533" applyFont="1" applyFill="1" applyBorder="1" applyAlignment="1">
      <alignment horizontal="center" vertical="center" wrapText="1"/>
    </xf>
    <xf numFmtId="10" fontId="98" fillId="0" borderId="34" xfId="7533" applyNumberFormat="1" applyFont="1" applyBorder="1" applyAlignment="1">
      <alignment horizontal="center" vertical="center" wrapText="1"/>
    </xf>
    <xf numFmtId="10" fontId="98" fillId="0" borderId="5" xfId="7533" applyNumberFormat="1" applyFont="1" applyBorder="1" applyAlignment="1">
      <alignment horizontal="center" vertical="center" wrapText="1"/>
    </xf>
    <xf numFmtId="10" fontId="98" fillId="0" borderId="32" xfId="7533" applyNumberFormat="1" applyFont="1" applyBorder="1" applyAlignment="1">
      <alignment horizontal="center" vertical="center" wrapText="1"/>
    </xf>
    <xf numFmtId="0" fontId="75" fillId="63" borderId="0" xfId="7521" applyFont="1" applyFill="1" applyAlignment="1">
      <alignment horizontal="left" vertical="top" wrapText="1"/>
    </xf>
    <xf numFmtId="0" fontId="98" fillId="63" borderId="0" xfId="7533" applyFont="1" applyFill="1" applyAlignment="1">
      <alignment horizontal="center" wrapText="1"/>
    </xf>
    <xf numFmtId="0" fontId="100" fillId="62" borderId="36" xfId="7533" applyFont="1" applyFill="1" applyBorder="1" applyAlignment="1">
      <alignment horizontal="center" vertical="center"/>
    </xf>
    <xf numFmtId="0" fontId="100" fillId="62" borderId="37" xfId="7533" applyFont="1" applyFill="1" applyBorder="1" applyAlignment="1">
      <alignment horizontal="center" vertical="center"/>
    </xf>
    <xf numFmtId="0" fontId="100" fillId="62" borderId="38" xfId="7533" applyFont="1" applyFill="1" applyBorder="1" applyAlignment="1">
      <alignment horizontal="center" vertical="center"/>
    </xf>
    <xf numFmtId="0" fontId="100" fillId="62" borderId="39" xfId="7533" applyFont="1" applyFill="1" applyBorder="1" applyAlignment="1">
      <alignment horizontal="center" vertical="center"/>
    </xf>
    <xf numFmtId="0" fontId="100" fillId="62" borderId="40" xfId="7533" applyFont="1" applyFill="1" applyBorder="1" applyAlignment="1">
      <alignment horizontal="center" vertical="center"/>
    </xf>
    <xf numFmtId="0" fontId="100" fillId="62" borderId="41" xfId="7533" applyFont="1" applyFill="1" applyBorder="1" applyAlignment="1">
      <alignment horizontal="center" vertical="center"/>
    </xf>
    <xf numFmtId="0" fontId="100" fillId="62" borderId="42" xfId="7533" applyFont="1" applyFill="1" applyBorder="1" applyAlignment="1">
      <alignment horizontal="center" vertical="center"/>
    </xf>
    <xf numFmtId="0" fontId="100" fillId="62" borderId="43" xfId="7533" applyFont="1" applyFill="1" applyBorder="1" applyAlignment="1">
      <alignment horizontal="center" vertical="center"/>
    </xf>
    <xf numFmtId="0" fontId="100" fillId="62" borderId="44" xfId="7533" applyFont="1" applyFill="1" applyBorder="1" applyAlignment="1">
      <alignment horizontal="center" vertical="center"/>
    </xf>
    <xf numFmtId="0" fontId="98" fillId="63" borderId="34" xfId="7533" applyFont="1" applyFill="1" applyBorder="1" applyAlignment="1">
      <alignment horizontal="center" vertical="center" wrapText="1"/>
    </xf>
    <xf numFmtId="0" fontId="98" fillId="63" borderId="35" xfId="7533" applyFont="1" applyFill="1" applyBorder="1" applyAlignment="1">
      <alignment horizontal="center" vertical="center" wrapText="1"/>
    </xf>
    <xf numFmtId="10" fontId="98" fillId="63" borderId="47" xfId="7533" applyNumberFormat="1" applyFont="1" applyFill="1" applyBorder="1" applyAlignment="1">
      <alignment horizontal="center" vertical="center" wrapText="1"/>
    </xf>
    <xf numFmtId="10" fontId="98" fillId="63" borderId="48" xfId="7533" applyNumberFormat="1" applyFont="1" applyFill="1" applyBorder="1" applyAlignment="1">
      <alignment horizontal="center" vertical="center" wrapText="1"/>
    </xf>
    <xf numFmtId="0" fontId="100" fillId="62" borderId="50" xfId="7533" applyFont="1" applyFill="1" applyBorder="1" applyAlignment="1">
      <alignment horizontal="center" vertical="center" wrapText="1"/>
    </xf>
    <xf numFmtId="0" fontId="100" fillId="62" borderId="5" xfId="7533" applyFont="1" applyFill="1" applyBorder="1" applyAlignment="1">
      <alignment horizontal="center" vertical="center" wrapText="1"/>
    </xf>
    <xf numFmtId="0" fontId="100" fillId="62" borderId="32" xfId="7533" applyFont="1" applyFill="1" applyBorder="1" applyAlignment="1">
      <alignment horizontal="center" vertical="center" wrapText="1"/>
    </xf>
    <xf numFmtId="0" fontId="61" fillId="63" borderId="50" xfId="7533" applyFont="1" applyFill="1" applyBorder="1" applyAlignment="1">
      <alignment horizontal="center" vertical="center" wrapText="1"/>
    </xf>
    <xf numFmtId="0" fontId="61" fillId="63" borderId="5" xfId="7533" applyFont="1" applyFill="1" applyBorder="1" applyAlignment="1">
      <alignment horizontal="center" vertical="center" wrapText="1"/>
    </xf>
    <xf numFmtId="0" fontId="61" fillId="63" borderId="32" xfId="7533" applyFont="1" applyFill="1" applyBorder="1" applyAlignment="1">
      <alignment horizontal="center" vertical="center" wrapText="1"/>
    </xf>
    <xf numFmtId="0" fontId="16" fillId="0" borderId="0" xfId="7423" applyAlignment="1">
      <alignment horizontal="center"/>
    </xf>
    <xf numFmtId="0" fontId="23" fillId="0" borderId="0" xfId="0" applyFont="1" applyAlignment="1">
      <alignment horizontal="center"/>
    </xf>
    <xf numFmtId="0" fontId="0" fillId="0" borderId="0" xfId="0" applyAlignment="1">
      <alignment horizontal="center"/>
    </xf>
    <xf numFmtId="0" fontId="23" fillId="0" borderId="30" xfId="0" applyFont="1" applyBorder="1" applyAlignment="1">
      <alignment horizontal="center" wrapText="1"/>
    </xf>
    <xf numFmtId="0" fontId="23" fillId="0" borderId="31" xfId="0" applyFont="1" applyBorder="1" applyAlignment="1">
      <alignment horizontal="center" wrapText="1"/>
    </xf>
    <xf numFmtId="0" fontId="23" fillId="0" borderId="30" xfId="0" applyFont="1" applyBorder="1" applyAlignment="1">
      <alignment horizontal="center"/>
    </xf>
    <xf numFmtId="0" fontId="23" fillId="0" borderId="31" xfId="0" applyFont="1" applyBorder="1" applyAlignment="1">
      <alignment horizontal="center"/>
    </xf>
    <xf numFmtId="0" fontId="23" fillId="0" borderId="30" xfId="0" applyFont="1" applyBorder="1" applyAlignment="1">
      <alignment horizontal="center" vertical="center" wrapText="1"/>
    </xf>
    <xf numFmtId="10" fontId="105" fillId="0" borderId="30" xfId="7532" applyNumberFormat="1" applyFont="1" applyBorder="1" applyAlignment="1">
      <alignment horizontal="center" wrapText="1"/>
    </xf>
    <xf numFmtId="10" fontId="105" fillId="0" borderId="31" xfId="7532" applyNumberFormat="1" applyFont="1" applyBorder="1" applyAlignment="1">
      <alignment horizontal="center" wrapText="1"/>
    </xf>
    <xf numFmtId="0" fontId="42" fillId="0" borderId="0" xfId="7541" applyFont="1" applyAlignment="1">
      <alignment horizontal="center"/>
    </xf>
    <xf numFmtId="0" fontId="23" fillId="0" borderId="0" xfId="3157" applyAlignment="1">
      <alignment horizontal="center" wrapText="1"/>
    </xf>
    <xf numFmtId="0" fontId="16" fillId="0" borderId="0" xfId="7536" applyFont="1" applyAlignment="1">
      <alignment horizontal="center"/>
    </xf>
    <xf numFmtId="0" fontId="23" fillId="0" borderId="0" xfId="7541" applyFont="1" applyAlignment="1">
      <alignment horizontal="center"/>
    </xf>
    <xf numFmtId="0" fontId="95" fillId="0" borderId="0" xfId="7541" applyFont="1" applyAlignment="1">
      <alignment horizontal="center"/>
    </xf>
    <xf numFmtId="0" fontId="16" fillId="0" borderId="0" xfId="7555" applyAlignment="1">
      <alignment horizontal="center"/>
    </xf>
    <xf numFmtId="0" fontId="23" fillId="0" borderId="0" xfId="7543" applyFont="1" applyAlignment="1">
      <alignment horizontal="left" wrapText="1"/>
    </xf>
    <xf numFmtId="0" fontId="0" fillId="0" borderId="0" xfId="7543" applyFont="1" applyAlignment="1">
      <alignment horizontal="left" wrapText="1"/>
    </xf>
    <xf numFmtId="0" fontId="23" fillId="0" borderId="1" xfId="7541" applyFont="1" applyBorder="1" applyAlignment="1">
      <alignment horizontal="center"/>
    </xf>
    <xf numFmtId="0" fontId="0" fillId="0" borderId="1" xfId="7541" applyFont="1" applyBorder="1" applyAlignment="1">
      <alignment horizontal="center"/>
    </xf>
    <xf numFmtId="0" fontId="104" fillId="0" borderId="0" xfId="7541" applyFont="1" applyAlignment="1">
      <alignment horizontal="center"/>
    </xf>
    <xf numFmtId="0" fontId="104" fillId="0" borderId="4" xfId="7555" applyFont="1" applyBorder="1" applyAlignment="1">
      <alignment horizontal="center" vertical="center" wrapText="1"/>
    </xf>
    <xf numFmtId="0" fontId="16" fillId="0" borderId="1" xfId="7541" applyBorder="1" applyAlignment="1">
      <alignment horizontal="center"/>
    </xf>
    <xf numFmtId="0" fontId="104" fillId="0" borderId="4" xfId="7541" applyFont="1" applyBorder="1" applyAlignment="1">
      <alignment horizontal="center" vertical="center"/>
    </xf>
    <xf numFmtId="1" fontId="16" fillId="0" borderId="0" xfId="7557" applyNumberFormat="1" applyFont="1" applyAlignment="1">
      <alignment horizontal="center"/>
    </xf>
  </cellXfs>
  <cellStyles count="7560">
    <cellStyle name="_x000a_bidires=100_x000d_ 2 2 2" xfId="7559"/>
    <cellStyle name="$ Currency" xfId="43"/>
    <cellStyle name="$ Linked Amount" xfId="44"/>
    <cellStyle name="$Currency x2" xfId="45"/>
    <cellStyle name="$Gas Cost x5" xfId="46"/>
    <cellStyle name="20% - Accent1 2" xfId="47"/>
    <cellStyle name="20% - Accent1 2 2" xfId="48"/>
    <cellStyle name="20% - Accent1 2 3" xfId="49"/>
    <cellStyle name="20% - Accent1 2 4" xfId="7432"/>
    <cellStyle name="20% - Accent1 3" xfId="50"/>
    <cellStyle name="20% - Accent1 3 2" xfId="51"/>
    <cellStyle name="20% - Accent1 3 3" xfId="7433"/>
    <cellStyle name="20% - Accent1 4" xfId="52"/>
    <cellStyle name="20% - Accent1 4 2" xfId="53"/>
    <cellStyle name="20% - Accent1 4 3" xfId="7434"/>
    <cellStyle name="20% - Accent1 5" xfId="54"/>
    <cellStyle name="20% - Accent1 5 2" xfId="55"/>
    <cellStyle name="20% - Accent1 5 3" xfId="7435"/>
    <cellStyle name="20% - Accent1 6" xfId="56"/>
    <cellStyle name="20% - Accent2 2" xfId="57"/>
    <cellStyle name="20% - Accent2 2 2" xfId="58"/>
    <cellStyle name="20% - Accent2 2 3" xfId="59"/>
    <cellStyle name="20% - Accent2 2 4" xfId="7436"/>
    <cellStyle name="20% - Accent2 3" xfId="60"/>
    <cellStyle name="20% - Accent2 3 2" xfId="61"/>
    <cellStyle name="20% - Accent2 3 3" xfId="7437"/>
    <cellStyle name="20% - Accent2 4" xfId="62"/>
    <cellStyle name="20% - Accent2 4 2" xfId="63"/>
    <cellStyle name="20% - Accent2 4 3" xfId="7438"/>
    <cellStyle name="20% - Accent2 5" xfId="64"/>
    <cellStyle name="20% - Accent2 5 2" xfId="65"/>
    <cellStyle name="20% - Accent2 5 3" xfId="7439"/>
    <cellStyle name="20% - Accent2 6" xfId="66"/>
    <cellStyle name="20% - Accent3 2" xfId="67"/>
    <cellStyle name="20% - Accent3 2 2" xfId="68"/>
    <cellStyle name="20% - Accent3 2 3" xfId="69"/>
    <cellStyle name="20% - Accent3 2 4" xfId="7440"/>
    <cellStyle name="20% - Accent3 3" xfId="70"/>
    <cellStyle name="20% - Accent3 3 2" xfId="71"/>
    <cellStyle name="20% - Accent3 3 3" xfId="7441"/>
    <cellStyle name="20% - Accent3 4" xfId="72"/>
    <cellStyle name="20% - Accent3 4 2" xfId="73"/>
    <cellStyle name="20% - Accent3 4 3" xfId="7442"/>
    <cellStyle name="20% - Accent3 5" xfId="74"/>
    <cellStyle name="20% - Accent3 5 2" xfId="75"/>
    <cellStyle name="20% - Accent3 5 3" xfId="7443"/>
    <cellStyle name="20% - Accent3 6" xfId="76"/>
    <cellStyle name="20% - Accent4 2" xfId="77"/>
    <cellStyle name="20% - Accent4 2 2" xfId="78"/>
    <cellStyle name="20% - Accent4 2 3" xfId="79"/>
    <cellStyle name="20% - Accent4 2 4" xfId="7444"/>
    <cellStyle name="20% - Accent4 3" xfId="80"/>
    <cellStyle name="20% - Accent4 3 2" xfId="81"/>
    <cellStyle name="20% - Accent4 3 3" xfId="7445"/>
    <cellStyle name="20% - Accent4 4" xfId="82"/>
    <cellStyle name="20% - Accent4 4 2" xfId="83"/>
    <cellStyle name="20% - Accent4 4 3" xfId="7446"/>
    <cellStyle name="20% - Accent4 5" xfId="84"/>
    <cellStyle name="20% - Accent4 5 2" xfId="85"/>
    <cellStyle name="20% - Accent4 5 3" xfId="7447"/>
    <cellStyle name="20% - Accent4 6" xfId="86"/>
    <cellStyle name="20% - Accent5 2" xfId="87"/>
    <cellStyle name="20% - Accent5 2 2" xfId="88"/>
    <cellStyle name="20% - Accent5 2 3" xfId="89"/>
    <cellStyle name="20% - Accent5 2 4" xfId="7448"/>
    <cellStyle name="20% - Accent5 3" xfId="90"/>
    <cellStyle name="20% - Accent5 3 2" xfId="91"/>
    <cellStyle name="20% - Accent5 3 3" xfId="7449"/>
    <cellStyle name="20% - Accent5 4" xfId="92"/>
    <cellStyle name="20% - Accent5 4 2" xfId="93"/>
    <cellStyle name="20% - Accent5 4 3" xfId="7450"/>
    <cellStyle name="20% - Accent5 5" xfId="94"/>
    <cellStyle name="20% - Accent5 5 2" xfId="95"/>
    <cellStyle name="20% - Accent5 5 3" xfId="7451"/>
    <cellStyle name="20% - Accent5 6" xfId="96"/>
    <cellStyle name="20% - Accent6 2" xfId="97"/>
    <cellStyle name="20% - Accent6 2 2" xfId="98"/>
    <cellStyle name="20% - Accent6 2 3" xfId="99"/>
    <cellStyle name="20% - Accent6 2 4" xfId="7452"/>
    <cellStyle name="20% - Accent6 3" xfId="100"/>
    <cellStyle name="20% - Accent6 3 2" xfId="101"/>
    <cellStyle name="20% - Accent6 3 3" xfId="7453"/>
    <cellStyle name="20% - Accent6 4" xfId="102"/>
    <cellStyle name="20% - Accent6 4 2" xfId="103"/>
    <cellStyle name="20% - Accent6 4 3" xfId="7454"/>
    <cellStyle name="20% - Accent6 5" xfId="104"/>
    <cellStyle name="20% - Accent6 5 2" xfId="105"/>
    <cellStyle name="20% - Accent6 5 3" xfId="7455"/>
    <cellStyle name="20% - Accent6 6" xfId="106"/>
    <cellStyle name="40% - Accent1 2" xfId="107"/>
    <cellStyle name="40% - Accent1 2 2" xfId="108"/>
    <cellStyle name="40% - Accent1 2 3" xfId="109"/>
    <cellStyle name="40% - Accent1 2 4" xfId="7456"/>
    <cellStyle name="40% - Accent1 3" xfId="110"/>
    <cellStyle name="40% - Accent1 3 2" xfId="111"/>
    <cellStyle name="40% - Accent1 3 3" xfId="7457"/>
    <cellStyle name="40% - Accent1 4" xfId="112"/>
    <cellStyle name="40% - Accent1 4 2" xfId="113"/>
    <cellStyle name="40% - Accent1 4 3" xfId="7458"/>
    <cellStyle name="40% - Accent1 5" xfId="114"/>
    <cellStyle name="40% - Accent1 5 2" xfId="115"/>
    <cellStyle name="40% - Accent1 5 3" xfId="7459"/>
    <cellStyle name="40% - Accent1 6" xfId="116"/>
    <cellStyle name="40% - Accent2 2" xfId="117"/>
    <cellStyle name="40% - Accent2 2 2" xfId="118"/>
    <cellStyle name="40% - Accent2 2 3" xfId="119"/>
    <cellStyle name="40% - Accent2 2 4" xfId="7460"/>
    <cellStyle name="40% - Accent2 3" xfId="120"/>
    <cellStyle name="40% - Accent2 3 2" xfId="121"/>
    <cellStyle name="40% - Accent2 3 3" xfId="7461"/>
    <cellStyle name="40% - Accent2 4" xfId="122"/>
    <cellStyle name="40% - Accent2 4 2" xfId="123"/>
    <cellStyle name="40% - Accent2 4 3" xfId="7462"/>
    <cellStyle name="40% - Accent2 5" xfId="124"/>
    <cellStyle name="40% - Accent2 5 2" xfId="125"/>
    <cellStyle name="40% - Accent2 5 3" xfId="7463"/>
    <cellStyle name="40% - Accent2 6" xfId="126"/>
    <cellStyle name="40% - Accent3 2" xfId="127"/>
    <cellStyle name="40% - Accent3 2 2" xfId="128"/>
    <cellStyle name="40% - Accent3 2 3" xfId="129"/>
    <cellStyle name="40% - Accent3 2 4" xfId="7464"/>
    <cellStyle name="40% - Accent3 3" xfId="130"/>
    <cellStyle name="40% - Accent3 3 2" xfId="131"/>
    <cellStyle name="40% - Accent3 3 3" xfId="7465"/>
    <cellStyle name="40% - Accent3 4" xfId="132"/>
    <cellStyle name="40% - Accent3 4 2" xfId="133"/>
    <cellStyle name="40% - Accent3 4 3" xfId="7466"/>
    <cellStyle name="40% - Accent3 5" xfId="134"/>
    <cellStyle name="40% - Accent3 5 2" xfId="135"/>
    <cellStyle name="40% - Accent3 5 3" xfId="7467"/>
    <cellStyle name="40% - Accent3 6" xfId="136"/>
    <cellStyle name="40% - Accent4 2" xfId="137"/>
    <cellStyle name="40% - Accent4 2 2" xfId="138"/>
    <cellStyle name="40% - Accent4 2 3" xfId="139"/>
    <cellStyle name="40% - Accent4 2 4" xfId="7468"/>
    <cellStyle name="40% - Accent4 3" xfId="140"/>
    <cellStyle name="40% - Accent4 3 2" xfId="141"/>
    <cellStyle name="40% - Accent4 3 3" xfId="7469"/>
    <cellStyle name="40% - Accent4 4" xfId="142"/>
    <cellStyle name="40% - Accent4 4 2" xfId="143"/>
    <cellStyle name="40% - Accent4 4 3" xfId="7470"/>
    <cellStyle name="40% - Accent4 5" xfId="144"/>
    <cellStyle name="40% - Accent4 5 2" xfId="145"/>
    <cellStyle name="40% - Accent4 5 3" xfId="7471"/>
    <cellStyle name="40% - Accent4 6" xfId="146"/>
    <cellStyle name="40% - Accent5 2" xfId="147"/>
    <cellStyle name="40% - Accent5 2 2" xfId="148"/>
    <cellStyle name="40% - Accent5 2 3" xfId="149"/>
    <cellStyle name="40% - Accent5 2 4" xfId="7472"/>
    <cellStyle name="40% - Accent5 3" xfId="150"/>
    <cellStyle name="40% - Accent5 3 2" xfId="151"/>
    <cellStyle name="40% - Accent5 3 3" xfId="7473"/>
    <cellStyle name="40% - Accent5 4" xfId="152"/>
    <cellStyle name="40% - Accent5 4 2" xfId="153"/>
    <cellStyle name="40% - Accent5 4 3" xfId="7474"/>
    <cellStyle name="40% - Accent5 5" xfId="154"/>
    <cellStyle name="40% - Accent5 5 2" xfId="155"/>
    <cellStyle name="40% - Accent5 5 3" xfId="7475"/>
    <cellStyle name="40% - Accent5 6" xfId="156"/>
    <cellStyle name="40% - Accent6 2" xfId="157"/>
    <cellStyle name="40% - Accent6 2 2" xfId="158"/>
    <cellStyle name="40% - Accent6 2 3" xfId="159"/>
    <cellStyle name="40% - Accent6 2 4" xfId="7476"/>
    <cellStyle name="40% - Accent6 3" xfId="160"/>
    <cellStyle name="40% - Accent6 3 2" xfId="161"/>
    <cellStyle name="40% - Accent6 3 3" xfId="7477"/>
    <cellStyle name="40% - Accent6 4" xfId="162"/>
    <cellStyle name="40% - Accent6 4 2" xfId="163"/>
    <cellStyle name="40% - Accent6 4 3" xfId="7478"/>
    <cellStyle name="40% - Accent6 5" xfId="164"/>
    <cellStyle name="40% - Accent6 5 2" xfId="165"/>
    <cellStyle name="40% - Accent6 5 3" xfId="7479"/>
    <cellStyle name="40% - Accent6 6" xfId="166"/>
    <cellStyle name="60% - Accent1 2" xfId="167"/>
    <cellStyle name="60% - Accent1 3" xfId="168"/>
    <cellStyle name="60% - Accent1 4" xfId="169"/>
    <cellStyle name="60% - Accent1 5" xfId="170"/>
    <cellStyle name="60% - Accent1 6" xfId="171"/>
    <cellStyle name="60% - Accent2 2" xfId="172"/>
    <cellStyle name="60% - Accent2 3" xfId="173"/>
    <cellStyle name="60% - Accent2 4" xfId="174"/>
    <cellStyle name="60% - Accent2 5" xfId="175"/>
    <cellStyle name="60% - Accent2 6" xfId="176"/>
    <cellStyle name="60% - Accent3 2" xfId="177"/>
    <cellStyle name="60% - Accent3 3" xfId="178"/>
    <cellStyle name="60% - Accent3 4" xfId="179"/>
    <cellStyle name="60% - Accent3 5" xfId="180"/>
    <cellStyle name="60% - Accent3 6" xfId="181"/>
    <cellStyle name="60% - Accent4 2" xfId="182"/>
    <cellStyle name="60% - Accent4 3" xfId="183"/>
    <cellStyle name="60% - Accent4 4" xfId="184"/>
    <cellStyle name="60% - Accent4 5" xfId="185"/>
    <cellStyle name="60% - Accent4 6" xfId="186"/>
    <cellStyle name="60% - Accent5 2" xfId="187"/>
    <cellStyle name="60% - Accent5 3" xfId="188"/>
    <cellStyle name="60% - Accent5 4" xfId="189"/>
    <cellStyle name="60% - Accent5 5" xfId="190"/>
    <cellStyle name="60% - Accent5 6" xfId="191"/>
    <cellStyle name="60% - Accent6 2" xfId="192"/>
    <cellStyle name="60% - Accent6 3" xfId="193"/>
    <cellStyle name="60% - Accent6 4" xfId="194"/>
    <cellStyle name="60% - Accent6 5" xfId="195"/>
    <cellStyle name="60% - Accent6 6" xfId="196"/>
    <cellStyle name="Accent1 2" xfId="197"/>
    <cellStyle name="Accent1 3" xfId="198"/>
    <cellStyle name="Accent1 4" xfId="199"/>
    <cellStyle name="Accent1 5" xfId="200"/>
    <cellStyle name="Accent1 6" xfId="201"/>
    <cellStyle name="Accent2 2" xfId="202"/>
    <cellStyle name="Accent2 3" xfId="203"/>
    <cellStyle name="Accent2 4" xfId="204"/>
    <cellStyle name="Accent2 5" xfId="205"/>
    <cellStyle name="Accent2 6" xfId="206"/>
    <cellStyle name="Accent3 2" xfId="207"/>
    <cellStyle name="Accent3 3" xfId="208"/>
    <cellStyle name="Accent3 4" xfId="209"/>
    <cellStyle name="Accent3 5" xfId="210"/>
    <cellStyle name="Accent3 6" xfId="211"/>
    <cellStyle name="Accent4 2" xfId="212"/>
    <cellStyle name="Accent4 3" xfId="213"/>
    <cellStyle name="Accent4 4" xfId="214"/>
    <cellStyle name="Accent4 5" xfId="215"/>
    <cellStyle name="Accent4 6" xfId="216"/>
    <cellStyle name="Accent5 2" xfId="217"/>
    <cellStyle name="Accent5 3" xfId="218"/>
    <cellStyle name="Accent5 4" xfId="219"/>
    <cellStyle name="Accent5 5" xfId="220"/>
    <cellStyle name="Accent5 6" xfId="221"/>
    <cellStyle name="Accent6 2" xfId="222"/>
    <cellStyle name="Accent6 3" xfId="223"/>
    <cellStyle name="Accent6 4" xfId="224"/>
    <cellStyle name="Accent6 5" xfId="225"/>
    <cellStyle name="Accent6 6" xfId="226"/>
    <cellStyle name="Account No." xfId="227"/>
    <cellStyle name="Account No. 2" xfId="228"/>
    <cellStyle name="adj detail" xfId="229"/>
    <cellStyle name="Allocated" xfId="230"/>
    <cellStyle name="Bad 2" xfId="231"/>
    <cellStyle name="Bad 3" xfId="232"/>
    <cellStyle name="Bad 4" xfId="233"/>
    <cellStyle name="Bad 5" xfId="234"/>
    <cellStyle name="Bad 6" xfId="235"/>
    <cellStyle name="Calculation 2" xfId="236"/>
    <cellStyle name="Calculation 3" xfId="237"/>
    <cellStyle name="Calculation 4" xfId="238"/>
    <cellStyle name="Calculation 5" xfId="239"/>
    <cellStyle name="Calculation 6" xfId="240"/>
    <cellStyle name="Check Cell 2" xfId="241"/>
    <cellStyle name="Check Cell 3" xfId="242"/>
    <cellStyle name="Check Cell 4" xfId="243"/>
    <cellStyle name="Check Cell 5" xfId="244"/>
    <cellStyle name="Check Cell 6" xfId="245"/>
    <cellStyle name="Col Cent" xfId="246"/>
    <cellStyle name="Col Cent Across" xfId="247"/>
    <cellStyle name="Col Head Cent" xfId="248"/>
    <cellStyle name="Col Head Cent 2" xfId="249"/>
    <cellStyle name="Comma [0] 2" xfId="250"/>
    <cellStyle name="Comma 10" xfId="251"/>
    <cellStyle name="Comma 11" xfId="252"/>
    <cellStyle name="Comma 12" xfId="253"/>
    <cellStyle name="Comma 13" xfId="254"/>
    <cellStyle name="Comma 14" xfId="255"/>
    <cellStyle name="Comma 15" xfId="256"/>
    <cellStyle name="Comma 16" xfId="257"/>
    <cellStyle name="Comma 17" xfId="258"/>
    <cellStyle name="Comma 18" xfId="259"/>
    <cellStyle name="Comma 18 2" xfId="260"/>
    <cellStyle name="Comma 18 3" xfId="261"/>
    <cellStyle name="Comma 19" xfId="262"/>
    <cellStyle name="Comma 2" xfId="32"/>
    <cellStyle name="Comma 2 10" xfId="263"/>
    <cellStyle name="Comma 2 10 2" xfId="264"/>
    <cellStyle name="Comma 2 10 2 2" xfId="265"/>
    <cellStyle name="Comma 2 10 3" xfId="266"/>
    <cellStyle name="Comma 2 100" xfId="267"/>
    <cellStyle name="Comma 2 101" xfId="268"/>
    <cellStyle name="Comma 2 102" xfId="269"/>
    <cellStyle name="Comma 2 103" xfId="270"/>
    <cellStyle name="Comma 2 104" xfId="271"/>
    <cellStyle name="Comma 2 105" xfId="272"/>
    <cellStyle name="Comma 2 106" xfId="273"/>
    <cellStyle name="Comma 2 107" xfId="274"/>
    <cellStyle name="Comma 2 108" xfId="275"/>
    <cellStyle name="Comma 2 109" xfId="276"/>
    <cellStyle name="Comma 2 11" xfId="277"/>
    <cellStyle name="Comma 2 11 2" xfId="278"/>
    <cellStyle name="Comma 2 11 2 2" xfId="279"/>
    <cellStyle name="Comma 2 11 3" xfId="280"/>
    <cellStyle name="Comma 2 110" xfId="281"/>
    <cellStyle name="Comma 2 111" xfId="282"/>
    <cellStyle name="Comma 2 112" xfId="283"/>
    <cellStyle name="Comma 2 113" xfId="284"/>
    <cellStyle name="Comma 2 114" xfId="285"/>
    <cellStyle name="Comma 2 115" xfId="286"/>
    <cellStyle name="Comma 2 116" xfId="287"/>
    <cellStyle name="Comma 2 117" xfId="288"/>
    <cellStyle name="Comma 2 118" xfId="289"/>
    <cellStyle name="Comma 2 119" xfId="290"/>
    <cellStyle name="Comma 2 12" xfId="291"/>
    <cellStyle name="Comma 2 12 2" xfId="292"/>
    <cellStyle name="Comma 2 12 2 2" xfId="293"/>
    <cellStyle name="Comma 2 12 3" xfId="294"/>
    <cellStyle name="Comma 2 120" xfId="295"/>
    <cellStyle name="Comma 2 121" xfId="296"/>
    <cellStyle name="Comma 2 122" xfId="297"/>
    <cellStyle name="Comma 2 123" xfId="298"/>
    <cellStyle name="Comma 2 124" xfId="299"/>
    <cellStyle name="Comma 2 125" xfId="300"/>
    <cellStyle name="Comma 2 126" xfId="301"/>
    <cellStyle name="Comma 2 127" xfId="302"/>
    <cellStyle name="Comma 2 128" xfId="303"/>
    <cellStyle name="Comma 2 129" xfId="304"/>
    <cellStyle name="Comma 2 13" xfId="305"/>
    <cellStyle name="Comma 2 13 2" xfId="306"/>
    <cellStyle name="Comma 2 13 2 2" xfId="307"/>
    <cellStyle name="Comma 2 13 3" xfId="308"/>
    <cellStyle name="Comma 2 130" xfId="309"/>
    <cellStyle name="Comma 2 131" xfId="310"/>
    <cellStyle name="Comma 2 132" xfId="311"/>
    <cellStyle name="Comma 2 133" xfId="312"/>
    <cellStyle name="Comma 2 134" xfId="313"/>
    <cellStyle name="Comma 2 135" xfId="314"/>
    <cellStyle name="Comma 2 136" xfId="315"/>
    <cellStyle name="Comma 2 137" xfId="316"/>
    <cellStyle name="Comma 2 138" xfId="317"/>
    <cellStyle name="Comma 2 139" xfId="318"/>
    <cellStyle name="Comma 2 14" xfId="319"/>
    <cellStyle name="Comma 2 14 2" xfId="320"/>
    <cellStyle name="Comma 2 14 2 2" xfId="321"/>
    <cellStyle name="Comma 2 14 3" xfId="322"/>
    <cellStyle name="Comma 2 140" xfId="323"/>
    <cellStyle name="Comma 2 141" xfId="324"/>
    <cellStyle name="Comma 2 142" xfId="325"/>
    <cellStyle name="Comma 2 143" xfId="326"/>
    <cellStyle name="Comma 2 144" xfId="327"/>
    <cellStyle name="Comma 2 145" xfId="328"/>
    <cellStyle name="Comma 2 146" xfId="329"/>
    <cellStyle name="Comma 2 147" xfId="330"/>
    <cellStyle name="Comma 2 148" xfId="331"/>
    <cellStyle name="Comma 2 149" xfId="332"/>
    <cellStyle name="Comma 2 15" xfId="333"/>
    <cellStyle name="Comma 2 15 2" xfId="334"/>
    <cellStyle name="Comma 2 15 2 2" xfId="335"/>
    <cellStyle name="Comma 2 15 3" xfId="336"/>
    <cellStyle name="Comma 2 150" xfId="337"/>
    <cellStyle name="Comma 2 151" xfId="338"/>
    <cellStyle name="Comma 2 152" xfId="339"/>
    <cellStyle name="Comma 2 153" xfId="340"/>
    <cellStyle name="Comma 2 16" xfId="341"/>
    <cellStyle name="Comma 2 16 2" xfId="342"/>
    <cellStyle name="Comma 2 16 2 2" xfId="343"/>
    <cellStyle name="Comma 2 16 3" xfId="344"/>
    <cellStyle name="Comma 2 17" xfId="345"/>
    <cellStyle name="Comma 2 17 2" xfId="346"/>
    <cellStyle name="Comma 2 18" xfId="347"/>
    <cellStyle name="Comma 2 18 2" xfId="348"/>
    <cellStyle name="Comma 2 19" xfId="349"/>
    <cellStyle name="Comma 2 19 2" xfId="350"/>
    <cellStyle name="Comma 2 2" xfId="351"/>
    <cellStyle name="Comma 2 2 10" xfId="352"/>
    <cellStyle name="Comma 2 2 10 2" xfId="353"/>
    <cellStyle name="Comma 2 2 11" xfId="354"/>
    <cellStyle name="Comma 2 2 11 2" xfId="355"/>
    <cellStyle name="Comma 2 2 12" xfId="356"/>
    <cellStyle name="Comma 2 2 12 2" xfId="357"/>
    <cellStyle name="Comma 2 2 12 2 2" xfId="358"/>
    <cellStyle name="Comma 2 2 12 3" xfId="359"/>
    <cellStyle name="Comma 2 2 13" xfId="360"/>
    <cellStyle name="Comma 2 2 13 2" xfId="361"/>
    <cellStyle name="Comma 2 2 14" xfId="362"/>
    <cellStyle name="Comma 2 2 14 2" xfId="363"/>
    <cellStyle name="Comma 2 2 14 2 2" xfId="364"/>
    <cellStyle name="Comma 2 2 14 3" xfId="365"/>
    <cellStyle name="Comma 2 2 15" xfId="366"/>
    <cellStyle name="Comma 2 2 15 2" xfId="367"/>
    <cellStyle name="Comma 2 2 15 2 2" xfId="368"/>
    <cellStyle name="Comma 2 2 15 3" xfId="369"/>
    <cellStyle name="Comma 2 2 16" xfId="370"/>
    <cellStyle name="Comma 2 2 16 2" xfId="371"/>
    <cellStyle name="Comma 2 2 16 2 2" xfId="372"/>
    <cellStyle name="Comma 2 2 16 3" xfId="373"/>
    <cellStyle name="Comma 2 2 17" xfId="374"/>
    <cellStyle name="Comma 2 2 17 2" xfId="375"/>
    <cellStyle name="Comma 2 2 17 2 2" xfId="376"/>
    <cellStyle name="Comma 2 2 17 3" xfId="377"/>
    <cellStyle name="Comma 2 2 18" xfId="378"/>
    <cellStyle name="Comma 2 2 18 2" xfId="379"/>
    <cellStyle name="Comma 2 2 19" xfId="380"/>
    <cellStyle name="Comma 2 2 2" xfId="381"/>
    <cellStyle name="Comma 2 2 2 10" xfId="382"/>
    <cellStyle name="Comma 2 2 2 11" xfId="383"/>
    <cellStyle name="Comma 2 2 2 12" xfId="384"/>
    <cellStyle name="Comma 2 2 2 13" xfId="385"/>
    <cellStyle name="Comma 2 2 2 14" xfId="386"/>
    <cellStyle name="Comma 2 2 2 15" xfId="387"/>
    <cellStyle name="Comma 2 2 2 16" xfId="388"/>
    <cellStyle name="Comma 2 2 2 17" xfId="389"/>
    <cellStyle name="Comma 2 2 2 18" xfId="390"/>
    <cellStyle name="Comma 2 2 2 18 2" xfId="391"/>
    <cellStyle name="Comma 2 2 2 19" xfId="392"/>
    <cellStyle name="Comma 2 2 2 2" xfId="393"/>
    <cellStyle name="Comma 2 2 2 2 10" xfId="394"/>
    <cellStyle name="Comma 2 2 2 2 10 2" xfId="395"/>
    <cellStyle name="Comma 2 2 2 2 10 2 2" xfId="396"/>
    <cellStyle name="Comma 2 2 2 2 10 3" xfId="397"/>
    <cellStyle name="Comma 2 2 2 2 11" xfId="398"/>
    <cellStyle name="Comma 2 2 2 2 11 2" xfId="399"/>
    <cellStyle name="Comma 2 2 2 2 11 2 2" xfId="400"/>
    <cellStyle name="Comma 2 2 2 2 11 3" xfId="401"/>
    <cellStyle name="Comma 2 2 2 2 12" xfId="402"/>
    <cellStyle name="Comma 2 2 2 2 12 2" xfId="403"/>
    <cellStyle name="Comma 2 2 2 2 12 2 2" xfId="404"/>
    <cellStyle name="Comma 2 2 2 2 12 3" xfId="405"/>
    <cellStyle name="Comma 2 2 2 2 13" xfId="406"/>
    <cellStyle name="Comma 2 2 2 2 13 2" xfId="407"/>
    <cellStyle name="Comma 2 2 2 2 13 2 2" xfId="408"/>
    <cellStyle name="Comma 2 2 2 2 13 3" xfId="409"/>
    <cellStyle name="Comma 2 2 2 2 14" xfId="410"/>
    <cellStyle name="Comma 2 2 2 2 14 2" xfId="411"/>
    <cellStyle name="Comma 2 2 2 2 14 2 2" xfId="412"/>
    <cellStyle name="Comma 2 2 2 2 14 3" xfId="413"/>
    <cellStyle name="Comma 2 2 2 2 15" xfId="414"/>
    <cellStyle name="Comma 2 2 2 2 15 2" xfId="415"/>
    <cellStyle name="Comma 2 2 2 2 15 2 2" xfId="416"/>
    <cellStyle name="Comma 2 2 2 2 15 3" xfId="417"/>
    <cellStyle name="Comma 2 2 2 2 16" xfId="418"/>
    <cellStyle name="Comma 2 2 2 2 16 2" xfId="419"/>
    <cellStyle name="Comma 2 2 2 2 16 2 2" xfId="420"/>
    <cellStyle name="Comma 2 2 2 2 16 3" xfId="421"/>
    <cellStyle name="Comma 2 2 2 2 17" xfId="422"/>
    <cellStyle name="Comma 2 2 2 2 17 2" xfId="423"/>
    <cellStyle name="Comma 2 2 2 2 17 2 2" xfId="424"/>
    <cellStyle name="Comma 2 2 2 2 17 3" xfId="425"/>
    <cellStyle name="Comma 2 2 2 2 2" xfId="426"/>
    <cellStyle name="Comma 2 2 2 2 2 2" xfId="427"/>
    <cellStyle name="Comma 2 2 2 2 2 2 2" xfId="428"/>
    <cellStyle name="Comma 2 2 2 2 2 2 2 2" xfId="429"/>
    <cellStyle name="Comma 2 2 2 2 2 2 2 2 2" xfId="430"/>
    <cellStyle name="Comma 2 2 2 2 2 2 2 3" xfId="431"/>
    <cellStyle name="Comma 2 2 2 2 2 2 3" xfId="432"/>
    <cellStyle name="Comma 2 2 2 2 2 2 3 2" xfId="433"/>
    <cellStyle name="Comma 2 2 2 2 2 2 3 2 2" xfId="434"/>
    <cellStyle name="Comma 2 2 2 2 2 2 3 3" xfId="435"/>
    <cellStyle name="Comma 2 2 2 2 2 2 4" xfId="436"/>
    <cellStyle name="Comma 2 2 2 2 2 2 4 2" xfId="437"/>
    <cellStyle name="Comma 2 2 2 2 2 2 4 2 2" xfId="438"/>
    <cellStyle name="Comma 2 2 2 2 2 2 4 3" xfId="439"/>
    <cellStyle name="Comma 2 2 2 2 2 2 5" xfId="440"/>
    <cellStyle name="Comma 2 2 2 2 2 2 5 2" xfId="441"/>
    <cellStyle name="Comma 2 2 2 2 2 2 5 2 2" xfId="442"/>
    <cellStyle name="Comma 2 2 2 2 2 2 5 3" xfId="443"/>
    <cellStyle name="Comma 2 2 2 2 2 3" xfId="444"/>
    <cellStyle name="Comma 2 2 2 2 2 4" xfId="445"/>
    <cellStyle name="Comma 2 2 2 2 2 5" xfId="446"/>
    <cellStyle name="Comma 2 2 2 2 2 6" xfId="447"/>
    <cellStyle name="Comma 2 2 2 2 2 6 2" xfId="448"/>
    <cellStyle name="Comma 2 2 2 2 2 7" xfId="449"/>
    <cellStyle name="Comma 2 2 2 2 3" xfId="450"/>
    <cellStyle name="Comma 2 2 2 2 3 2" xfId="451"/>
    <cellStyle name="Comma 2 2 2 2 3 2 2" xfId="452"/>
    <cellStyle name="Comma 2 2 2 2 3 3" xfId="453"/>
    <cellStyle name="Comma 2 2 2 2 4" xfId="454"/>
    <cellStyle name="Comma 2 2 2 2 4 2" xfId="455"/>
    <cellStyle name="Comma 2 2 2 2 4 2 2" xfId="456"/>
    <cellStyle name="Comma 2 2 2 2 4 3" xfId="457"/>
    <cellStyle name="Comma 2 2 2 2 5" xfId="458"/>
    <cellStyle name="Comma 2 2 2 2 5 2" xfId="459"/>
    <cellStyle name="Comma 2 2 2 2 5 2 2" xfId="460"/>
    <cellStyle name="Comma 2 2 2 2 5 3" xfId="461"/>
    <cellStyle name="Comma 2 2 2 2 6" xfId="462"/>
    <cellStyle name="Comma 2 2 2 2 6 2" xfId="463"/>
    <cellStyle name="Comma 2 2 2 2 6 2 2" xfId="464"/>
    <cellStyle name="Comma 2 2 2 2 6 3" xfId="465"/>
    <cellStyle name="Comma 2 2 2 2 7" xfId="466"/>
    <cellStyle name="Comma 2 2 2 2 7 2" xfId="467"/>
    <cellStyle name="Comma 2 2 2 2 7 2 2" xfId="468"/>
    <cellStyle name="Comma 2 2 2 2 7 3" xfId="469"/>
    <cellStyle name="Comma 2 2 2 2 8" xfId="470"/>
    <cellStyle name="Comma 2 2 2 2 8 2" xfId="471"/>
    <cellStyle name="Comma 2 2 2 2 8 2 2" xfId="472"/>
    <cellStyle name="Comma 2 2 2 2 8 3" xfId="473"/>
    <cellStyle name="Comma 2 2 2 2 9" xfId="474"/>
    <cellStyle name="Comma 2 2 2 2 9 2" xfId="475"/>
    <cellStyle name="Comma 2 2 2 2 9 2 2" xfId="476"/>
    <cellStyle name="Comma 2 2 2 2 9 3" xfId="477"/>
    <cellStyle name="Comma 2 2 2 3" xfId="478"/>
    <cellStyle name="Comma 2 2 2 4" xfId="479"/>
    <cellStyle name="Comma 2 2 2 5" xfId="480"/>
    <cellStyle name="Comma 2 2 2 6" xfId="481"/>
    <cellStyle name="Comma 2 2 2 7" xfId="482"/>
    <cellStyle name="Comma 2 2 2 8" xfId="483"/>
    <cellStyle name="Comma 2 2 2 9" xfId="484"/>
    <cellStyle name="Comma 2 2 20" xfId="485"/>
    <cellStyle name="Comma 2 2 20 2" xfId="486"/>
    <cellStyle name="Comma 2 2 21" xfId="7480"/>
    <cellStyle name="Comma 2 2 3" xfId="487"/>
    <cellStyle name="Comma 2 2 3 2" xfId="488"/>
    <cellStyle name="Comma 2 2 3 2 2" xfId="489"/>
    <cellStyle name="Comma 2 2 3 3" xfId="490"/>
    <cellStyle name="Comma 2 2 4" xfId="491"/>
    <cellStyle name="Comma 2 2 4 2" xfId="492"/>
    <cellStyle name="Comma 2 2 4 2 2" xfId="493"/>
    <cellStyle name="Comma 2 2 4 3" xfId="494"/>
    <cellStyle name="Comma 2 2 5" xfId="495"/>
    <cellStyle name="Comma 2 2 5 2" xfId="496"/>
    <cellStyle name="Comma 2 2 5 2 2" xfId="497"/>
    <cellStyle name="Comma 2 2 5 3" xfId="498"/>
    <cellStyle name="Comma 2 2 6" xfId="499"/>
    <cellStyle name="Comma 2 2 6 2" xfId="500"/>
    <cellStyle name="Comma 2 2 6 2 2" xfId="501"/>
    <cellStyle name="Comma 2 2 6 3" xfId="502"/>
    <cellStyle name="Comma 2 2 7" xfId="503"/>
    <cellStyle name="Comma 2 2 7 2" xfId="504"/>
    <cellStyle name="Comma 2 2 7 2 2" xfId="505"/>
    <cellStyle name="Comma 2 2 7 3" xfId="506"/>
    <cellStyle name="Comma 2 2 8" xfId="507"/>
    <cellStyle name="Comma 2 2 8 2" xfId="508"/>
    <cellStyle name="Comma 2 2 8 2 2" xfId="509"/>
    <cellStyle name="Comma 2 2 8 3" xfId="510"/>
    <cellStyle name="Comma 2 2 9" xfId="511"/>
    <cellStyle name="Comma 2 2 9 2" xfId="512"/>
    <cellStyle name="Comma 2 20" xfId="513"/>
    <cellStyle name="Comma 2 20 2" xfId="514"/>
    <cellStyle name="Comma 2 21" xfId="515"/>
    <cellStyle name="Comma 2 21 2" xfId="516"/>
    <cellStyle name="Comma 2 22" xfId="517"/>
    <cellStyle name="Comma 2 22 2" xfId="518"/>
    <cellStyle name="Comma 2 23" xfId="519"/>
    <cellStyle name="Comma 2 23 2" xfId="520"/>
    <cellStyle name="Comma 2 24" xfId="521"/>
    <cellStyle name="Comma 2 24 2" xfId="522"/>
    <cellStyle name="Comma 2 25" xfId="523"/>
    <cellStyle name="Comma 2 25 2" xfId="524"/>
    <cellStyle name="Comma 2 26" xfId="525"/>
    <cellStyle name="Comma 2 26 2" xfId="526"/>
    <cellStyle name="Comma 2 27" xfId="527"/>
    <cellStyle name="Comma 2 27 2" xfId="528"/>
    <cellStyle name="Comma 2 28" xfId="529"/>
    <cellStyle name="Comma 2 28 2" xfId="530"/>
    <cellStyle name="Comma 2 29" xfId="531"/>
    <cellStyle name="Comma 2 29 2" xfId="532"/>
    <cellStyle name="Comma 2 3" xfId="533"/>
    <cellStyle name="Comma 2 3 2" xfId="534"/>
    <cellStyle name="Comma 2 3 2 2" xfId="535"/>
    <cellStyle name="Comma 2 3 3" xfId="536"/>
    <cellStyle name="Comma 2 30" xfId="537"/>
    <cellStyle name="Comma 2 30 2" xfId="538"/>
    <cellStyle name="Comma 2 31" xfId="539"/>
    <cellStyle name="Comma 2 31 2" xfId="540"/>
    <cellStyle name="Comma 2 32" xfId="541"/>
    <cellStyle name="Comma 2 32 2" xfId="542"/>
    <cellStyle name="Comma 2 33" xfId="543"/>
    <cellStyle name="Comma 2 33 2" xfId="544"/>
    <cellStyle name="Comma 2 34" xfId="545"/>
    <cellStyle name="Comma 2 34 2" xfId="546"/>
    <cellStyle name="Comma 2 35" xfId="547"/>
    <cellStyle name="Comma 2 35 2" xfId="548"/>
    <cellStyle name="Comma 2 36" xfId="549"/>
    <cellStyle name="Comma 2 36 2" xfId="550"/>
    <cellStyle name="Comma 2 37" xfId="551"/>
    <cellStyle name="Comma 2 37 2" xfId="552"/>
    <cellStyle name="Comma 2 38" xfId="553"/>
    <cellStyle name="Comma 2 38 2" xfId="554"/>
    <cellStyle name="Comma 2 39" xfId="555"/>
    <cellStyle name="Comma 2 39 2" xfId="556"/>
    <cellStyle name="Comma 2 4" xfId="557"/>
    <cellStyle name="Comma 2 4 2" xfId="558"/>
    <cellStyle name="Comma 2 4 2 2" xfId="559"/>
    <cellStyle name="Comma 2 4 3" xfId="560"/>
    <cellStyle name="Comma 2 40" xfId="561"/>
    <cellStyle name="Comma 2 40 2" xfId="562"/>
    <cellStyle name="Comma 2 41" xfId="563"/>
    <cellStyle name="Comma 2 41 2" xfId="564"/>
    <cellStyle name="Comma 2 42" xfId="565"/>
    <cellStyle name="Comma 2 42 2" xfId="566"/>
    <cellStyle name="Comma 2 43" xfId="567"/>
    <cellStyle name="Comma 2 43 2" xfId="568"/>
    <cellStyle name="Comma 2 44" xfId="569"/>
    <cellStyle name="Comma 2 44 2" xfId="570"/>
    <cellStyle name="Comma 2 45" xfId="571"/>
    <cellStyle name="Comma 2 45 2" xfId="572"/>
    <cellStyle name="Comma 2 46" xfId="573"/>
    <cellStyle name="Comma 2 46 2" xfId="574"/>
    <cellStyle name="Comma 2 47" xfId="575"/>
    <cellStyle name="Comma 2 47 2" xfId="576"/>
    <cellStyle name="Comma 2 48" xfId="577"/>
    <cellStyle name="Comma 2 48 2" xfId="578"/>
    <cellStyle name="Comma 2 49" xfId="579"/>
    <cellStyle name="Comma 2 49 2" xfId="580"/>
    <cellStyle name="Comma 2 5" xfId="581"/>
    <cellStyle name="Comma 2 5 2" xfId="582"/>
    <cellStyle name="Comma 2 5 2 2" xfId="583"/>
    <cellStyle name="Comma 2 5 3" xfId="584"/>
    <cellStyle name="Comma 2 50" xfId="585"/>
    <cellStyle name="Comma 2 50 2" xfId="586"/>
    <cellStyle name="Comma 2 51" xfId="587"/>
    <cellStyle name="Comma 2 51 2" xfId="588"/>
    <cellStyle name="Comma 2 52" xfId="589"/>
    <cellStyle name="Comma 2 52 2" xfId="590"/>
    <cellStyle name="Comma 2 53" xfId="591"/>
    <cellStyle name="Comma 2 53 2" xfId="592"/>
    <cellStyle name="Comma 2 54" xfId="593"/>
    <cellStyle name="Comma 2 54 2" xfId="594"/>
    <cellStyle name="Comma 2 55" xfId="595"/>
    <cellStyle name="Comma 2 55 2" xfId="596"/>
    <cellStyle name="Comma 2 56" xfId="597"/>
    <cellStyle name="Comma 2 56 2" xfId="598"/>
    <cellStyle name="Comma 2 57" xfId="599"/>
    <cellStyle name="Comma 2 57 2" xfId="600"/>
    <cellStyle name="Comma 2 58" xfId="601"/>
    <cellStyle name="Comma 2 58 2" xfId="602"/>
    <cellStyle name="Comma 2 59" xfId="603"/>
    <cellStyle name="Comma 2 59 2" xfId="604"/>
    <cellStyle name="Comma 2 6" xfId="605"/>
    <cellStyle name="Comma 2 6 2" xfId="606"/>
    <cellStyle name="Comma 2 6 2 2" xfId="607"/>
    <cellStyle name="Comma 2 6 3" xfId="608"/>
    <cellStyle name="Comma 2 60" xfId="609"/>
    <cellStyle name="Comma 2 60 2" xfId="610"/>
    <cellStyle name="Comma 2 61" xfId="611"/>
    <cellStyle name="Comma 2 61 2" xfId="612"/>
    <cellStyle name="Comma 2 62" xfId="613"/>
    <cellStyle name="Comma 2 63" xfId="614"/>
    <cellStyle name="Comma 2 64" xfId="615"/>
    <cellStyle name="Comma 2 65" xfId="616"/>
    <cellStyle name="Comma 2 66" xfId="617"/>
    <cellStyle name="Comma 2 67" xfId="618"/>
    <cellStyle name="Comma 2 68" xfId="619"/>
    <cellStyle name="Comma 2 68 2" xfId="620"/>
    <cellStyle name="Comma 2 69" xfId="621"/>
    <cellStyle name="Comma 2 7" xfId="622"/>
    <cellStyle name="Comma 2 7 2" xfId="623"/>
    <cellStyle name="Comma 2 7 2 2" xfId="624"/>
    <cellStyle name="Comma 2 7 3" xfId="625"/>
    <cellStyle name="Comma 2 70" xfId="626"/>
    <cellStyle name="Comma 2 71" xfId="627"/>
    <cellStyle name="Comma 2 72" xfId="628"/>
    <cellStyle name="Comma 2 73" xfId="629"/>
    <cellStyle name="Comma 2 74" xfId="630"/>
    <cellStyle name="Comma 2 75" xfId="631"/>
    <cellStyle name="Comma 2 76" xfId="632"/>
    <cellStyle name="Comma 2 77" xfId="633"/>
    <cellStyle name="Comma 2 78" xfId="634"/>
    <cellStyle name="Comma 2 79" xfId="635"/>
    <cellStyle name="Comma 2 8" xfId="636"/>
    <cellStyle name="Comma 2 8 2" xfId="637"/>
    <cellStyle name="Comma 2 8 2 2" xfId="638"/>
    <cellStyle name="Comma 2 8 3" xfId="639"/>
    <cellStyle name="Comma 2 80" xfId="640"/>
    <cellStyle name="Comma 2 81" xfId="641"/>
    <cellStyle name="Comma 2 82" xfId="642"/>
    <cellStyle name="Comma 2 83" xfId="643"/>
    <cellStyle name="Comma 2 84" xfId="644"/>
    <cellStyle name="Comma 2 85" xfId="645"/>
    <cellStyle name="Comma 2 86" xfId="646"/>
    <cellStyle name="Comma 2 87" xfId="647"/>
    <cellStyle name="Comma 2 88" xfId="648"/>
    <cellStyle name="Comma 2 89" xfId="649"/>
    <cellStyle name="Comma 2 9" xfId="650"/>
    <cellStyle name="Comma 2 9 2" xfId="651"/>
    <cellStyle name="Comma 2 9 2 2" xfId="652"/>
    <cellStyle name="Comma 2 9 3" xfId="653"/>
    <cellStyle name="Comma 2 90" xfId="654"/>
    <cellStyle name="Comma 2 91" xfId="655"/>
    <cellStyle name="Comma 2 92" xfId="656"/>
    <cellStyle name="Comma 2 93" xfId="657"/>
    <cellStyle name="Comma 2 94" xfId="658"/>
    <cellStyle name="Comma 2 95" xfId="659"/>
    <cellStyle name="Comma 2 96" xfId="660"/>
    <cellStyle name="Comma 2 97" xfId="661"/>
    <cellStyle name="Comma 2 98" xfId="662"/>
    <cellStyle name="Comma 2 99" xfId="663"/>
    <cellStyle name="Comma 20" xfId="664"/>
    <cellStyle name="Comma 21" xfId="665"/>
    <cellStyle name="Comma 22" xfId="666"/>
    <cellStyle name="Comma 23" xfId="667"/>
    <cellStyle name="Comma 24" xfId="668"/>
    <cellStyle name="Comma 25" xfId="669"/>
    <cellStyle name="Comma 26" xfId="670"/>
    <cellStyle name="Comma 27" xfId="671"/>
    <cellStyle name="Comma 28" xfId="672"/>
    <cellStyle name="Comma 29" xfId="673"/>
    <cellStyle name="Comma 3" xfId="674"/>
    <cellStyle name="Comma 3 10" xfId="675"/>
    <cellStyle name="Comma 3 10 2" xfId="676"/>
    <cellStyle name="Comma 3 10 2 2" xfId="677"/>
    <cellStyle name="Comma 3 10 3" xfId="678"/>
    <cellStyle name="Comma 3 100" xfId="679"/>
    <cellStyle name="Comma 3 101" xfId="680"/>
    <cellStyle name="Comma 3 102" xfId="681"/>
    <cellStyle name="Comma 3 103" xfId="682"/>
    <cellStyle name="Comma 3 104" xfId="683"/>
    <cellStyle name="Comma 3 105" xfId="684"/>
    <cellStyle name="Comma 3 106" xfId="685"/>
    <cellStyle name="Comma 3 107" xfId="686"/>
    <cellStyle name="Comma 3 108" xfId="687"/>
    <cellStyle name="Comma 3 109" xfId="688"/>
    <cellStyle name="Comma 3 11" xfId="689"/>
    <cellStyle name="Comma 3 11 2" xfId="690"/>
    <cellStyle name="Comma 3 11 2 2" xfId="691"/>
    <cellStyle name="Comma 3 11 3" xfId="692"/>
    <cellStyle name="Comma 3 110" xfId="693"/>
    <cellStyle name="Comma 3 111" xfId="694"/>
    <cellStyle name="Comma 3 112" xfId="695"/>
    <cellStyle name="Comma 3 113" xfId="696"/>
    <cellStyle name="Comma 3 114" xfId="697"/>
    <cellStyle name="Comma 3 115" xfId="698"/>
    <cellStyle name="Comma 3 116" xfId="699"/>
    <cellStyle name="Comma 3 117" xfId="700"/>
    <cellStyle name="Comma 3 118" xfId="701"/>
    <cellStyle name="Comma 3 119" xfId="702"/>
    <cellStyle name="Comma 3 12" xfId="703"/>
    <cellStyle name="Comma 3 12 2" xfId="704"/>
    <cellStyle name="Comma 3 12 2 2" xfId="705"/>
    <cellStyle name="Comma 3 12 3" xfId="706"/>
    <cellStyle name="Comma 3 120" xfId="707"/>
    <cellStyle name="Comma 3 121" xfId="708"/>
    <cellStyle name="Comma 3 122" xfId="709"/>
    <cellStyle name="Comma 3 123" xfId="710"/>
    <cellStyle name="Comma 3 124" xfId="711"/>
    <cellStyle name="Comma 3 125" xfId="712"/>
    <cellStyle name="Comma 3 126" xfId="713"/>
    <cellStyle name="Comma 3 127" xfId="714"/>
    <cellStyle name="Comma 3 128" xfId="715"/>
    <cellStyle name="Comma 3 129" xfId="716"/>
    <cellStyle name="Comma 3 13" xfId="717"/>
    <cellStyle name="Comma 3 13 2" xfId="718"/>
    <cellStyle name="Comma 3 13 2 2" xfId="719"/>
    <cellStyle name="Comma 3 13 3" xfId="720"/>
    <cellStyle name="Comma 3 130" xfId="721"/>
    <cellStyle name="Comma 3 131" xfId="722"/>
    <cellStyle name="Comma 3 132" xfId="723"/>
    <cellStyle name="Comma 3 133" xfId="724"/>
    <cellStyle name="Comma 3 134" xfId="725"/>
    <cellStyle name="Comma 3 135" xfId="726"/>
    <cellStyle name="Comma 3 136" xfId="727"/>
    <cellStyle name="Comma 3 137" xfId="728"/>
    <cellStyle name="Comma 3 138" xfId="729"/>
    <cellStyle name="Comma 3 139" xfId="730"/>
    <cellStyle name="Comma 3 14" xfId="731"/>
    <cellStyle name="Comma 3 14 2" xfId="732"/>
    <cellStyle name="Comma 3 14 2 2" xfId="733"/>
    <cellStyle name="Comma 3 14 3" xfId="734"/>
    <cellStyle name="Comma 3 140" xfId="735"/>
    <cellStyle name="Comma 3 141" xfId="736"/>
    <cellStyle name="Comma 3 142" xfId="737"/>
    <cellStyle name="Comma 3 143" xfId="738"/>
    <cellStyle name="Comma 3 144" xfId="739"/>
    <cellStyle name="Comma 3 145" xfId="740"/>
    <cellStyle name="Comma 3 146" xfId="741"/>
    <cellStyle name="Comma 3 147" xfId="742"/>
    <cellStyle name="Comma 3 148" xfId="743"/>
    <cellStyle name="Comma 3 149" xfId="744"/>
    <cellStyle name="Comma 3 15" xfId="745"/>
    <cellStyle name="Comma 3 15 2" xfId="746"/>
    <cellStyle name="Comma 3 15 2 2" xfId="747"/>
    <cellStyle name="Comma 3 15 3" xfId="748"/>
    <cellStyle name="Comma 3 150" xfId="749"/>
    <cellStyle name="Comma 3 151" xfId="750"/>
    <cellStyle name="Comma 3 152" xfId="7418"/>
    <cellStyle name="Comma 3 16" xfId="751"/>
    <cellStyle name="Comma 3 16 2" xfId="752"/>
    <cellStyle name="Comma 3 16 2 2" xfId="753"/>
    <cellStyle name="Comma 3 16 3" xfId="754"/>
    <cellStyle name="Comma 3 17" xfId="755"/>
    <cellStyle name="Comma 3 17 2" xfId="756"/>
    <cellStyle name="Comma 3 17 2 2" xfId="757"/>
    <cellStyle name="Comma 3 17 3" xfId="758"/>
    <cellStyle name="Comma 3 18" xfId="759"/>
    <cellStyle name="Comma 3 18 2" xfId="760"/>
    <cellStyle name="Comma 3 18 2 2" xfId="761"/>
    <cellStyle name="Comma 3 18 3" xfId="762"/>
    <cellStyle name="Comma 3 19" xfId="763"/>
    <cellStyle name="Comma 3 19 2" xfId="764"/>
    <cellStyle name="Comma 3 19 3" xfId="765"/>
    <cellStyle name="Comma 3 2" xfId="766"/>
    <cellStyle name="Comma 3 2 10" xfId="767"/>
    <cellStyle name="Comma 3 2 10 2" xfId="768"/>
    <cellStyle name="Comma 3 2 11" xfId="769"/>
    <cellStyle name="Comma 3 2 11 2" xfId="770"/>
    <cellStyle name="Comma 3 2 12" xfId="771"/>
    <cellStyle name="Comma 3 2 12 2" xfId="772"/>
    <cellStyle name="Comma 3 2 12 2 2" xfId="773"/>
    <cellStyle name="Comma 3 2 12 3" xfId="774"/>
    <cellStyle name="Comma 3 2 13" xfId="775"/>
    <cellStyle name="Comma 3 2 13 2" xfId="776"/>
    <cellStyle name="Comma 3 2 14" xfId="777"/>
    <cellStyle name="Comma 3 2 14 2" xfId="778"/>
    <cellStyle name="Comma 3 2 14 2 2" xfId="779"/>
    <cellStyle name="Comma 3 2 14 3" xfId="780"/>
    <cellStyle name="Comma 3 2 15" xfId="781"/>
    <cellStyle name="Comma 3 2 15 2" xfId="782"/>
    <cellStyle name="Comma 3 2 15 2 2" xfId="783"/>
    <cellStyle name="Comma 3 2 15 3" xfId="784"/>
    <cellStyle name="Comma 3 2 16" xfId="785"/>
    <cellStyle name="Comma 3 2 16 2" xfId="786"/>
    <cellStyle name="Comma 3 2 16 2 2" xfId="787"/>
    <cellStyle name="Comma 3 2 16 3" xfId="788"/>
    <cellStyle name="Comma 3 2 17" xfId="789"/>
    <cellStyle name="Comma 3 2 17 2" xfId="790"/>
    <cellStyle name="Comma 3 2 17 2 2" xfId="791"/>
    <cellStyle name="Comma 3 2 17 3" xfId="792"/>
    <cellStyle name="Comma 3 2 18" xfId="793"/>
    <cellStyle name="Comma 3 2 19" xfId="794"/>
    <cellStyle name="Comma 3 2 2" xfId="795"/>
    <cellStyle name="Comma 3 2 2 10" xfId="796"/>
    <cellStyle name="Comma 3 2 2 11" xfId="797"/>
    <cellStyle name="Comma 3 2 2 12" xfId="798"/>
    <cellStyle name="Comma 3 2 2 13" xfId="799"/>
    <cellStyle name="Comma 3 2 2 14" xfId="800"/>
    <cellStyle name="Comma 3 2 2 15" xfId="801"/>
    <cellStyle name="Comma 3 2 2 16" xfId="802"/>
    <cellStyle name="Comma 3 2 2 17" xfId="803"/>
    <cellStyle name="Comma 3 2 2 18" xfId="804"/>
    <cellStyle name="Comma 3 2 2 18 2" xfId="805"/>
    <cellStyle name="Comma 3 2 2 19" xfId="806"/>
    <cellStyle name="Comma 3 2 2 2" xfId="807"/>
    <cellStyle name="Comma 3 2 2 2 10" xfId="808"/>
    <cellStyle name="Comma 3 2 2 2 10 2" xfId="809"/>
    <cellStyle name="Comma 3 2 2 2 10 2 2" xfId="810"/>
    <cellStyle name="Comma 3 2 2 2 10 3" xfId="811"/>
    <cellStyle name="Comma 3 2 2 2 11" xfId="812"/>
    <cellStyle name="Comma 3 2 2 2 11 2" xfId="813"/>
    <cellStyle name="Comma 3 2 2 2 11 2 2" xfId="814"/>
    <cellStyle name="Comma 3 2 2 2 11 3" xfId="815"/>
    <cellStyle name="Comma 3 2 2 2 12" xfId="816"/>
    <cellStyle name="Comma 3 2 2 2 12 2" xfId="817"/>
    <cellStyle name="Comma 3 2 2 2 12 2 2" xfId="818"/>
    <cellStyle name="Comma 3 2 2 2 12 3" xfId="819"/>
    <cellStyle name="Comma 3 2 2 2 13" xfId="820"/>
    <cellStyle name="Comma 3 2 2 2 13 2" xfId="821"/>
    <cellStyle name="Comma 3 2 2 2 13 2 2" xfId="822"/>
    <cellStyle name="Comma 3 2 2 2 13 3" xfId="823"/>
    <cellStyle name="Comma 3 2 2 2 14" xfId="824"/>
    <cellStyle name="Comma 3 2 2 2 14 2" xfId="825"/>
    <cellStyle name="Comma 3 2 2 2 14 2 2" xfId="826"/>
    <cellStyle name="Comma 3 2 2 2 14 3" xfId="827"/>
    <cellStyle name="Comma 3 2 2 2 15" xfId="828"/>
    <cellStyle name="Comma 3 2 2 2 15 2" xfId="829"/>
    <cellStyle name="Comma 3 2 2 2 15 2 2" xfId="830"/>
    <cellStyle name="Comma 3 2 2 2 15 3" xfId="831"/>
    <cellStyle name="Comma 3 2 2 2 16" xfId="832"/>
    <cellStyle name="Comma 3 2 2 2 16 2" xfId="833"/>
    <cellStyle name="Comma 3 2 2 2 16 2 2" xfId="834"/>
    <cellStyle name="Comma 3 2 2 2 16 3" xfId="835"/>
    <cellStyle name="Comma 3 2 2 2 17" xfId="836"/>
    <cellStyle name="Comma 3 2 2 2 17 2" xfId="837"/>
    <cellStyle name="Comma 3 2 2 2 17 2 2" xfId="838"/>
    <cellStyle name="Comma 3 2 2 2 17 3" xfId="839"/>
    <cellStyle name="Comma 3 2 2 2 2" xfId="840"/>
    <cellStyle name="Comma 3 2 2 2 2 2" xfId="841"/>
    <cellStyle name="Comma 3 2 2 2 2 2 2" xfId="842"/>
    <cellStyle name="Comma 3 2 2 2 2 2 2 2" xfId="843"/>
    <cellStyle name="Comma 3 2 2 2 2 2 2 2 2" xfId="844"/>
    <cellStyle name="Comma 3 2 2 2 2 2 2 3" xfId="845"/>
    <cellStyle name="Comma 3 2 2 2 2 2 3" xfId="846"/>
    <cellStyle name="Comma 3 2 2 2 2 2 3 2" xfId="847"/>
    <cellStyle name="Comma 3 2 2 2 2 2 3 2 2" xfId="848"/>
    <cellStyle name="Comma 3 2 2 2 2 2 3 3" xfId="849"/>
    <cellStyle name="Comma 3 2 2 2 2 2 4" xfId="850"/>
    <cellStyle name="Comma 3 2 2 2 2 2 4 2" xfId="851"/>
    <cellStyle name="Comma 3 2 2 2 2 2 4 2 2" xfId="852"/>
    <cellStyle name="Comma 3 2 2 2 2 2 4 3" xfId="853"/>
    <cellStyle name="Comma 3 2 2 2 2 2 5" xfId="854"/>
    <cellStyle name="Comma 3 2 2 2 2 2 5 2" xfId="855"/>
    <cellStyle name="Comma 3 2 2 2 2 2 5 2 2" xfId="856"/>
    <cellStyle name="Comma 3 2 2 2 2 2 5 3" xfId="857"/>
    <cellStyle name="Comma 3 2 2 2 2 3" xfId="858"/>
    <cellStyle name="Comma 3 2 2 2 2 4" xfId="859"/>
    <cellStyle name="Comma 3 2 2 2 2 5" xfId="860"/>
    <cellStyle name="Comma 3 2 2 2 2 6" xfId="861"/>
    <cellStyle name="Comma 3 2 2 2 2 6 2" xfId="862"/>
    <cellStyle name="Comma 3 2 2 2 2 7" xfId="863"/>
    <cellStyle name="Comma 3 2 2 2 3" xfId="864"/>
    <cellStyle name="Comma 3 2 2 2 3 2" xfId="865"/>
    <cellStyle name="Comma 3 2 2 2 3 2 2" xfId="866"/>
    <cellStyle name="Comma 3 2 2 2 3 3" xfId="867"/>
    <cellStyle name="Comma 3 2 2 2 4" xfId="868"/>
    <cellStyle name="Comma 3 2 2 2 4 2" xfId="869"/>
    <cellStyle name="Comma 3 2 2 2 4 2 2" xfId="870"/>
    <cellStyle name="Comma 3 2 2 2 4 3" xfId="871"/>
    <cellStyle name="Comma 3 2 2 2 5" xfId="872"/>
    <cellStyle name="Comma 3 2 2 2 5 2" xfId="873"/>
    <cellStyle name="Comma 3 2 2 2 5 2 2" xfId="874"/>
    <cellStyle name="Comma 3 2 2 2 5 3" xfId="875"/>
    <cellStyle name="Comma 3 2 2 2 6" xfId="876"/>
    <cellStyle name="Comma 3 2 2 2 6 2" xfId="877"/>
    <cellStyle name="Comma 3 2 2 2 6 2 2" xfId="878"/>
    <cellStyle name="Comma 3 2 2 2 6 3" xfId="879"/>
    <cellStyle name="Comma 3 2 2 2 7" xfId="880"/>
    <cellStyle name="Comma 3 2 2 2 7 2" xfId="881"/>
    <cellStyle name="Comma 3 2 2 2 7 2 2" xfId="882"/>
    <cellStyle name="Comma 3 2 2 2 7 3" xfId="883"/>
    <cellStyle name="Comma 3 2 2 2 8" xfId="884"/>
    <cellStyle name="Comma 3 2 2 2 8 2" xfId="885"/>
    <cellStyle name="Comma 3 2 2 2 8 2 2" xfId="886"/>
    <cellStyle name="Comma 3 2 2 2 8 3" xfId="887"/>
    <cellStyle name="Comma 3 2 2 2 9" xfId="888"/>
    <cellStyle name="Comma 3 2 2 2 9 2" xfId="889"/>
    <cellStyle name="Comma 3 2 2 2 9 2 2" xfId="890"/>
    <cellStyle name="Comma 3 2 2 2 9 3" xfId="891"/>
    <cellStyle name="Comma 3 2 2 3" xfId="892"/>
    <cellStyle name="Comma 3 2 2 4" xfId="893"/>
    <cellStyle name="Comma 3 2 2 5" xfId="894"/>
    <cellStyle name="Comma 3 2 2 6" xfId="895"/>
    <cellStyle name="Comma 3 2 2 7" xfId="896"/>
    <cellStyle name="Comma 3 2 2 8" xfId="897"/>
    <cellStyle name="Comma 3 2 2 9" xfId="898"/>
    <cellStyle name="Comma 3 2 20" xfId="899"/>
    <cellStyle name="Comma 3 2 21" xfId="7481"/>
    <cellStyle name="Comma 3 2 3" xfId="900"/>
    <cellStyle name="Comma 3 2 3 2" xfId="901"/>
    <cellStyle name="Comma 3 2 4" xfId="902"/>
    <cellStyle name="Comma 3 2 4 2" xfId="903"/>
    <cellStyle name="Comma 3 2 5" xfId="904"/>
    <cellStyle name="Comma 3 2 5 2" xfId="905"/>
    <cellStyle name="Comma 3 2 6" xfId="906"/>
    <cellStyle name="Comma 3 2 6 2" xfId="907"/>
    <cellStyle name="Comma 3 2 7" xfId="908"/>
    <cellStyle name="Comma 3 2 7 2" xfId="909"/>
    <cellStyle name="Comma 3 2 8" xfId="910"/>
    <cellStyle name="Comma 3 2 8 2" xfId="911"/>
    <cellStyle name="Comma 3 2 9" xfId="912"/>
    <cellStyle name="Comma 3 2 9 2" xfId="913"/>
    <cellStyle name="Comma 3 20" xfId="914"/>
    <cellStyle name="Comma 3 20 2" xfId="915"/>
    <cellStyle name="Comma 3 21" xfId="916"/>
    <cellStyle name="Comma 3 21 2" xfId="917"/>
    <cellStyle name="Comma 3 22" xfId="918"/>
    <cellStyle name="Comma 3 22 2" xfId="919"/>
    <cellStyle name="Comma 3 23" xfId="920"/>
    <cellStyle name="Comma 3 23 2" xfId="921"/>
    <cellStyle name="Comma 3 24" xfId="922"/>
    <cellStyle name="Comma 3 24 2" xfId="923"/>
    <cellStyle name="Comma 3 25" xfId="924"/>
    <cellStyle name="Comma 3 25 2" xfId="925"/>
    <cellStyle name="Comma 3 26" xfId="926"/>
    <cellStyle name="Comma 3 26 2" xfId="927"/>
    <cellStyle name="Comma 3 27" xfId="928"/>
    <cellStyle name="Comma 3 27 2" xfId="929"/>
    <cellStyle name="Comma 3 28" xfId="930"/>
    <cellStyle name="Comma 3 28 2" xfId="931"/>
    <cellStyle name="Comma 3 29" xfId="932"/>
    <cellStyle name="Comma 3 29 2" xfId="933"/>
    <cellStyle name="Comma 3 3" xfId="934"/>
    <cellStyle name="Comma 3 3 2" xfId="935"/>
    <cellStyle name="Comma 3 3 2 2" xfId="936"/>
    <cellStyle name="Comma 3 3 2 2 2" xfId="937"/>
    <cellStyle name="Comma 3 3 2 3" xfId="938"/>
    <cellStyle name="Comma 3 3 2 4" xfId="939"/>
    <cellStyle name="Comma 3 3 2 5" xfId="940"/>
    <cellStyle name="Comma 3 3 3" xfId="941"/>
    <cellStyle name="Comma 3 3 4" xfId="942"/>
    <cellStyle name="Comma 3 3 5" xfId="943"/>
    <cellStyle name="Comma 3 3 6" xfId="944"/>
    <cellStyle name="Comma 3 30" xfId="945"/>
    <cellStyle name="Comma 3 30 2" xfId="946"/>
    <cellStyle name="Comma 3 31" xfId="947"/>
    <cellStyle name="Comma 3 31 2" xfId="948"/>
    <cellStyle name="Comma 3 32" xfId="949"/>
    <cellStyle name="Comma 3 32 2" xfId="950"/>
    <cellStyle name="Comma 3 33" xfId="951"/>
    <cellStyle name="Comma 3 33 2" xfId="952"/>
    <cellStyle name="Comma 3 34" xfId="953"/>
    <cellStyle name="Comma 3 34 2" xfId="954"/>
    <cellStyle name="Comma 3 35" xfId="955"/>
    <cellStyle name="Comma 3 35 2" xfId="956"/>
    <cellStyle name="Comma 3 36" xfId="957"/>
    <cellStyle name="Comma 3 36 2" xfId="958"/>
    <cellStyle name="Comma 3 37" xfId="959"/>
    <cellStyle name="Comma 3 37 2" xfId="960"/>
    <cellStyle name="Comma 3 38" xfId="961"/>
    <cellStyle name="Comma 3 38 2" xfId="962"/>
    <cellStyle name="Comma 3 39" xfId="963"/>
    <cellStyle name="Comma 3 39 2" xfId="964"/>
    <cellStyle name="Comma 3 4" xfId="965"/>
    <cellStyle name="Comma 3 4 2" xfId="966"/>
    <cellStyle name="Comma 3 4 2 2" xfId="967"/>
    <cellStyle name="Comma 3 4 3" xfId="968"/>
    <cellStyle name="Comma 3 40" xfId="969"/>
    <cellStyle name="Comma 3 40 2" xfId="970"/>
    <cellStyle name="Comma 3 41" xfId="971"/>
    <cellStyle name="Comma 3 41 2" xfId="972"/>
    <cellStyle name="Comma 3 42" xfId="973"/>
    <cellStyle name="Comma 3 42 2" xfId="974"/>
    <cellStyle name="Comma 3 43" xfId="975"/>
    <cellStyle name="Comma 3 43 2" xfId="976"/>
    <cellStyle name="Comma 3 44" xfId="977"/>
    <cellStyle name="Comma 3 44 2" xfId="978"/>
    <cellStyle name="Comma 3 45" xfId="979"/>
    <cellStyle name="Comma 3 45 2" xfId="980"/>
    <cellStyle name="Comma 3 46" xfId="981"/>
    <cellStyle name="Comma 3 46 2" xfId="982"/>
    <cellStyle name="Comma 3 47" xfId="983"/>
    <cellStyle name="Comma 3 47 2" xfId="984"/>
    <cellStyle name="Comma 3 48" xfId="985"/>
    <cellStyle name="Comma 3 48 2" xfId="986"/>
    <cellStyle name="Comma 3 49" xfId="987"/>
    <cellStyle name="Comma 3 49 2" xfId="988"/>
    <cellStyle name="Comma 3 5" xfId="989"/>
    <cellStyle name="Comma 3 5 2" xfId="990"/>
    <cellStyle name="Comma 3 5 2 2" xfId="991"/>
    <cellStyle name="Comma 3 5 3" xfId="992"/>
    <cellStyle name="Comma 3 50" xfId="993"/>
    <cellStyle name="Comma 3 50 2" xfId="994"/>
    <cellStyle name="Comma 3 51" xfId="995"/>
    <cellStyle name="Comma 3 51 2" xfId="996"/>
    <cellStyle name="Comma 3 52" xfId="997"/>
    <cellStyle name="Comma 3 52 2" xfId="998"/>
    <cellStyle name="Comma 3 53" xfId="999"/>
    <cellStyle name="Comma 3 53 2" xfId="1000"/>
    <cellStyle name="Comma 3 54" xfId="1001"/>
    <cellStyle name="Comma 3 54 2" xfId="1002"/>
    <cellStyle name="Comma 3 55" xfId="1003"/>
    <cellStyle name="Comma 3 55 2" xfId="1004"/>
    <cellStyle name="Comma 3 56" xfId="1005"/>
    <cellStyle name="Comma 3 56 2" xfId="1006"/>
    <cellStyle name="Comma 3 57" xfId="1007"/>
    <cellStyle name="Comma 3 57 2" xfId="1008"/>
    <cellStyle name="Comma 3 58" xfId="1009"/>
    <cellStyle name="Comma 3 58 2" xfId="1010"/>
    <cellStyle name="Comma 3 59" xfId="1011"/>
    <cellStyle name="Comma 3 59 2" xfId="1012"/>
    <cellStyle name="Comma 3 6" xfId="1013"/>
    <cellStyle name="Comma 3 6 2" xfId="1014"/>
    <cellStyle name="Comma 3 6 2 2" xfId="1015"/>
    <cellStyle name="Comma 3 6 3" xfId="1016"/>
    <cellStyle name="Comma 3 60" xfId="1017"/>
    <cellStyle name="Comma 3 60 2" xfId="1018"/>
    <cellStyle name="Comma 3 61" xfId="1019"/>
    <cellStyle name="Comma 3 61 2" xfId="1020"/>
    <cellStyle name="Comma 3 62" xfId="1021"/>
    <cellStyle name="Comma 3 63" xfId="1022"/>
    <cellStyle name="Comma 3 64" xfId="1023"/>
    <cellStyle name="Comma 3 65" xfId="1024"/>
    <cellStyle name="Comma 3 66" xfId="1025"/>
    <cellStyle name="Comma 3 67" xfId="1026"/>
    <cellStyle name="Comma 3 68" xfId="1027"/>
    <cellStyle name="Comma 3 69" xfId="1028"/>
    <cellStyle name="Comma 3 7" xfId="1029"/>
    <cellStyle name="Comma 3 7 2" xfId="1030"/>
    <cellStyle name="Comma 3 7 2 2" xfId="1031"/>
    <cellStyle name="Comma 3 7 3" xfId="1032"/>
    <cellStyle name="Comma 3 70" xfId="1033"/>
    <cellStyle name="Comma 3 71" xfId="1034"/>
    <cellStyle name="Comma 3 72" xfId="1035"/>
    <cellStyle name="Comma 3 73" xfId="1036"/>
    <cellStyle name="Comma 3 74" xfId="1037"/>
    <cellStyle name="Comma 3 75" xfId="1038"/>
    <cellStyle name="Comma 3 76" xfId="1039"/>
    <cellStyle name="Comma 3 77" xfId="1040"/>
    <cellStyle name="Comma 3 78" xfId="1041"/>
    <cellStyle name="Comma 3 79" xfId="1042"/>
    <cellStyle name="Comma 3 8" xfId="1043"/>
    <cellStyle name="Comma 3 8 2" xfId="1044"/>
    <cellStyle name="Comma 3 8 2 2" xfId="1045"/>
    <cellStyle name="Comma 3 8 3" xfId="1046"/>
    <cellStyle name="Comma 3 80" xfId="1047"/>
    <cellStyle name="Comma 3 81" xfId="1048"/>
    <cellStyle name="Comma 3 82" xfId="1049"/>
    <cellStyle name="Comma 3 83" xfId="1050"/>
    <cellStyle name="Comma 3 84" xfId="1051"/>
    <cellStyle name="Comma 3 85" xfId="1052"/>
    <cellStyle name="Comma 3 86" xfId="1053"/>
    <cellStyle name="Comma 3 87" xfId="1054"/>
    <cellStyle name="Comma 3 88" xfId="1055"/>
    <cellStyle name="Comma 3 89" xfId="1056"/>
    <cellStyle name="Comma 3 9" xfId="1057"/>
    <cellStyle name="Comma 3 9 2" xfId="1058"/>
    <cellStyle name="Comma 3 9 2 2" xfId="1059"/>
    <cellStyle name="Comma 3 9 3" xfId="1060"/>
    <cellStyle name="Comma 3 90" xfId="1061"/>
    <cellStyle name="Comma 3 91" xfId="1062"/>
    <cellStyle name="Comma 3 92" xfId="1063"/>
    <cellStyle name="Comma 3 93" xfId="1064"/>
    <cellStyle name="Comma 3 94" xfId="1065"/>
    <cellStyle name="Comma 3 95" xfId="1066"/>
    <cellStyle name="Comma 3 96" xfId="1067"/>
    <cellStyle name="Comma 3 97" xfId="1068"/>
    <cellStyle name="Comma 3 98" xfId="1069"/>
    <cellStyle name="Comma 3 99" xfId="1070"/>
    <cellStyle name="Comma 30" xfId="1071"/>
    <cellStyle name="Comma 31" xfId="1072"/>
    <cellStyle name="Comma 32" xfId="1073"/>
    <cellStyle name="Comma 33" xfId="1074"/>
    <cellStyle name="Comma 34" xfId="1075"/>
    <cellStyle name="Comma 35" xfId="1076"/>
    <cellStyle name="Comma 36" xfId="1077"/>
    <cellStyle name="Comma 37" xfId="1078"/>
    <cellStyle name="Comma 38" xfId="1079"/>
    <cellStyle name="Comma 39" xfId="1080"/>
    <cellStyle name="Comma 4" xfId="1081"/>
    <cellStyle name="Comma 4 10" xfId="1082"/>
    <cellStyle name="Comma 4 11" xfId="1083"/>
    <cellStyle name="Comma 4 12" xfId="1084"/>
    <cellStyle name="Comma 4 13" xfId="1085"/>
    <cellStyle name="Comma 4 13 2" xfId="1086"/>
    <cellStyle name="Comma 4 13 3" xfId="1087"/>
    <cellStyle name="Comma 4 13 4" xfId="1088"/>
    <cellStyle name="Comma 4 14" xfId="1089"/>
    <cellStyle name="Comma 4 15" xfId="1090"/>
    <cellStyle name="Comma 4 16" xfId="7482"/>
    <cellStyle name="Comma 4 17" xfId="7539"/>
    <cellStyle name="Comma 4 2" xfId="1091"/>
    <cellStyle name="Comma 4 2 10" xfId="1092"/>
    <cellStyle name="Comma 4 2 10 2" xfId="1093"/>
    <cellStyle name="Comma 4 2 11" xfId="1094"/>
    <cellStyle name="Comma 4 2 11 2" xfId="1095"/>
    <cellStyle name="Comma 4 2 12" xfId="1096"/>
    <cellStyle name="Comma 4 2 13" xfId="1097"/>
    <cellStyle name="Comma 4 2 14" xfId="1098"/>
    <cellStyle name="Comma 4 2 2" xfId="1099"/>
    <cellStyle name="Comma 4 2 2 2" xfId="1100"/>
    <cellStyle name="Comma 4 2 3" xfId="1101"/>
    <cellStyle name="Comma 4 2 3 2" xfId="1102"/>
    <cellStyle name="Comma 4 2 4" xfId="1103"/>
    <cellStyle name="Comma 4 2 4 2" xfId="1104"/>
    <cellStyle name="Comma 4 2 5" xfId="1105"/>
    <cellStyle name="Comma 4 2 5 2" xfId="1106"/>
    <cellStyle name="Comma 4 2 6" xfId="1107"/>
    <cellStyle name="Comma 4 2 6 2" xfId="1108"/>
    <cellStyle name="Comma 4 2 7" xfId="1109"/>
    <cellStyle name="Comma 4 2 7 2" xfId="1110"/>
    <cellStyle name="Comma 4 2 8" xfId="1111"/>
    <cellStyle name="Comma 4 2 8 2" xfId="1112"/>
    <cellStyle name="Comma 4 2 9" xfId="1113"/>
    <cellStyle name="Comma 4 2 9 2" xfId="1114"/>
    <cellStyle name="Comma 4 3" xfId="1115"/>
    <cellStyle name="Comma 4 3 2" xfId="1116"/>
    <cellStyle name="Comma 4 3 3" xfId="1117"/>
    <cellStyle name="Comma 4 3 4" xfId="1118"/>
    <cellStyle name="Comma 4 4" xfId="1119"/>
    <cellStyle name="Comma 4 5" xfId="1120"/>
    <cellStyle name="Comma 4 6" xfId="1121"/>
    <cellStyle name="Comma 4 7" xfId="1122"/>
    <cellStyle name="Comma 4 8" xfId="1123"/>
    <cellStyle name="Comma 4 9" xfId="1124"/>
    <cellStyle name="Comma 40" xfId="1125"/>
    <cellStyle name="Comma 41" xfId="1126"/>
    <cellStyle name="Comma 42" xfId="1127"/>
    <cellStyle name="Comma 43" xfId="1128"/>
    <cellStyle name="Comma 44" xfId="1129"/>
    <cellStyle name="Comma 45" xfId="1130"/>
    <cellStyle name="Comma 46" xfId="1131"/>
    <cellStyle name="Comma 47" xfId="1132"/>
    <cellStyle name="Comma 48" xfId="1133"/>
    <cellStyle name="Comma 49" xfId="1134"/>
    <cellStyle name="Comma 5" xfId="1135"/>
    <cellStyle name="Comma 5 10" xfId="1136"/>
    <cellStyle name="Comma 5 10 2" xfId="1137"/>
    <cellStyle name="Comma 5 10 2 2" xfId="1138"/>
    <cellStyle name="Comma 5 10 3" xfId="1139"/>
    <cellStyle name="Comma 5 100" xfId="1140"/>
    <cellStyle name="Comma 5 101" xfId="1141"/>
    <cellStyle name="Comma 5 102" xfId="1142"/>
    <cellStyle name="Comma 5 103" xfId="1143"/>
    <cellStyle name="Comma 5 104" xfId="1144"/>
    <cellStyle name="Comma 5 105" xfId="1145"/>
    <cellStyle name="Comma 5 106" xfId="1146"/>
    <cellStyle name="Comma 5 107" xfId="1147"/>
    <cellStyle name="Comma 5 108" xfId="1148"/>
    <cellStyle name="Comma 5 109" xfId="1149"/>
    <cellStyle name="Comma 5 11" xfId="1150"/>
    <cellStyle name="Comma 5 11 2" xfId="1151"/>
    <cellStyle name="Comma 5 11 2 2" xfId="1152"/>
    <cellStyle name="Comma 5 11 3" xfId="1153"/>
    <cellStyle name="Comma 5 110" xfId="1154"/>
    <cellStyle name="Comma 5 111" xfId="1155"/>
    <cellStyle name="Comma 5 112" xfId="1156"/>
    <cellStyle name="Comma 5 113" xfId="1157"/>
    <cellStyle name="Comma 5 114" xfId="1158"/>
    <cellStyle name="Comma 5 115" xfId="1159"/>
    <cellStyle name="Comma 5 116" xfId="1160"/>
    <cellStyle name="Comma 5 117" xfId="1161"/>
    <cellStyle name="Comma 5 118" xfId="1162"/>
    <cellStyle name="Comma 5 119" xfId="1163"/>
    <cellStyle name="Comma 5 12" xfId="1164"/>
    <cellStyle name="Comma 5 12 2" xfId="1165"/>
    <cellStyle name="Comma 5 12 2 2" xfId="1166"/>
    <cellStyle name="Comma 5 12 3" xfId="1167"/>
    <cellStyle name="Comma 5 120" xfId="1168"/>
    <cellStyle name="Comma 5 121" xfId="1169"/>
    <cellStyle name="Comma 5 122" xfId="1170"/>
    <cellStyle name="Comma 5 123" xfId="1171"/>
    <cellStyle name="Comma 5 124" xfId="1172"/>
    <cellStyle name="Comma 5 125" xfId="1173"/>
    <cellStyle name="Comma 5 126" xfId="1174"/>
    <cellStyle name="Comma 5 127" xfId="1175"/>
    <cellStyle name="Comma 5 128" xfId="1176"/>
    <cellStyle name="Comma 5 129" xfId="1177"/>
    <cellStyle name="Comma 5 13" xfId="1178"/>
    <cellStyle name="Comma 5 13 2" xfId="1179"/>
    <cellStyle name="Comma 5 13 2 2" xfId="1180"/>
    <cellStyle name="Comma 5 13 3" xfId="1181"/>
    <cellStyle name="Comma 5 130" xfId="1182"/>
    <cellStyle name="Comma 5 131" xfId="1183"/>
    <cellStyle name="Comma 5 132" xfId="1184"/>
    <cellStyle name="Comma 5 133" xfId="1185"/>
    <cellStyle name="Comma 5 134" xfId="1186"/>
    <cellStyle name="Comma 5 135" xfId="1187"/>
    <cellStyle name="Comma 5 136" xfId="1188"/>
    <cellStyle name="Comma 5 137" xfId="7483"/>
    <cellStyle name="Comma 5 14" xfId="1189"/>
    <cellStyle name="Comma 5 14 2" xfId="1190"/>
    <cellStyle name="Comma 5 14 3" xfId="1191"/>
    <cellStyle name="Comma 5 15" xfId="1192"/>
    <cellStyle name="Comma 5 15 2" xfId="1193"/>
    <cellStyle name="Comma 5 16" xfId="1194"/>
    <cellStyle name="Comma 5 16 2" xfId="1195"/>
    <cellStyle name="Comma 5 17" xfId="1196"/>
    <cellStyle name="Comma 5 17 2" xfId="1197"/>
    <cellStyle name="Comma 5 18" xfId="1198"/>
    <cellStyle name="Comma 5 18 2" xfId="1199"/>
    <cellStyle name="Comma 5 19" xfId="1200"/>
    <cellStyle name="Comma 5 19 2" xfId="1201"/>
    <cellStyle name="Comma 5 2" xfId="1202"/>
    <cellStyle name="Comma 5 2 10" xfId="1203"/>
    <cellStyle name="Comma 5 2 10 2" xfId="1204"/>
    <cellStyle name="Comma 5 2 11" xfId="1205"/>
    <cellStyle name="Comma 5 2 11 2" xfId="1206"/>
    <cellStyle name="Comma 5 2 12" xfId="1207"/>
    <cellStyle name="Comma 5 2 13" xfId="1208"/>
    <cellStyle name="Comma 5 2 14" xfId="1209"/>
    <cellStyle name="Comma 5 2 14 2" xfId="1210"/>
    <cellStyle name="Comma 5 2 15" xfId="1211"/>
    <cellStyle name="Comma 5 2 16" xfId="7484"/>
    <cellStyle name="Comma 5 2 2" xfId="1212"/>
    <cellStyle name="Comma 5 2 2 10" xfId="1213"/>
    <cellStyle name="Comma 5 2 2 10 2" xfId="1214"/>
    <cellStyle name="Comma 5 2 2 10 2 2" xfId="1215"/>
    <cellStyle name="Comma 5 2 2 10 3" xfId="1216"/>
    <cellStyle name="Comma 5 2 2 11" xfId="1217"/>
    <cellStyle name="Comma 5 2 2 11 2" xfId="1218"/>
    <cellStyle name="Comma 5 2 2 11 2 2" xfId="1219"/>
    <cellStyle name="Comma 5 2 2 11 3" xfId="1220"/>
    <cellStyle name="Comma 5 2 2 12" xfId="1221"/>
    <cellStyle name="Comma 5 2 2 12 2" xfId="1222"/>
    <cellStyle name="Comma 5 2 2 12 2 2" xfId="1223"/>
    <cellStyle name="Comma 5 2 2 12 3" xfId="1224"/>
    <cellStyle name="Comma 5 2 2 13" xfId="1225"/>
    <cellStyle name="Comma 5 2 2 13 2" xfId="1226"/>
    <cellStyle name="Comma 5 2 2 13 2 2" xfId="1227"/>
    <cellStyle name="Comma 5 2 2 13 3" xfId="1228"/>
    <cellStyle name="Comma 5 2 2 14" xfId="1229"/>
    <cellStyle name="Comma 5 2 2 15" xfId="1230"/>
    <cellStyle name="Comma 5 2 2 2" xfId="1231"/>
    <cellStyle name="Comma 5 2 2 2 2" xfId="1232"/>
    <cellStyle name="Comma 5 2 2 2 2 2" xfId="1233"/>
    <cellStyle name="Comma 5 2 2 2 3" xfId="1234"/>
    <cellStyle name="Comma 5 2 2 3" xfId="1235"/>
    <cellStyle name="Comma 5 2 2 3 2" xfId="1236"/>
    <cellStyle name="Comma 5 2 2 3 2 2" xfId="1237"/>
    <cellStyle name="Comma 5 2 2 3 3" xfId="1238"/>
    <cellStyle name="Comma 5 2 2 4" xfId="1239"/>
    <cellStyle name="Comma 5 2 2 4 2" xfId="1240"/>
    <cellStyle name="Comma 5 2 2 4 2 2" xfId="1241"/>
    <cellStyle name="Comma 5 2 2 4 3" xfId="1242"/>
    <cellStyle name="Comma 5 2 2 5" xfId="1243"/>
    <cellStyle name="Comma 5 2 2 5 2" xfId="1244"/>
    <cellStyle name="Comma 5 2 2 5 2 2" xfId="1245"/>
    <cellStyle name="Comma 5 2 2 5 3" xfId="1246"/>
    <cellStyle name="Comma 5 2 2 6" xfId="1247"/>
    <cellStyle name="Comma 5 2 2 6 2" xfId="1248"/>
    <cellStyle name="Comma 5 2 2 6 2 2" xfId="1249"/>
    <cellStyle name="Comma 5 2 2 6 3" xfId="1250"/>
    <cellStyle name="Comma 5 2 2 7" xfId="1251"/>
    <cellStyle name="Comma 5 2 2 7 2" xfId="1252"/>
    <cellStyle name="Comma 5 2 2 7 2 2" xfId="1253"/>
    <cellStyle name="Comma 5 2 2 7 3" xfId="1254"/>
    <cellStyle name="Comma 5 2 2 8" xfId="1255"/>
    <cellStyle name="Comma 5 2 2 8 2" xfId="1256"/>
    <cellStyle name="Comma 5 2 2 8 2 2" xfId="1257"/>
    <cellStyle name="Comma 5 2 2 8 3" xfId="1258"/>
    <cellStyle name="Comma 5 2 2 9" xfId="1259"/>
    <cellStyle name="Comma 5 2 2 9 2" xfId="1260"/>
    <cellStyle name="Comma 5 2 2 9 2 2" xfId="1261"/>
    <cellStyle name="Comma 5 2 2 9 3" xfId="1262"/>
    <cellStyle name="Comma 5 2 3" xfId="1263"/>
    <cellStyle name="Comma 5 2 3 2" xfId="1264"/>
    <cellStyle name="Comma 5 2 4" xfId="1265"/>
    <cellStyle name="Comma 5 2 4 2" xfId="1266"/>
    <cellStyle name="Comma 5 2 5" xfId="1267"/>
    <cellStyle name="Comma 5 2 5 2" xfId="1268"/>
    <cellStyle name="Comma 5 2 6" xfId="1269"/>
    <cellStyle name="Comma 5 2 6 2" xfId="1270"/>
    <cellStyle name="Comma 5 2 7" xfId="1271"/>
    <cellStyle name="Comma 5 2 7 2" xfId="1272"/>
    <cellStyle name="Comma 5 2 8" xfId="1273"/>
    <cellStyle name="Comma 5 2 8 2" xfId="1274"/>
    <cellStyle name="Comma 5 2 9" xfId="1275"/>
    <cellStyle name="Comma 5 2 9 2" xfId="1276"/>
    <cellStyle name="Comma 5 20" xfId="1277"/>
    <cellStyle name="Comma 5 20 2" xfId="1278"/>
    <cellStyle name="Comma 5 21" xfId="1279"/>
    <cellStyle name="Comma 5 21 2" xfId="1280"/>
    <cellStyle name="Comma 5 22" xfId="1281"/>
    <cellStyle name="Comma 5 22 2" xfId="1282"/>
    <cellStyle name="Comma 5 23" xfId="1283"/>
    <cellStyle name="Comma 5 23 2" xfId="1284"/>
    <cellStyle name="Comma 5 24" xfId="1285"/>
    <cellStyle name="Comma 5 24 2" xfId="1286"/>
    <cellStyle name="Comma 5 25" xfId="1287"/>
    <cellStyle name="Comma 5 25 2" xfId="1288"/>
    <cellStyle name="Comma 5 26" xfId="1289"/>
    <cellStyle name="Comma 5 26 2" xfId="1290"/>
    <cellStyle name="Comma 5 27" xfId="1291"/>
    <cellStyle name="Comma 5 27 2" xfId="1292"/>
    <cellStyle name="Comma 5 28" xfId="1293"/>
    <cellStyle name="Comma 5 28 2" xfId="1294"/>
    <cellStyle name="Comma 5 29" xfId="1295"/>
    <cellStyle name="Comma 5 29 2" xfId="1296"/>
    <cellStyle name="Comma 5 3" xfId="1297"/>
    <cellStyle name="Comma 5 3 10" xfId="1298"/>
    <cellStyle name="Comma 5 3 10 2" xfId="1299"/>
    <cellStyle name="Comma 5 3 11" xfId="1300"/>
    <cellStyle name="Comma 5 3 11 2" xfId="1301"/>
    <cellStyle name="Comma 5 3 12" xfId="1302"/>
    <cellStyle name="Comma 5 3 12 2" xfId="1303"/>
    <cellStyle name="Comma 5 3 13" xfId="1304"/>
    <cellStyle name="Comma 5 3 13 2" xfId="1305"/>
    <cellStyle name="Comma 5 3 14" xfId="1306"/>
    <cellStyle name="Comma 5 3 15" xfId="1307"/>
    <cellStyle name="Comma 5 3 2" xfId="1308"/>
    <cellStyle name="Comma 5 3 2 2" xfId="1309"/>
    <cellStyle name="Comma 5 3 3" xfId="1310"/>
    <cellStyle name="Comma 5 3 3 2" xfId="1311"/>
    <cellStyle name="Comma 5 3 4" xfId="1312"/>
    <cellStyle name="Comma 5 3 4 2" xfId="1313"/>
    <cellStyle name="Comma 5 3 5" xfId="1314"/>
    <cellStyle name="Comma 5 3 5 2" xfId="1315"/>
    <cellStyle name="Comma 5 3 6" xfId="1316"/>
    <cellStyle name="Comma 5 3 6 2" xfId="1317"/>
    <cellStyle name="Comma 5 3 7" xfId="1318"/>
    <cellStyle name="Comma 5 3 7 2" xfId="1319"/>
    <cellStyle name="Comma 5 3 8" xfId="1320"/>
    <cellStyle name="Comma 5 3 8 2" xfId="1321"/>
    <cellStyle name="Comma 5 3 9" xfId="1322"/>
    <cellStyle name="Comma 5 3 9 2" xfId="1323"/>
    <cellStyle name="Comma 5 30" xfId="1324"/>
    <cellStyle name="Comma 5 30 2" xfId="1325"/>
    <cellStyle name="Comma 5 31" xfId="1326"/>
    <cellStyle name="Comma 5 31 2" xfId="1327"/>
    <cellStyle name="Comma 5 32" xfId="1328"/>
    <cellStyle name="Comma 5 32 2" xfId="1329"/>
    <cellStyle name="Comma 5 33" xfId="1330"/>
    <cellStyle name="Comma 5 33 2" xfId="1331"/>
    <cellStyle name="Comma 5 34" xfId="1332"/>
    <cellStyle name="Comma 5 34 2" xfId="1333"/>
    <cellStyle name="Comma 5 35" xfId="1334"/>
    <cellStyle name="Comma 5 35 2" xfId="1335"/>
    <cellStyle name="Comma 5 36" xfId="1336"/>
    <cellStyle name="Comma 5 36 2" xfId="1337"/>
    <cellStyle name="Comma 5 37" xfId="1338"/>
    <cellStyle name="Comma 5 37 2" xfId="1339"/>
    <cellStyle name="Comma 5 38" xfId="1340"/>
    <cellStyle name="Comma 5 38 2" xfId="1341"/>
    <cellStyle name="Comma 5 39" xfId="1342"/>
    <cellStyle name="Comma 5 39 2" xfId="1343"/>
    <cellStyle name="Comma 5 4" xfId="1344"/>
    <cellStyle name="Comma 5 4 2" xfId="1345"/>
    <cellStyle name="Comma 5 4 2 2" xfId="1346"/>
    <cellStyle name="Comma 5 4 3" xfId="1347"/>
    <cellStyle name="Comma 5 40" xfId="1348"/>
    <cellStyle name="Comma 5 40 2" xfId="1349"/>
    <cellStyle name="Comma 5 41" xfId="1350"/>
    <cellStyle name="Comma 5 41 2" xfId="1351"/>
    <cellStyle name="Comma 5 42" xfId="1352"/>
    <cellStyle name="Comma 5 42 2" xfId="1353"/>
    <cellStyle name="Comma 5 43" xfId="1354"/>
    <cellStyle name="Comma 5 43 2" xfId="1355"/>
    <cellStyle name="Comma 5 44" xfId="1356"/>
    <cellStyle name="Comma 5 44 2" xfId="1357"/>
    <cellStyle name="Comma 5 45" xfId="1358"/>
    <cellStyle name="Comma 5 45 2" xfId="1359"/>
    <cellStyle name="Comma 5 46" xfId="1360"/>
    <cellStyle name="Comma 5 46 2" xfId="1361"/>
    <cellStyle name="Comma 5 47" xfId="1362"/>
    <cellStyle name="Comma 5 47 2" xfId="1363"/>
    <cellStyle name="Comma 5 48" xfId="1364"/>
    <cellStyle name="Comma 5 48 2" xfId="1365"/>
    <cellStyle name="Comma 5 49" xfId="1366"/>
    <cellStyle name="Comma 5 49 2" xfId="1367"/>
    <cellStyle name="Comma 5 5" xfId="1368"/>
    <cellStyle name="Comma 5 5 2" xfId="1369"/>
    <cellStyle name="Comma 5 5 2 2" xfId="1370"/>
    <cellStyle name="Comma 5 5 3" xfId="1371"/>
    <cellStyle name="Comma 5 50" xfId="1372"/>
    <cellStyle name="Comma 5 50 2" xfId="1373"/>
    <cellStyle name="Comma 5 51" xfId="1374"/>
    <cellStyle name="Comma 5 51 2" xfId="1375"/>
    <cellStyle name="Comma 5 52" xfId="1376"/>
    <cellStyle name="Comma 5 52 2" xfId="1377"/>
    <cellStyle name="Comma 5 53" xfId="1378"/>
    <cellStyle name="Comma 5 53 2" xfId="1379"/>
    <cellStyle name="Comma 5 54" xfId="1380"/>
    <cellStyle name="Comma 5 54 2" xfId="1381"/>
    <cellStyle name="Comma 5 55" xfId="1382"/>
    <cellStyle name="Comma 5 55 2" xfId="1383"/>
    <cellStyle name="Comma 5 56" xfId="1384"/>
    <cellStyle name="Comma 5 56 2" xfId="1385"/>
    <cellStyle name="Comma 5 57" xfId="1386"/>
    <cellStyle name="Comma 5 57 2" xfId="1387"/>
    <cellStyle name="Comma 5 58" xfId="1388"/>
    <cellStyle name="Comma 5 58 2" xfId="1389"/>
    <cellStyle name="Comma 5 59" xfId="1390"/>
    <cellStyle name="Comma 5 59 2" xfId="1391"/>
    <cellStyle name="Comma 5 6" xfId="1392"/>
    <cellStyle name="Comma 5 6 2" xfId="1393"/>
    <cellStyle name="Comma 5 6 2 2" xfId="1394"/>
    <cellStyle name="Comma 5 6 3" xfId="1395"/>
    <cellStyle name="Comma 5 60" xfId="1396"/>
    <cellStyle name="Comma 5 60 2" xfId="1397"/>
    <cellStyle name="Comma 5 61" xfId="1398"/>
    <cellStyle name="Comma 5 61 2" xfId="1399"/>
    <cellStyle name="Comma 5 62" xfId="1400"/>
    <cellStyle name="Comma 5 63" xfId="1401"/>
    <cellStyle name="Comma 5 64" xfId="1402"/>
    <cellStyle name="Comma 5 65" xfId="1403"/>
    <cellStyle name="Comma 5 66" xfId="1404"/>
    <cellStyle name="Comma 5 67" xfId="1405"/>
    <cellStyle name="Comma 5 68" xfId="1406"/>
    <cellStyle name="Comma 5 69" xfId="1407"/>
    <cellStyle name="Comma 5 7" xfId="1408"/>
    <cellStyle name="Comma 5 7 2" xfId="1409"/>
    <cellStyle name="Comma 5 7 2 2" xfId="1410"/>
    <cellStyle name="Comma 5 7 3" xfId="1411"/>
    <cellStyle name="Comma 5 70" xfId="1412"/>
    <cellStyle name="Comma 5 71" xfId="1413"/>
    <cellStyle name="Comma 5 72" xfId="1414"/>
    <cellStyle name="Comma 5 73" xfId="1415"/>
    <cellStyle name="Comma 5 74" xfId="1416"/>
    <cellStyle name="Comma 5 75" xfId="1417"/>
    <cellStyle name="Comma 5 76" xfId="1418"/>
    <cellStyle name="Comma 5 77" xfId="1419"/>
    <cellStyle name="Comma 5 78" xfId="1420"/>
    <cellStyle name="Comma 5 79" xfId="1421"/>
    <cellStyle name="Comma 5 8" xfId="1422"/>
    <cellStyle name="Comma 5 8 2" xfId="1423"/>
    <cellStyle name="Comma 5 8 2 2" xfId="1424"/>
    <cellStyle name="Comma 5 8 3" xfId="1425"/>
    <cellStyle name="Comma 5 80" xfId="1426"/>
    <cellStyle name="Comma 5 81" xfId="1427"/>
    <cellStyle name="Comma 5 82" xfId="1428"/>
    <cellStyle name="Comma 5 83" xfId="1429"/>
    <cellStyle name="Comma 5 84" xfId="1430"/>
    <cellStyle name="Comma 5 85" xfId="1431"/>
    <cellStyle name="Comma 5 86" xfId="1432"/>
    <cellStyle name="Comma 5 87" xfId="1433"/>
    <cellStyle name="Comma 5 88" xfId="1434"/>
    <cellStyle name="Comma 5 89" xfId="1435"/>
    <cellStyle name="Comma 5 9" xfId="1436"/>
    <cellStyle name="Comma 5 9 2" xfId="1437"/>
    <cellStyle name="Comma 5 9 2 2" xfId="1438"/>
    <cellStyle name="Comma 5 9 3" xfId="1439"/>
    <cellStyle name="Comma 5 90" xfId="1440"/>
    <cellStyle name="Comma 5 91" xfId="1441"/>
    <cellStyle name="Comma 5 92" xfId="1442"/>
    <cellStyle name="Comma 5 92 2" xfId="1443"/>
    <cellStyle name="Comma 5 93" xfId="1444"/>
    <cellStyle name="Comma 5 94" xfId="1445"/>
    <cellStyle name="Comma 5 95" xfId="1446"/>
    <cellStyle name="Comma 5 96" xfId="1447"/>
    <cellStyle name="Comma 5 97" xfId="1448"/>
    <cellStyle name="Comma 5 98" xfId="1449"/>
    <cellStyle name="Comma 5 99" xfId="1450"/>
    <cellStyle name="Comma 50" xfId="1451"/>
    <cellStyle name="Comma 51" xfId="1452"/>
    <cellStyle name="Comma 52" xfId="1453"/>
    <cellStyle name="Comma 53" xfId="1454"/>
    <cellStyle name="Comma 54" xfId="1455"/>
    <cellStyle name="Comma 55" xfId="1456"/>
    <cellStyle name="Comma 56" xfId="1457"/>
    <cellStyle name="Comma 57" xfId="1458"/>
    <cellStyle name="Comma 58" xfId="1459"/>
    <cellStyle name="Comma 59" xfId="1460"/>
    <cellStyle name="Comma 6" xfId="1461"/>
    <cellStyle name="Comma 6 2" xfId="1462"/>
    <cellStyle name="Comma 60" xfId="1463"/>
    <cellStyle name="Comma 61" xfId="1464"/>
    <cellStyle name="Comma 62" xfId="1465"/>
    <cellStyle name="Comma 63" xfId="1466"/>
    <cellStyle name="Comma 64" xfId="1467"/>
    <cellStyle name="Comma 65" xfId="1468"/>
    <cellStyle name="Comma 66" xfId="1469"/>
    <cellStyle name="Comma 67" xfId="1470"/>
    <cellStyle name="Comma 68" xfId="1471"/>
    <cellStyle name="Comma 69" xfId="1472"/>
    <cellStyle name="Comma 7" xfId="1473"/>
    <cellStyle name="Comma 7 10" xfId="1474"/>
    <cellStyle name="Comma 7 11" xfId="1475"/>
    <cellStyle name="Comma 7 12" xfId="1476"/>
    <cellStyle name="Comma 7 12 2" xfId="1477"/>
    <cellStyle name="Comma 7 13" xfId="1478"/>
    <cellStyle name="Comma 7 14" xfId="7485"/>
    <cellStyle name="Comma 7 2" xfId="1479"/>
    <cellStyle name="Comma 7 2 10" xfId="1480"/>
    <cellStyle name="Comma 7 2 10 2" xfId="1481"/>
    <cellStyle name="Comma 7 2 11" xfId="1482"/>
    <cellStyle name="Comma 7 2 11 2" xfId="1483"/>
    <cellStyle name="Comma 7 2 12" xfId="1484"/>
    <cellStyle name="Comma 7 2 12 2" xfId="1485"/>
    <cellStyle name="Comma 7 2 13" xfId="1486"/>
    <cellStyle name="Comma 7 2 13 2" xfId="1487"/>
    <cellStyle name="Comma 7 2 14" xfId="1488"/>
    <cellStyle name="Comma 7 2 2" xfId="1489"/>
    <cellStyle name="Comma 7 2 2 2" xfId="1490"/>
    <cellStyle name="Comma 7 2 3" xfId="1491"/>
    <cellStyle name="Comma 7 2 3 2" xfId="1492"/>
    <cellStyle name="Comma 7 2 4" xfId="1493"/>
    <cellStyle name="Comma 7 2 4 2" xfId="1494"/>
    <cellStyle name="Comma 7 2 5" xfId="1495"/>
    <cellStyle name="Comma 7 2 5 2" xfId="1496"/>
    <cellStyle name="Comma 7 2 6" xfId="1497"/>
    <cellStyle name="Comma 7 2 6 2" xfId="1498"/>
    <cellStyle name="Comma 7 2 7" xfId="1499"/>
    <cellStyle name="Comma 7 2 7 2" xfId="1500"/>
    <cellStyle name="Comma 7 2 8" xfId="1501"/>
    <cellStyle name="Comma 7 2 8 2" xfId="1502"/>
    <cellStyle name="Comma 7 2 9" xfId="1503"/>
    <cellStyle name="Comma 7 2 9 2" xfId="1504"/>
    <cellStyle name="Comma 7 3" xfId="1505"/>
    <cellStyle name="Comma 7 4" xfId="1506"/>
    <cellStyle name="Comma 7 5" xfId="1507"/>
    <cellStyle name="Comma 7 6" xfId="1508"/>
    <cellStyle name="Comma 7 7" xfId="1509"/>
    <cellStyle name="Comma 7 8" xfId="1510"/>
    <cellStyle name="Comma 7 9" xfId="1511"/>
    <cellStyle name="Comma 70" xfId="1512"/>
    <cellStyle name="Comma 71" xfId="1513"/>
    <cellStyle name="Comma 72" xfId="1514"/>
    <cellStyle name="Comma 73" xfId="1515"/>
    <cellStyle name="Comma 74" xfId="1516"/>
    <cellStyle name="Comma 75" xfId="1517"/>
    <cellStyle name="Comma 76" xfId="1518"/>
    <cellStyle name="Comma 77" xfId="1519"/>
    <cellStyle name="Comma 78" xfId="1520"/>
    <cellStyle name="Comma 79" xfId="1521"/>
    <cellStyle name="Comma 8" xfId="1522"/>
    <cellStyle name="Comma 8 2" xfId="1523"/>
    <cellStyle name="Comma 8 2 2" xfId="1524"/>
    <cellStyle name="Comma 8 2 3" xfId="1525"/>
    <cellStyle name="Comma 8 3" xfId="1526"/>
    <cellStyle name="Comma 80" xfId="1527"/>
    <cellStyle name="Comma 81" xfId="1528"/>
    <cellStyle name="Comma 82" xfId="1529"/>
    <cellStyle name="Comma 83" xfId="1530"/>
    <cellStyle name="Comma 84" xfId="1531"/>
    <cellStyle name="Comma 85" xfId="1532"/>
    <cellStyle name="Comma 86" xfId="1533"/>
    <cellStyle name="Comma 87" xfId="7525"/>
    <cellStyle name="Comma 88" xfId="7548"/>
    <cellStyle name="Comma 9" xfId="1534"/>
    <cellStyle name="Comma 9 2" xfId="1535"/>
    <cellStyle name="Comma 9 3" xfId="1536"/>
    <cellStyle name="Comma 9 4" xfId="1537"/>
    <cellStyle name="Comma0" xfId="1538"/>
    <cellStyle name="corpload" xfId="1539"/>
    <cellStyle name="Currency [0] 2" xfId="1540"/>
    <cellStyle name="Currency [0] 2 2" xfId="1541"/>
    <cellStyle name="Currency [0] 3" xfId="1542"/>
    <cellStyle name="Currency 10" xfId="39"/>
    <cellStyle name="Currency 11" xfId="1543"/>
    <cellStyle name="Currency 12" xfId="1544"/>
    <cellStyle name="Currency 12 2" xfId="1545"/>
    <cellStyle name="Currency 13" xfId="1546"/>
    <cellStyle name="Currency 14" xfId="1547"/>
    <cellStyle name="Currency 15" xfId="1548"/>
    <cellStyle name="Currency 16" xfId="1549"/>
    <cellStyle name="Currency 17" xfId="1550"/>
    <cellStyle name="Currency 18" xfId="1551"/>
    <cellStyle name="Currency 19" xfId="1552"/>
    <cellStyle name="Currency 2" xfId="1553"/>
    <cellStyle name="Currency 2 10" xfId="1554"/>
    <cellStyle name="Currency 2 10 2" xfId="1555"/>
    <cellStyle name="Currency 2 10 2 2" xfId="1556"/>
    <cellStyle name="Currency 2 10 3" xfId="1557"/>
    <cellStyle name="Currency 2 100" xfId="1558"/>
    <cellStyle name="Currency 2 101" xfId="1559"/>
    <cellStyle name="Currency 2 102" xfId="1560"/>
    <cellStyle name="Currency 2 103" xfId="1561"/>
    <cellStyle name="Currency 2 104" xfId="1562"/>
    <cellStyle name="Currency 2 105" xfId="1563"/>
    <cellStyle name="Currency 2 106" xfId="1564"/>
    <cellStyle name="Currency 2 107" xfId="1565"/>
    <cellStyle name="Currency 2 108" xfId="1566"/>
    <cellStyle name="Currency 2 109" xfId="1567"/>
    <cellStyle name="Currency 2 11" xfId="1568"/>
    <cellStyle name="Currency 2 11 2" xfId="1569"/>
    <cellStyle name="Currency 2 11 2 2" xfId="1570"/>
    <cellStyle name="Currency 2 11 3" xfId="1571"/>
    <cellStyle name="Currency 2 110" xfId="1572"/>
    <cellStyle name="Currency 2 111" xfId="1573"/>
    <cellStyle name="Currency 2 112" xfId="1574"/>
    <cellStyle name="Currency 2 113" xfId="1575"/>
    <cellStyle name="Currency 2 114" xfId="1576"/>
    <cellStyle name="Currency 2 115" xfId="1577"/>
    <cellStyle name="Currency 2 116" xfId="1578"/>
    <cellStyle name="Currency 2 117" xfId="1579"/>
    <cellStyle name="Currency 2 118" xfId="1580"/>
    <cellStyle name="Currency 2 119" xfId="1581"/>
    <cellStyle name="Currency 2 12" xfId="1582"/>
    <cellStyle name="Currency 2 12 2" xfId="1583"/>
    <cellStyle name="Currency 2 12 2 2" xfId="1584"/>
    <cellStyle name="Currency 2 12 3" xfId="1585"/>
    <cellStyle name="Currency 2 120" xfId="1586"/>
    <cellStyle name="Currency 2 121" xfId="1587"/>
    <cellStyle name="Currency 2 122" xfId="1588"/>
    <cellStyle name="Currency 2 123" xfId="1589"/>
    <cellStyle name="Currency 2 124" xfId="1590"/>
    <cellStyle name="Currency 2 125" xfId="1591"/>
    <cellStyle name="Currency 2 126" xfId="1592"/>
    <cellStyle name="Currency 2 127" xfId="1593"/>
    <cellStyle name="Currency 2 128" xfId="1594"/>
    <cellStyle name="Currency 2 129" xfId="1595"/>
    <cellStyle name="Currency 2 13" xfId="1596"/>
    <cellStyle name="Currency 2 13 2" xfId="1597"/>
    <cellStyle name="Currency 2 13 2 2" xfId="1598"/>
    <cellStyle name="Currency 2 13 3" xfId="1599"/>
    <cellStyle name="Currency 2 130" xfId="1600"/>
    <cellStyle name="Currency 2 131" xfId="1601"/>
    <cellStyle name="Currency 2 132" xfId="1602"/>
    <cellStyle name="Currency 2 133" xfId="1603"/>
    <cellStyle name="Currency 2 134" xfId="1604"/>
    <cellStyle name="Currency 2 135" xfId="1605"/>
    <cellStyle name="Currency 2 136" xfId="1606"/>
    <cellStyle name="Currency 2 137" xfId="1607"/>
    <cellStyle name="Currency 2 138" xfId="1608"/>
    <cellStyle name="Currency 2 14" xfId="1609"/>
    <cellStyle name="Currency 2 14 2" xfId="1610"/>
    <cellStyle name="Currency 2 14 2 2" xfId="1611"/>
    <cellStyle name="Currency 2 14 3" xfId="1612"/>
    <cellStyle name="Currency 2 15" xfId="1613"/>
    <cellStyle name="Currency 2 15 2" xfId="1614"/>
    <cellStyle name="Currency 2 15 2 2" xfId="1615"/>
    <cellStyle name="Currency 2 15 3" xfId="1616"/>
    <cellStyle name="Currency 2 16" xfId="1617"/>
    <cellStyle name="Currency 2 16 2" xfId="1618"/>
    <cellStyle name="Currency 2 16 2 2" xfId="1619"/>
    <cellStyle name="Currency 2 16 3" xfId="1620"/>
    <cellStyle name="Currency 2 17" xfId="1621"/>
    <cellStyle name="Currency 2 17 2" xfId="1622"/>
    <cellStyle name="Currency 2 18" xfId="1623"/>
    <cellStyle name="Currency 2 18 2" xfId="1624"/>
    <cellStyle name="Currency 2 19" xfId="1625"/>
    <cellStyle name="Currency 2 19 2" xfId="1626"/>
    <cellStyle name="Currency 2 2" xfId="1627"/>
    <cellStyle name="Currency 2 2 10" xfId="1628"/>
    <cellStyle name="Currency 2 2 10 2" xfId="1629"/>
    <cellStyle name="Currency 2 2 11" xfId="1630"/>
    <cellStyle name="Currency 2 2 11 2" xfId="1631"/>
    <cellStyle name="Currency 2 2 12" xfId="1632"/>
    <cellStyle name="Currency 2 2 12 2" xfId="1633"/>
    <cellStyle name="Currency 2 2 12 2 2" xfId="1634"/>
    <cellStyle name="Currency 2 2 12 3" xfId="1635"/>
    <cellStyle name="Currency 2 2 13" xfId="1636"/>
    <cellStyle name="Currency 2 2 13 2" xfId="1637"/>
    <cellStyle name="Currency 2 2 14" xfId="1638"/>
    <cellStyle name="Currency 2 2 14 2" xfId="1639"/>
    <cellStyle name="Currency 2 2 14 2 2" xfId="1640"/>
    <cellStyle name="Currency 2 2 14 3" xfId="1641"/>
    <cellStyle name="Currency 2 2 15" xfId="1642"/>
    <cellStyle name="Currency 2 2 15 2" xfId="1643"/>
    <cellStyle name="Currency 2 2 15 2 2" xfId="1644"/>
    <cellStyle name="Currency 2 2 15 3" xfId="1645"/>
    <cellStyle name="Currency 2 2 16" xfId="1646"/>
    <cellStyle name="Currency 2 2 16 2" xfId="1647"/>
    <cellStyle name="Currency 2 2 16 2 2" xfId="1648"/>
    <cellStyle name="Currency 2 2 16 3" xfId="1649"/>
    <cellStyle name="Currency 2 2 17" xfId="1650"/>
    <cellStyle name="Currency 2 2 17 2" xfId="1651"/>
    <cellStyle name="Currency 2 2 17 2 2" xfId="1652"/>
    <cellStyle name="Currency 2 2 17 3" xfId="1653"/>
    <cellStyle name="Currency 2 2 18" xfId="1654"/>
    <cellStyle name="Currency 2 2 19" xfId="1655"/>
    <cellStyle name="Currency 2 2 2" xfId="1656"/>
    <cellStyle name="Currency 2 2 2 10" xfId="1657"/>
    <cellStyle name="Currency 2 2 2 11" xfId="1658"/>
    <cellStyle name="Currency 2 2 2 12" xfId="1659"/>
    <cellStyle name="Currency 2 2 2 13" xfId="1660"/>
    <cellStyle name="Currency 2 2 2 14" xfId="1661"/>
    <cellStyle name="Currency 2 2 2 15" xfId="1662"/>
    <cellStyle name="Currency 2 2 2 16" xfId="1663"/>
    <cellStyle name="Currency 2 2 2 17" xfId="1664"/>
    <cellStyle name="Currency 2 2 2 18" xfId="1665"/>
    <cellStyle name="Currency 2 2 2 18 2" xfId="1666"/>
    <cellStyle name="Currency 2 2 2 19" xfId="1667"/>
    <cellStyle name="Currency 2 2 2 2" xfId="1668"/>
    <cellStyle name="Currency 2 2 2 2 10" xfId="1669"/>
    <cellStyle name="Currency 2 2 2 2 10 2" xfId="1670"/>
    <cellStyle name="Currency 2 2 2 2 10 2 2" xfId="1671"/>
    <cellStyle name="Currency 2 2 2 2 10 3" xfId="1672"/>
    <cellStyle name="Currency 2 2 2 2 11" xfId="1673"/>
    <cellStyle name="Currency 2 2 2 2 11 2" xfId="1674"/>
    <cellStyle name="Currency 2 2 2 2 11 2 2" xfId="1675"/>
    <cellStyle name="Currency 2 2 2 2 11 3" xfId="1676"/>
    <cellStyle name="Currency 2 2 2 2 12" xfId="1677"/>
    <cellStyle name="Currency 2 2 2 2 12 2" xfId="1678"/>
    <cellStyle name="Currency 2 2 2 2 12 2 2" xfId="1679"/>
    <cellStyle name="Currency 2 2 2 2 12 3" xfId="1680"/>
    <cellStyle name="Currency 2 2 2 2 13" xfId="1681"/>
    <cellStyle name="Currency 2 2 2 2 13 2" xfId="1682"/>
    <cellStyle name="Currency 2 2 2 2 13 2 2" xfId="1683"/>
    <cellStyle name="Currency 2 2 2 2 13 3" xfId="1684"/>
    <cellStyle name="Currency 2 2 2 2 14" xfId="1685"/>
    <cellStyle name="Currency 2 2 2 2 14 2" xfId="1686"/>
    <cellStyle name="Currency 2 2 2 2 14 2 2" xfId="1687"/>
    <cellStyle name="Currency 2 2 2 2 14 3" xfId="1688"/>
    <cellStyle name="Currency 2 2 2 2 15" xfId="1689"/>
    <cellStyle name="Currency 2 2 2 2 15 2" xfId="1690"/>
    <cellStyle name="Currency 2 2 2 2 15 2 2" xfId="1691"/>
    <cellStyle name="Currency 2 2 2 2 15 3" xfId="1692"/>
    <cellStyle name="Currency 2 2 2 2 16" xfId="1693"/>
    <cellStyle name="Currency 2 2 2 2 16 2" xfId="1694"/>
    <cellStyle name="Currency 2 2 2 2 16 2 2" xfId="1695"/>
    <cellStyle name="Currency 2 2 2 2 16 3" xfId="1696"/>
    <cellStyle name="Currency 2 2 2 2 17" xfId="1697"/>
    <cellStyle name="Currency 2 2 2 2 17 2" xfId="1698"/>
    <cellStyle name="Currency 2 2 2 2 17 2 2" xfId="1699"/>
    <cellStyle name="Currency 2 2 2 2 17 3" xfId="1700"/>
    <cellStyle name="Currency 2 2 2 2 2" xfId="1701"/>
    <cellStyle name="Currency 2 2 2 2 2 2" xfId="1702"/>
    <cellStyle name="Currency 2 2 2 2 2 2 2" xfId="1703"/>
    <cellStyle name="Currency 2 2 2 2 2 2 2 2" xfId="1704"/>
    <cellStyle name="Currency 2 2 2 2 2 2 2 2 2" xfId="1705"/>
    <cellStyle name="Currency 2 2 2 2 2 2 2 3" xfId="1706"/>
    <cellStyle name="Currency 2 2 2 2 2 2 3" xfId="1707"/>
    <cellStyle name="Currency 2 2 2 2 2 2 3 2" xfId="1708"/>
    <cellStyle name="Currency 2 2 2 2 2 2 3 2 2" xfId="1709"/>
    <cellStyle name="Currency 2 2 2 2 2 2 3 3" xfId="1710"/>
    <cellStyle name="Currency 2 2 2 2 2 2 4" xfId="1711"/>
    <cellStyle name="Currency 2 2 2 2 2 2 4 2" xfId="1712"/>
    <cellStyle name="Currency 2 2 2 2 2 2 4 2 2" xfId="1713"/>
    <cellStyle name="Currency 2 2 2 2 2 2 4 3" xfId="1714"/>
    <cellStyle name="Currency 2 2 2 2 2 2 5" xfId="1715"/>
    <cellStyle name="Currency 2 2 2 2 2 2 5 2" xfId="1716"/>
    <cellStyle name="Currency 2 2 2 2 2 2 5 2 2" xfId="1717"/>
    <cellStyle name="Currency 2 2 2 2 2 2 5 3" xfId="1718"/>
    <cellStyle name="Currency 2 2 2 2 2 3" xfId="1719"/>
    <cellStyle name="Currency 2 2 2 2 2 4" xfId="1720"/>
    <cellStyle name="Currency 2 2 2 2 2 5" xfId="1721"/>
    <cellStyle name="Currency 2 2 2 2 2 6" xfId="1722"/>
    <cellStyle name="Currency 2 2 2 2 2 6 2" xfId="1723"/>
    <cellStyle name="Currency 2 2 2 2 2 7" xfId="1724"/>
    <cellStyle name="Currency 2 2 2 2 3" xfId="1725"/>
    <cellStyle name="Currency 2 2 2 2 3 2" xfId="1726"/>
    <cellStyle name="Currency 2 2 2 2 3 2 2" xfId="1727"/>
    <cellStyle name="Currency 2 2 2 2 3 3" xfId="1728"/>
    <cellStyle name="Currency 2 2 2 2 4" xfId="1729"/>
    <cellStyle name="Currency 2 2 2 2 4 2" xfId="1730"/>
    <cellStyle name="Currency 2 2 2 2 4 2 2" xfId="1731"/>
    <cellStyle name="Currency 2 2 2 2 4 3" xfId="1732"/>
    <cellStyle name="Currency 2 2 2 2 5" xfId="1733"/>
    <cellStyle name="Currency 2 2 2 2 5 2" xfId="1734"/>
    <cellStyle name="Currency 2 2 2 2 5 2 2" xfId="1735"/>
    <cellStyle name="Currency 2 2 2 2 5 3" xfId="1736"/>
    <cellStyle name="Currency 2 2 2 2 6" xfId="1737"/>
    <cellStyle name="Currency 2 2 2 2 6 2" xfId="1738"/>
    <cellStyle name="Currency 2 2 2 2 6 2 2" xfId="1739"/>
    <cellStyle name="Currency 2 2 2 2 6 3" xfId="1740"/>
    <cellStyle name="Currency 2 2 2 2 7" xfId="1741"/>
    <cellStyle name="Currency 2 2 2 2 7 2" xfId="1742"/>
    <cellStyle name="Currency 2 2 2 2 7 2 2" xfId="1743"/>
    <cellStyle name="Currency 2 2 2 2 7 3" xfId="1744"/>
    <cellStyle name="Currency 2 2 2 2 8" xfId="1745"/>
    <cellStyle name="Currency 2 2 2 2 8 2" xfId="1746"/>
    <cellStyle name="Currency 2 2 2 2 8 2 2" xfId="1747"/>
    <cellStyle name="Currency 2 2 2 2 8 3" xfId="1748"/>
    <cellStyle name="Currency 2 2 2 2 9" xfId="1749"/>
    <cellStyle name="Currency 2 2 2 2 9 2" xfId="1750"/>
    <cellStyle name="Currency 2 2 2 2 9 2 2" xfId="1751"/>
    <cellStyle name="Currency 2 2 2 2 9 3" xfId="1752"/>
    <cellStyle name="Currency 2 2 2 3" xfId="1753"/>
    <cellStyle name="Currency 2 2 2 4" xfId="1754"/>
    <cellStyle name="Currency 2 2 2 5" xfId="1755"/>
    <cellStyle name="Currency 2 2 2 6" xfId="1756"/>
    <cellStyle name="Currency 2 2 2 7" xfId="1757"/>
    <cellStyle name="Currency 2 2 2 8" xfId="1758"/>
    <cellStyle name="Currency 2 2 2 9" xfId="1759"/>
    <cellStyle name="Currency 2 2 20" xfId="1760"/>
    <cellStyle name="Currency 2 2 21" xfId="7486"/>
    <cellStyle name="Currency 2 2 3" xfId="1761"/>
    <cellStyle name="Currency 2 2 3 2" xfId="1762"/>
    <cellStyle name="Currency 2 2 4" xfId="1763"/>
    <cellStyle name="Currency 2 2 4 2" xfId="1764"/>
    <cellStyle name="Currency 2 2 5" xfId="1765"/>
    <cellStyle name="Currency 2 2 5 2" xfId="1766"/>
    <cellStyle name="Currency 2 2 6" xfId="1767"/>
    <cellStyle name="Currency 2 2 6 2" xfId="1768"/>
    <cellStyle name="Currency 2 2 7" xfId="1769"/>
    <cellStyle name="Currency 2 2 7 2" xfId="1770"/>
    <cellStyle name="Currency 2 2 8" xfId="1771"/>
    <cellStyle name="Currency 2 2 8 2" xfId="1772"/>
    <cellStyle name="Currency 2 2 9" xfId="1773"/>
    <cellStyle name="Currency 2 2 9 2" xfId="1774"/>
    <cellStyle name="Currency 2 20" xfId="1775"/>
    <cellStyle name="Currency 2 20 2" xfId="1776"/>
    <cellStyle name="Currency 2 21" xfId="1777"/>
    <cellStyle name="Currency 2 21 2" xfId="1778"/>
    <cellStyle name="Currency 2 22" xfId="1779"/>
    <cellStyle name="Currency 2 22 2" xfId="1780"/>
    <cellStyle name="Currency 2 23" xfId="1781"/>
    <cellStyle name="Currency 2 23 2" xfId="1782"/>
    <cellStyle name="Currency 2 24" xfId="1783"/>
    <cellStyle name="Currency 2 24 2" xfId="1784"/>
    <cellStyle name="Currency 2 25" xfId="1785"/>
    <cellStyle name="Currency 2 25 2" xfId="1786"/>
    <cellStyle name="Currency 2 26" xfId="1787"/>
    <cellStyle name="Currency 2 26 2" xfId="1788"/>
    <cellStyle name="Currency 2 27" xfId="1789"/>
    <cellStyle name="Currency 2 27 2" xfId="1790"/>
    <cellStyle name="Currency 2 28" xfId="1791"/>
    <cellStyle name="Currency 2 28 2" xfId="1792"/>
    <cellStyle name="Currency 2 29" xfId="1793"/>
    <cellStyle name="Currency 2 29 2" xfId="1794"/>
    <cellStyle name="Currency 2 3" xfId="1795"/>
    <cellStyle name="Currency 2 3 2" xfId="1796"/>
    <cellStyle name="Currency 2 3 2 2" xfId="1797"/>
    <cellStyle name="Currency 2 3 3" xfId="1798"/>
    <cellStyle name="Currency 2 30" xfId="1799"/>
    <cellStyle name="Currency 2 30 2" xfId="1800"/>
    <cellStyle name="Currency 2 31" xfId="1801"/>
    <cellStyle name="Currency 2 31 2" xfId="1802"/>
    <cellStyle name="Currency 2 32" xfId="1803"/>
    <cellStyle name="Currency 2 32 2" xfId="1804"/>
    <cellStyle name="Currency 2 33" xfId="1805"/>
    <cellStyle name="Currency 2 33 2" xfId="1806"/>
    <cellStyle name="Currency 2 34" xfId="1807"/>
    <cellStyle name="Currency 2 34 2" xfId="1808"/>
    <cellStyle name="Currency 2 35" xfId="1809"/>
    <cellStyle name="Currency 2 35 2" xfId="1810"/>
    <cellStyle name="Currency 2 36" xfId="1811"/>
    <cellStyle name="Currency 2 36 2" xfId="1812"/>
    <cellStyle name="Currency 2 37" xfId="1813"/>
    <cellStyle name="Currency 2 37 2" xfId="1814"/>
    <cellStyle name="Currency 2 38" xfId="1815"/>
    <cellStyle name="Currency 2 38 2" xfId="1816"/>
    <cellStyle name="Currency 2 39" xfId="1817"/>
    <cellStyle name="Currency 2 39 2" xfId="1818"/>
    <cellStyle name="Currency 2 4" xfId="1819"/>
    <cellStyle name="Currency 2 4 2" xfId="1820"/>
    <cellStyle name="Currency 2 4 2 2" xfId="1821"/>
    <cellStyle name="Currency 2 4 3" xfId="1822"/>
    <cellStyle name="Currency 2 40" xfId="1823"/>
    <cellStyle name="Currency 2 40 2" xfId="1824"/>
    <cellStyle name="Currency 2 41" xfId="1825"/>
    <cellStyle name="Currency 2 41 2" xfId="1826"/>
    <cellStyle name="Currency 2 42" xfId="1827"/>
    <cellStyle name="Currency 2 42 2" xfId="1828"/>
    <cellStyle name="Currency 2 43" xfId="1829"/>
    <cellStyle name="Currency 2 43 2" xfId="1830"/>
    <cellStyle name="Currency 2 44" xfId="1831"/>
    <cellStyle name="Currency 2 44 2" xfId="1832"/>
    <cellStyle name="Currency 2 45" xfId="1833"/>
    <cellStyle name="Currency 2 45 2" xfId="1834"/>
    <cellStyle name="Currency 2 46" xfId="1835"/>
    <cellStyle name="Currency 2 46 2" xfId="1836"/>
    <cellStyle name="Currency 2 47" xfId="1837"/>
    <cellStyle name="Currency 2 47 2" xfId="1838"/>
    <cellStyle name="Currency 2 48" xfId="1839"/>
    <cellStyle name="Currency 2 48 2" xfId="1840"/>
    <cellStyle name="Currency 2 49" xfId="1841"/>
    <cellStyle name="Currency 2 49 2" xfId="1842"/>
    <cellStyle name="Currency 2 5" xfId="1843"/>
    <cellStyle name="Currency 2 5 2" xfId="1844"/>
    <cellStyle name="Currency 2 5 2 2" xfId="1845"/>
    <cellStyle name="Currency 2 5 3" xfId="1846"/>
    <cellStyle name="Currency 2 50" xfId="1847"/>
    <cellStyle name="Currency 2 50 2" xfId="1848"/>
    <cellStyle name="Currency 2 51" xfId="1849"/>
    <cellStyle name="Currency 2 51 2" xfId="1850"/>
    <cellStyle name="Currency 2 52" xfId="1851"/>
    <cellStyle name="Currency 2 52 2" xfId="1852"/>
    <cellStyle name="Currency 2 53" xfId="1853"/>
    <cellStyle name="Currency 2 53 2" xfId="1854"/>
    <cellStyle name="Currency 2 54" xfId="1855"/>
    <cellStyle name="Currency 2 54 2" xfId="1856"/>
    <cellStyle name="Currency 2 55" xfId="1857"/>
    <cellStyle name="Currency 2 55 2" xfId="1858"/>
    <cellStyle name="Currency 2 56" xfId="1859"/>
    <cellStyle name="Currency 2 56 2" xfId="1860"/>
    <cellStyle name="Currency 2 57" xfId="1861"/>
    <cellStyle name="Currency 2 57 2" xfId="1862"/>
    <cellStyle name="Currency 2 58" xfId="1863"/>
    <cellStyle name="Currency 2 58 2" xfId="1864"/>
    <cellStyle name="Currency 2 59" xfId="1865"/>
    <cellStyle name="Currency 2 59 2" xfId="1866"/>
    <cellStyle name="Currency 2 6" xfId="1867"/>
    <cellStyle name="Currency 2 6 2" xfId="1868"/>
    <cellStyle name="Currency 2 6 2 2" xfId="1869"/>
    <cellStyle name="Currency 2 6 3" xfId="1870"/>
    <cellStyle name="Currency 2 60" xfId="1871"/>
    <cellStyle name="Currency 2 60 2" xfId="1872"/>
    <cellStyle name="Currency 2 61" xfId="1873"/>
    <cellStyle name="Currency 2 61 2" xfId="1874"/>
    <cellStyle name="Currency 2 62" xfId="1875"/>
    <cellStyle name="Currency 2 63" xfId="1876"/>
    <cellStyle name="Currency 2 64" xfId="1877"/>
    <cellStyle name="Currency 2 65" xfId="1878"/>
    <cellStyle name="Currency 2 66" xfId="1879"/>
    <cellStyle name="Currency 2 67" xfId="1880"/>
    <cellStyle name="Currency 2 68" xfId="1881"/>
    <cellStyle name="Currency 2 69" xfId="1882"/>
    <cellStyle name="Currency 2 7" xfId="1883"/>
    <cellStyle name="Currency 2 7 2" xfId="1884"/>
    <cellStyle name="Currency 2 7 2 2" xfId="1885"/>
    <cellStyle name="Currency 2 7 3" xfId="1886"/>
    <cellStyle name="Currency 2 70" xfId="1887"/>
    <cellStyle name="Currency 2 71" xfId="1888"/>
    <cellStyle name="Currency 2 72" xfId="1889"/>
    <cellStyle name="Currency 2 73" xfId="1890"/>
    <cellStyle name="Currency 2 74" xfId="1891"/>
    <cellStyle name="Currency 2 75" xfId="1892"/>
    <cellStyle name="Currency 2 76" xfId="1893"/>
    <cellStyle name="Currency 2 77" xfId="1894"/>
    <cellStyle name="Currency 2 78" xfId="1895"/>
    <cellStyle name="Currency 2 79" xfId="1896"/>
    <cellStyle name="Currency 2 8" xfId="1897"/>
    <cellStyle name="Currency 2 8 2" xfId="1898"/>
    <cellStyle name="Currency 2 8 2 2" xfId="1899"/>
    <cellStyle name="Currency 2 8 3" xfId="1900"/>
    <cellStyle name="Currency 2 80" xfId="1901"/>
    <cellStyle name="Currency 2 81" xfId="1902"/>
    <cellStyle name="Currency 2 82" xfId="1903"/>
    <cellStyle name="Currency 2 83" xfId="1904"/>
    <cellStyle name="Currency 2 84" xfId="1905"/>
    <cellStyle name="Currency 2 85" xfId="1906"/>
    <cellStyle name="Currency 2 86" xfId="1907"/>
    <cellStyle name="Currency 2 87" xfId="1908"/>
    <cellStyle name="Currency 2 88" xfId="1909"/>
    <cellStyle name="Currency 2 89" xfId="1910"/>
    <cellStyle name="Currency 2 9" xfId="1911"/>
    <cellStyle name="Currency 2 9 2" xfId="1912"/>
    <cellStyle name="Currency 2 9 2 2" xfId="1913"/>
    <cellStyle name="Currency 2 9 3" xfId="1914"/>
    <cellStyle name="Currency 2 90" xfId="1915"/>
    <cellStyle name="Currency 2 91" xfId="1916"/>
    <cellStyle name="Currency 2 92" xfId="1917"/>
    <cellStyle name="Currency 2 93" xfId="1918"/>
    <cellStyle name="Currency 2 94" xfId="1919"/>
    <cellStyle name="Currency 2 95" xfId="1920"/>
    <cellStyle name="Currency 2 96" xfId="1921"/>
    <cellStyle name="Currency 2 97" xfId="1922"/>
    <cellStyle name="Currency 2 98" xfId="1923"/>
    <cellStyle name="Currency 2 99" xfId="1924"/>
    <cellStyle name="Currency 20" xfId="1925"/>
    <cellStyle name="Currency 21" xfId="1926"/>
    <cellStyle name="Currency 22" xfId="1927"/>
    <cellStyle name="Currency 23" xfId="1928"/>
    <cellStyle name="Currency 24" xfId="1929"/>
    <cellStyle name="Currency 25" xfId="1930"/>
    <cellStyle name="Currency 26" xfId="1931"/>
    <cellStyle name="Currency 27" xfId="1932"/>
    <cellStyle name="Currency 28" xfId="1933"/>
    <cellStyle name="Currency 29" xfId="1934"/>
    <cellStyle name="Currency 3" xfId="25"/>
    <cellStyle name="Currency 3 10" xfId="1935"/>
    <cellStyle name="Currency 3 10 2" xfId="1936"/>
    <cellStyle name="Currency 3 10 2 2" xfId="1937"/>
    <cellStyle name="Currency 3 10 3" xfId="1938"/>
    <cellStyle name="Currency 3 100" xfId="1939"/>
    <cellStyle name="Currency 3 101" xfId="1940"/>
    <cellStyle name="Currency 3 102" xfId="1941"/>
    <cellStyle name="Currency 3 103" xfId="1942"/>
    <cellStyle name="Currency 3 104" xfId="1943"/>
    <cellStyle name="Currency 3 105" xfId="1944"/>
    <cellStyle name="Currency 3 106" xfId="1945"/>
    <cellStyle name="Currency 3 107" xfId="1946"/>
    <cellStyle name="Currency 3 108" xfId="1947"/>
    <cellStyle name="Currency 3 109" xfId="1948"/>
    <cellStyle name="Currency 3 11" xfId="1949"/>
    <cellStyle name="Currency 3 11 2" xfId="1950"/>
    <cellStyle name="Currency 3 11 2 2" xfId="1951"/>
    <cellStyle name="Currency 3 11 3" xfId="1952"/>
    <cellStyle name="Currency 3 110" xfId="1953"/>
    <cellStyle name="Currency 3 111" xfId="1954"/>
    <cellStyle name="Currency 3 112" xfId="1955"/>
    <cellStyle name="Currency 3 113" xfId="1956"/>
    <cellStyle name="Currency 3 114" xfId="1957"/>
    <cellStyle name="Currency 3 115" xfId="1958"/>
    <cellStyle name="Currency 3 116" xfId="1959"/>
    <cellStyle name="Currency 3 117" xfId="1960"/>
    <cellStyle name="Currency 3 118" xfId="1961"/>
    <cellStyle name="Currency 3 119" xfId="1962"/>
    <cellStyle name="Currency 3 12" xfId="1963"/>
    <cellStyle name="Currency 3 12 2" xfId="1964"/>
    <cellStyle name="Currency 3 12 2 2" xfId="1965"/>
    <cellStyle name="Currency 3 12 3" xfId="1966"/>
    <cellStyle name="Currency 3 120" xfId="1967"/>
    <cellStyle name="Currency 3 121" xfId="1968"/>
    <cellStyle name="Currency 3 122" xfId="1969"/>
    <cellStyle name="Currency 3 123" xfId="1970"/>
    <cellStyle name="Currency 3 124" xfId="1971"/>
    <cellStyle name="Currency 3 125" xfId="1972"/>
    <cellStyle name="Currency 3 126" xfId="1973"/>
    <cellStyle name="Currency 3 127" xfId="1974"/>
    <cellStyle name="Currency 3 128" xfId="1975"/>
    <cellStyle name="Currency 3 129" xfId="1976"/>
    <cellStyle name="Currency 3 13" xfId="1977"/>
    <cellStyle name="Currency 3 13 2" xfId="1978"/>
    <cellStyle name="Currency 3 13 2 2" xfId="1979"/>
    <cellStyle name="Currency 3 13 3" xfId="1980"/>
    <cellStyle name="Currency 3 130" xfId="1981"/>
    <cellStyle name="Currency 3 131" xfId="1982"/>
    <cellStyle name="Currency 3 132" xfId="1983"/>
    <cellStyle name="Currency 3 133" xfId="1984"/>
    <cellStyle name="Currency 3 134" xfId="1985"/>
    <cellStyle name="Currency 3 135" xfId="1986"/>
    <cellStyle name="Currency 3 136" xfId="1987"/>
    <cellStyle name="Currency 3 137" xfId="1988"/>
    <cellStyle name="Currency 3 138" xfId="1989"/>
    <cellStyle name="Currency 3 139" xfId="1990"/>
    <cellStyle name="Currency 3 14" xfId="1991"/>
    <cellStyle name="Currency 3 14 2" xfId="1992"/>
    <cellStyle name="Currency 3 14 2 2" xfId="1993"/>
    <cellStyle name="Currency 3 14 3" xfId="1994"/>
    <cellStyle name="Currency 3 15" xfId="1995"/>
    <cellStyle name="Currency 3 15 2" xfId="1996"/>
    <cellStyle name="Currency 3 15 2 2" xfId="1997"/>
    <cellStyle name="Currency 3 15 3" xfId="1998"/>
    <cellStyle name="Currency 3 16" xfId="1999"/>
    <cellStyle name="Currency 3 16 2" xfId="2000"/>
    <cellStyle name="Currency 3 16 2 2" xfId="2001"/>
    <cellStyle name="Currency 3 16 3" xfId="2002"/>
    <cellStyle name="Currency 3 17" xfId="2003"/>
    <cellStyle name="Currency 3 17 2" xfId="2004"/>
    <cellStyle name="Currency 3 17 2 2" xfId="2005"/>
    <cellStyle name="Currency 3 17 3" xfId="2006"/>
    <cellStyle name="Currency 3 18" xfId="2007"/>
    <cellStyle name="Currency 3 18 2" xfId="2008"/>
    <cellStyle name="Currency 3 18 2 2" xfId="2009"/>
    <cellStyle name="Currency 3 18 3" xfId="2010"/>
    <cellStyle name="Currency 3 19" xfId="2011"/>
    <cellStyle name="Currency 3 19 2" xfId="2012"/>
    <cellStyle name="Currency 3 19 2 2" xfId="2013"/>
    <cellStyle name="Currency 3 19 3" xfId="2014"/>
    <cellStyle name="Currency 3 2" xfId="2015"/>
    <cellStyle name="Currency 3 2 10" xfId="2016"/>
    <cellStyle name="Currency 3 2 11" xfId="2017"/>
    <cellStyle name="Currency 3 2 12" xfId="2018"/>
    <cellStyle name="Currency 3 2 13" xfId="2019"/>
    <cellStyle name="Currency 3 2 14" xfId="2020"/>
    <cellStyle name="Currency 3 2 15" xfId="2021"/>
    <cellStyle name="Currency 3 2 15 2" xfId="2022"/>
    <cellStyle name="Currency 3 2 16" xfId="2023"/>
    <cellStyle name="Currency 3 2 17" xfId="2024"/>
    <cellStyle name="Currency 3 2 18" xfId="2025"/>
    <cellStyle name="Currency 3 2 18 2" xfId="2026"/>
    <cellStyle name="Currency 3 2 19" xfId="2027"/>
    <cellStyle name="Currency 3 2 2" xfId="2028"/>
    <cellStyle name="Currency 3 2 2 10" xfId="2029"/>
    <cellStyle name="Currency 3 2 2 11" xfId="2030"/>
    <cellStyle name="Currency 3 2 2 12" xfId="2031"/>
    <cellStyle name="Currency 3 2 2 13" xfId="2032"/>
    <cellStyle name="Currency 3 2 2 14" xfId="2033"/>
    <cellStyle name="Currency 3 2 2 15" xfId="2034"/>
    <cellStyle name="Currency 3 2 2 16" xfId="2035"/>
    <cellStyle name="Currency 3 2 2 17" xfId="2036"/>
    <cellStyle name="Currency 3 2 2 18" xfId="2037"/>
    <cellStyle name="Currency 3 2 2 2" xfId="2038"/>
    <cellStyle name="Currency 3 2 2 2 10" xfId="2039"/>
    <cellStyle name="Currency 3 2 2 2 11" xfId="2040"/>
    <cellStyle name="Currency 3 2 2 2 12" xfId="2041"/>
    <cellStyle name="Currency 3 2 2 2 13" xfId="2042"/>
    <cellStyle name="Currency 3 2 2 2 14" xfId="2043"/>
    <cellStyle name="Currency 3 2 2 2 15" xfId="2044"/>
    <cellStyle name="Currency 3 2 2 2 16" xfId="2045"/>
    <cellStyle name="Currency 3 2 2 2 17" xfId="2046"/>
    <cellStyle name="Currency 3 2 2 2 2" xfId="2047"/>
    <cellStyle name="Currency 3 2 2 2 2 2" xfId="2048"/>
    <cellStyle name="Currency 3 2 2 2 2 2 2" xfId="2049"/>
    <cellStyle name="Currency 3 2 2 2 2 2 3" xfId="2050"/>
    <cellStyle name="Currency 3 2 2 2 2 2 4" xfId="2051"/>
    <cellStyle name="Currency 3 2 2 2 2 2 5" xfId="2052"/>
    <cellStyle name="Currency 3 2 2 2 2 3" xfId="2053"/>
    <cellStyle name="Currency 3 2 2 2 2 4" xfId="2054"/>
    <cellStyle name="Currency 3 2 2 2 2 5" xfId="2055"/>
    <cellStyle name="Currency 3 2 2 2 3" xfId="2056"/>
    <cellStyle name="Currency 3 2 2 2 4" xfId="2057"/>
    <cellStyle name="Currency 3 2 2 2 5" xfId="2058"/>
    <cellStyle name="Currency 3 2 2 2 6" xfId="2059"/>
    <cellStyle name="Currency 3 2 2 2 7" xfId="2060"/>
    <cellStyle name="Currency 3 2 2 2 8" xfId="2061"/>
    <cellStyle name="Currency 3 2 2 2 9" xfId="2062"/>
    <cellStyle name="Currency 3 2 2 3" xfId="2063"/>
    <cellStyle name="Currency 3 2 2 4" xfId="2064"/>
    <cellStyle name="Currency 3 2 2 5" xfId="2065"/>
    <cellStyle name="Currency 3 2 2 6" xfId="2066"/>
    <cellStyle name="Currency 3 2 2 7" xfId="2067"/>
    <cellStyle name="Currency 3 2 2 8" xfId="2068"/>
    <cellStyle name="Currency 3 2 2 9" xfId="2069"/>
    <cellStyle name="Currency 3 2 20" xfId="2070"/>
    <cellStyle name="Currency 3 2 21" xfId="7419"/>
    <cellStyle name="Currency 3 2 3" xfId="2071"/>
    <cellStyle name="Currency 3 2 4" xfId="2072"/>
    <cellStyle name="Currency 3 2 5" xfId="2073"/>
    <cellStyle name="Currency 3 2 6" xfId="2074"/>
    <cellStyle name="Currency 3 2 7" xfId="2075"/>
    <cellStyle name="Currency 3 2 8" xfId="2076"/>
    <cellStyle name="Currency 3 2 9" xfId="2077"/>
    <cellStyle name="Currency 3 20" xfId="2078"/>
    <cellStyle name="Currency 3 20 2" xfId="2079"/>
    <cellStyle name="Currency 3 20 3" xfId="2080"/>
    <cellStyle name="Currency 3 21" xfId="2081"/>
    <cellStyle name="Currency 3 21 2" xfId="2082"/>
    <cellStyle name="Currency 3 22" xfId="2083"/>
    <cellStyle name="Currency 3 22 2" xfId="2084"/>
    <cellStyle name="Currency 3 23" xfId="2085"/>
    <cellStyle name="Currency 3 23 2" xfId="2086"/>
    <cellStyle name="Currency 3 24" xfId="2087"/>
    <cellStyle name="Currency 3 24 2" xfId="2088"/>
    <cellStyle name="Currency 3 25" xfId="2089"/>
    <cellStyle name="Currency 3 25 2" xfId="2090"/>
    <cellStyle name="Currency 3 26" xfId="2091"/>
    <cellStyle name="Currency 3 26 2" xfId="2092"/>
    <cellStyle name="Currency 3 27" xfId="2093"/>
    <cellStyle name="Currency 3 27 2" xfId="2094"/>
    <cellStyle name="Currency 3 28" xfId="2095"/>
    <cellStyle name="Currency 3 28 2" xfId="2096"/>
    <cellStyle name="Currency 3 29" xfId="2097"/>
    <cellStyle name="Currency 3 29 2" xfId="2098"/>
    <cellStyle name="Currency 3 3" xfId="2099"/>
    <cellStyle name="Currency 3 3 10" xfId="2100"/>
    <cellStyle name="Currency 3 3 10 2" xfId="2101"/>
    <cellStyle name="Currency 3 3 11" xfId="2102"/>
    <cellStyle name="Currency 3 3 11 2" xfId="2103"/>
    <cellStyle name="Currency 3 3 12" xfId="2104"/>
    <cellStyle name="Currency 3 3 13" xfId="2105"/>
    <cellStyle name="Currency 3 3 14" xfId="2106"/>
    <cellStyle name="Currency 3 3 14 2" xfId="2107"/>
    <cellStyle name="Currency 3 3 15" xfId="2108"/>
    <cellStyle name="Currency 3 3 16" xfId="7487"/>
    <cellStyle name="Currency 3 3 2" xfId="2109"/>
    <cellStyle name="Currency 3 3 2 10" xfId="2110"/>
    <cellStyle name="Currency 3 3 2 10 2" xfId="2111"/>
    <cellStyle name="Currency 3 3 2 10 2 2" xfId="2112"/>
    <cellStyle name="Currency 3 3 2 10 3" xfId="2113"/>
    <cellStyle name="Currency 3 3 2 11" xfId="2114"/>
    <cellStyle name="Currency 3 3 2 11 2" xfId="2115"/>
    <cellStyle name="Currency 3 3 2 11 2 2" xfId="2116"/>
    <cellStyle name="Currency 3 3 2 11 3" xfId="2117"/>
    <cellStyle name="Currency 3 3 2 12" xfId="2118"/>
    <cellStyle name="Currency 3 3 2 12 2" xfId="2119"/>
    <cellStyle name="Currency 3 3 2 12 2 2" xfId="2120"/>
    <cellStyle name="Currency 3 3 2 12 3" xfId="2121"/>
    <cellStyle name="Currency 3 3 2 13" xfId="2122"/>
    <cellStyle name="Currency 3 3 2 13 2" xfId="2123"/>
    <cellStyle name="Currency 3 3 2 13 2 2" xfId="2124"/>
    <cellStyle name="Currency 3 3 2 13 3" xfId="2125"/>
    <cellStyle name="Currency 3 3 2 14" xfId="2126"/>
    <cellStyle name="Currency 3 3 2 15" xfId="2127"/>
    <cellStyle name="Currency 3 3 2 2" xfId="2128"/>
    <cellStyle name="Currency 3 3 2 2 2" xfId="2129"/>
    <cellStyle name="Currency 3 3 2 2 2 2" xfId="2130"/>
    <cellStyle name="Currency 3 3 2 2 3" xfId="2131"/>
    <cellStyle name="Currency 3 3 2 3" xfId="2132"/>
    <cellStyle name="Currency 3 3 2 3 2" xfId="2133"/>
    <cellStyle name="Currency 3 3 2 3 2 2" xfId="2134"/>
    <cellStyle name="Currency 3 3 2 3 3" xfId="2135"/>
    <cellStyle name="Currency 3 3 2 4" xfId="2136"/>
    <cellStyle name="Currency 3 3 2 4 2" xfId="2137"/>
    <cellStyle name="Currency 3 3 2 4 2 2" xfId="2138"/>
    <cellStyle name="Currency 3 3 2 4 3" xfId="2139"/>
    <cellStyle name="Currency 3 3 2 5" xfId="2140"/>
    <cellStyle name="Currency 3 3 2 5 2" xfId="2141"/>
    <cellStyle name="Currency 3 3 2 5 2 2" xfId="2142"/>
    <cellStyle name="Currency 3 3 2 5 3" xfId="2143"/>
    <cellStyle name="Currency 3 3 2 6" xfId="2144"/>
    <cellStyle name="Currency 3 3 2 6 2" xfId="2145"/>
    <cellStyle name="Currency 3 3 2 6 2 2" xfId="2146"/>
    <cellStyle name="Currency 3 3 2 6 3" xfId="2147"/>
    <cellStyle name="Currency 3 3 2 7" xfId="2148"/>
    <cellStyle name="Currency 3 3 2 7 2" xfId="2149"/>
    <cellStyle name="Currency 3 3 2 7 2 2" xfId="2150"/>
    <cellStyle name="Currency 3 3 2 7 3" xfId="2151"/>
    <cellStyle name="Currency 3 3 2 8" xfId="2152"/>
    <cellStyle name="Currency 3 3 2 8 2" xfId="2153"/>
    <cellStyle name="Currency 3 3 2 8 2 2" xfId="2154"/>
    <cellStyle name="Currency 3 3 2 8 3" xfId="2155"/>
    <cellStyle name="Currency 3 3 2 9" xfId="2156"/>
    <cellStyle name="Currency 3 3 2 9 2" xfId="2157"/>
    <cellStyle name="Currency 3 3 2 9 2 2" xfId="2158"/>
    <cellStyle name="Currency 3 3 2 9 3" xfId="2159"/>
    <cellStyle name="Currency 3 3 3" xfId="2160"/>
    <cellStyle name="Currency 3 3 3 2" xfId="2161"/>
    <cellStyle name="Currency 3 3 4" xfId="2162"/>
    <cellStyle name="Currency 3 3 4 2" xfId="2163"/>
    <cellStyle name="Currency 3 3 5" xfId="2164"/>
    <cellStyle name="Currency 3 3 5 2" xfId="2165"/>
    <cellStyle name="Currency 3 3 6" xfId="2166"/>
    <cellStyle name="Currency 3 3 6 2" xfId="2167"/>
    <cellStyle name="Currency 3 3 7" xfId="2168"/>
    <cellStyle name="Currency 3 3 7 2" xfId="2169"/>
    <cellStyle name="Currency 3 3 8" xfId="2170"/>
    <cellStyle name="Currency 3 3 8 2" xfId="2171"/>
    <cellStyle name="Currency 3 3 9" xfId="2172"/>
    <cellStyle name="Currency 3 3 9 2" xfId="2173"/>
    <cellStyle name="Currency 3 30" xfId="2174"/>
    <cellStyle name="Currency 3 30 2" xfId="2175"/>
    <cellStyle name="Currency 3 31" xfId="2176"/>
    <cellStyle name="Currency 3 31 2" xfId="2177"/>
    <cellStyle name="Currency 3 32" xfId="2178"/>
    <cellStyle name="Currency 3 32 2" xfId="2179"/>
    <cellStyle name="Currency 3 33" xfId="2180"/>
    <cellStyle name="Currency 3 33 2" xfId="2181"/>
    <cellStyle name="Currency 3 34" xfId="2182"/>
    <cellStyle name="Currency 3 34 2" xfId="2183"/>
    <cellStyle name="Currency 3 35" xfId="2184"/>
    <cellStyle name="Currency 3 35 2" xfId="2185"/>
    <cellStyle name="Currency 3 36" xfId="2186"/>
    <cellStyle name="Currency 3 36 2" xfId="2187"/>
    <cellStyle name="Currency 3 37" xfId="2188"/>
    <cellStyle name="Currency 3 37 2" xfId="2189"/>
    <cellStyle name="Currency 3 38" xfId="2190"/>
    <cellStyle name="Currency 3 38 2" xfId="2191"/>
    <cellStyle name="Currency 3 39" xfId="2192"/>
    <cellStyle name="Currency 3 39 2" xfId="2193"/>
    <cellStyle name="Currency 3 4" xfId="2194"/>
    <cellStyle name="Currency 3 4 2" xfId="2195"/>
    <cellStyle name="Currency 3 4 2 2" xfId="2196"/>
    <cellStyle name="Currency 3 4 2 2 2" xfId="2197"/>
    <cellStyle name="Currency 3 4 2 3" xfId="2198"/>
    <cellStyle name="Currency 3 4 2 4" xfId="2199"/>
    <cellStyle name="Currency 3 4 2 5" xfId="2200"/>
    <cellStyle name="Currency 3 4 3" xfId="2201"/>
    <cellStyle name="Currency 3 4 4" xfId="2202"/>
    <cellStyle name="Currency 3 4 5" xfId="2203"/>
    <cellStyle name="Currency 3 4 6" xfId="2204"/>
    <cellStyle name="Currency 3 40" xfId="2205"/>
    <cellStyle name="Currency 3 40 2" xfId="2206"/>
    <cellStyle name="Currency 3 41" xfId="2207"/>
    <cellStyle name="Currency 3 41 2" xfId="2208"/>
    <cellStyle name="Currency 3 42" xfId="2209"/>
    <cellStyle name="Currency 3 42 2" xfId="2210"/>
    <cellStyle name="Currency 3 43" xfId="2211"/>
    <cellStyle name="Currency 3 43 2" xfId="2212"/>
    <cellStyle name="Currency 3 44" xfId="2213"/>
    <cellStyle name="Currency 3 44 2" xfId="2214"/>
    <cellStyle name="Currency 3 45" xfId="2215"/>
    <cellStyle name="Currency 3 45 2" xfId="2216"/>
    <cellStyle name="Currency 3 46" xfId="2217"/>
    <cellStyle name="Currency 3 46 2" xfId="2218"/>
    <cellStyle name="Currency 3 47" xfId="2219"/>
    <cellStyle name="Currency 3 47 2" xfId="2220"/>
    <cellStyle name="Currency 3 48" xfId="2221"/>
    <cellStyle name="Currency 3 48 2" xfId="2222"/>
    <cellStyle name="Currency 3 49" xfId="2223"/>
    <cellStyle name="Currency 3 49 2" xfId="2224"/>
    <cellStyle name="Currency 3 5" xfId="2225"/>
    <cellStyle name="Currency 3 5 2" xfId="2226"/>
    <cellStyle name="Currency 3 5 2 2" xfId="2227"/>
    <cellStyle name="Currency 3 5 3" xfId="2228"/>
    <cellStyle name="Currency 3 50" xfId="2229"/>
    <cellStyle name="Currency 3 50 2" xfId="2230"/>
    <cellStyle name="Currency 3 51" xfId="2231"/>
    <cellStyle name="Currency 3 51 2" xfId="2232"/>
    <cellStyle name="Currency 3 52" xfId="2233"/>
    <cellStyle name="Currency 3 52 2" xfId="2234"/>
    <cellStyle name="Currency 3 53" xfId="2235"/>
    <cellStyle name="Currency 3 53 2" xfId="2236"/>
    <cellStyle name="Currency 3 54" xfId="2237"/>
    <cellStyle name="Currency 3 54 2" xfId="2238"/>
    <cellStyle name="Currency 3 55" xfId="2239"/>
    <cellStyle name="Currency 3 55 2" xfId="2240"/>
    <cellStyle name="Currency 3 56" xfId="2241"/>
    <cellStyle name="Currency 3 56 2" xfId="2242"/>
    <cellStyle name="Currency 3 57" xfId="2243"/>
    <cellStyle name="Currency 3 57 2" xfId="2244"/>
    <cellStyle name="Currency 3 58" xfId="2245"/>
    <cellStyle name="Currency 3 58 2" xfId="2246"/>
    <cellStyle name="Currency 3 59" xfId="2247"/>
    <cellStyle name="Currency 3 59 2" xfId="2248"/>
    <cellStyle name="Currency 3 6" xfId="2249"/>
    <cellStyle name="Currency 3 6 2" xfId="2250"/>
    <cellStyle name="Currency 3 6 2 2" xfId="2251"/>
    <cellStyle name="Currency 3 6 3" xfId="2252"/>
    <cellStyle name="Currency 3 60" xfId="2253"/>
    <cellStyle name="Currency 3 60 2" xfId="2254"/>
    <cellStyle name="Currency 3 61" xfId="2255"/>
    <cellStyle name="Currency 3 61 2" xfId="2256"/>
    <cellStyle name="Currency 3 62" xfId="2257"/>
    <cellStyle name="Currency 3 63" xfId="2258"/>
    <cellStyle name="Currency 3 64" xfId="2259"/>
    <cellStyle name="Currency 3 65" xfId="2260"/>
    <cellStyle name="Currency 3 66" xfId="2261"/>
    <cellStyle name="Currency 3 67" xfId="2262"/>
    <cellStyle name="Currency 3 68" xfId="2263"/>
    <cellStyle name="Currency 3 69" xfId="2264"/>
    <cellStyle name="Currency 3 7" xfId="2265"/>
    <cellStyle name="Currency 3 7 2" xfId="2266"/>
    <cellStyle name="Currency 3 7 2 2" xfId="2267"/>
    <cellStyle name="Currency 3 7 3" xfId="2268"/>
    <cellStyle name="Currency 3 70" xfId="2269"/>
    <cellStyle name="Currency 3 71" xfId="2270"/>
    <cellStyle name="Currency 3 72" xfId="2271"/>
    <cellStyle name="Currency 3 73" xfId="2272"/>
    <cellStyle name="Currency 3 74" xfId="2273"/>
    <cellStyle name="Currency 3 75" xfId="2274"/>
    <cellStyle name="Currency 3 76" xfId="2275"/>
    <cellStyle name="Currency 3 77" xfId="2276"/>
    <cellStyle name="Currency 3 78" xfId="2277"/>
    <cellStyle name="Currency 3 79" xfId="2278"/>
    <cellStyle name="Currency 3 8" xfId="2279"/>
    <cellStyle name="Currency 3 8 2" xfId="2280"/>
    <cellStyle name="Currency 3 8 2 2" xfId="2281"/>
    <cellStyle name="Currency 3 8 3" xfId="2282"/>
    <cellStyle name="Currency 3 80" xfId="2283"/>
    <cellStyle name="Currency 3 81" xfId="2284"/>
    <cellStyle name="Currency 3 82" xfId="2285"/>
    <cellStyle name="Currency 3 83" xfId="2286"/>
    <cellStyle name="Currency 3 84" xfId="2287"/>
    <cellStyle name="Currency 3 85" xfId="2288"/>
    <cellStyle name="Currency 3 86" xfId="2289"/>
    <cellStyle name="Currency 3 87" xfId="2290"/>
    <cellStyle name="Currency 3 88" xfId="2291"/>
    <cellStyle name="Currency 3 89" xfId="2292"/>
    <cellStyle name="Currency 3 9" xfId="2293"/>
    <cellStyle name="Currency 3 9 2" xfId="2294"/>
    <cellStyle name="Currency 3 9 2 2" xfId="2295"/>
    <cellStyle name="Currency 3 9 3" xfId="2296"/>
    <cellStyle name="Currency 3 90" xfId="2297"/>
    <cellStyle name="Currency 3 91" xfId="2298"/>
    <cellStyle name="Currency 3 92" xfId="2299"/>
    <cellStyle name="Currency 3 93" xfId="2300"/>
    <cellStyle name="Currency 3 94" xfId="2301"/>
    <cellStyle name="Currency 3 95" xfId="2302"/>
    <cellStyle name="Currency 3 96" xfId="2303"/>
    <cellStyle name="Currency 3 97" xfId="2304"/>
    <cellStyle name="Currency 3 98" xfId="2305"/>
    <cellStyle name="Currency 3 99" xfId="2306"/>
    <cellStyle name="Currency 30" xfId="2307"/>
    <cellStyle name="Currency 31" xfId="2308"/>
    <cellStyle name="Currency 32" xfId="2309"/>
    <cellStyle name="Currency 33" xfId="2310"/>
    <cellStyle name="Currency 34" xfId="7549"/>
    <cellStyle name="Currency 4" xfId="2311"/>
    <cellStyle name="Currency 4 10" xfId="2312"/>
    <cellStyle name="Currency 4 11" xfId="2313"/>
    <cellStyle name="Currency 4 12" xfId="2314"/>
    <cellStyle name="Currency 4 13" xfId="2315"/>
    <cellStyle name="Currency 4 14" xfId="2316"/>
    <cellStyle name="Currency 4 15" xfId="2317"/>
    <cellStyle name="Currency 4 16" xfId="2318"/>
    <cellStyle name="Currency 4 17" xfId="2319"/>
    <cellStyle name="Currency 4 18" xfId="2320"/>
    <cellStyle name="Currency 4 19" xfId="2321"/>
    <cellStyle name="Currency 4 2" xfId="2322"/>
    <cellStyle name="Currency 4 2 2" xfId="2323"/>
    <cellStyle name="Currency 4 2 2 2" xfId="2324"/>
    <cellStyle name="Currency 4 2 2 3" xfId="2325"/>
    <cellStyle name="Currency 4 2 2 4" xfId="2326"/>
    <cellStyle name="Currency 4 2 2 5" xfId="2327"/>
    <cellStyle name="Currency 4 2 2 6" xfId="2328"/>
    <cellStyle name="Currency 4 2 2 7" xfId="2329"/>
    <cellStyle name="Currency 4 2 2 8" xfId="2330"/>
    <cellStyle name="Currency 4 2 2 9" xfId="2331"/>
    <cellStyle name="Currency 4 2 3" xfId="2332"/>
    <cellStyle name="Currency 4 2 4" xfId="2333"/>
    <cellStyle name="Currency 4 2 5" xfId="2334"/>
    <cellStyle name="Currency 4 2 6" xfId="2335"/>
    <cellStyle name="Currency 4 2 7" xfId="2336"/>
    <cellStyle name="Currency 4 2 8" xfId="2337"/>
    <cellStyle name="Currency 4 2 9" xfId="2338"/>
    <cellStyle name="Currency 4 20" xfId="2339"/>
    <cellStyle name="Currency 4 21" xfId="2340"/>
    <cellStyle name="Currency 4 22" xfId="2341"/>
    <cellStyle name="Currency 4 23" xfId="2342"/>
    <cellStyle name="Currency 4 24" xfId="2343"/>
    <cellStyle name="Currency 4 25" xfId="2344"/>
    <cellStyle name="Currency 4 26" xfId="2345"/>
    <cellStyle name="Currency 4 27" xfId="2346"/>
    <cellStyle name="Currency 4 28" xfId="2347"/>
    <cellStyle name="Currency 4 29" xfId="2348"/>
    <cellStyle name="Currency 4 3" xfId="2349"/>
    <cellStyle name="Currency 4 30" xfId="2350"/>
    <cellStyle name="Currency 4 31" xfId="2351"/>
    <cellStyle name="Currency 4 32" xfId="2352"/>
    <cellStyle name="Currency 4 33" xfId="2353"/>
    <cellStyle name="Currency 4 34" xfId="2354"/>
    <cellStyle name="Currency 4 35" xfId="2355"/>
    <cellStyle name="Currency 4 36" xfId="2356"/>
    <cellStyle name="Currency 4 37" xfId="2357"/>
    <cellStyle name="Currency 4 38" xfId="2358"/>
    <cellStyle name="Currency 4 39" xfId="2359"/>
    <cellStyle name="Currency 4 4" xfId="2360"/>
    <cellStyle name="Currency 4 40" xfId="2361"/>
    <cellStyle name="Currency 4 41" xfId="2362"/>
    <cellStyle name="Currency 4 42" xfId="2363"/>
    <cellStyle name="Currency 4 43" xfId="2364"/>
    <cellStyle name="Currency 4 44" xfId="2365"/>
    <cellStyle name="Currency 4 45" xfId="2366"/>
    <cellStyle name="Currency 4 46" xfId="2367"/>
    <cellStyle name="Currency 4 5" xfId="2368"/>
    <cellStyle name="Currency 4 6" xfId="2369"/>
    <cellStyle name="Currency 4 7" xfId="2370"/>
    <cellStyle name="Currency 4 8" xfId="2371"/>
    <cellStyle name="Currency 4 9" xfId="2372"/>
    <cellStyle name="Currency 5" xfId="2373"/>
    <cellStyle name="Currency 5 10" xfId="2374"/>
    <cellStyle name="Currency 5 100" xfId="2375"/>
    <cellStyle name="Currency 5 11" xfId="2376"/>
    <cellStyle name="Currency 5 12" xfId="2377"/>
    <cellStyle name="Currency 5 13" xfId="2378"/>
    <cellStyle name="Currency 5 14" xfId="2379"/>
    <cellStyle name="Currency 5 15" xfId="2380"/>
    <cellStyle name="Currency 5 16" xfId="2381"/>
    <cellStyle name="Currency 5 17" xfId="2382"/>
    <cellStyle name="Currency 5 18" xfId="2383"/>
    <cellStyle name="Currency 5 19" xfId="2384"/>
    <cellStyle name="Currency 5 2" xfId="2385"/>
    <cellStyle name="Currency 5 2 10" xfId="2386"/>
    <cellStyle name="Currency 5 2 10 2" xfId="2387"/>
    <cellStyle name="Currency 5 2 11" xfId="2388"/>
    <cellStyle name="Currency 5 2 11 2" xfId="2389"/>
    <cellStyle name="Currency 5 2 12" xfId="2390"/>
    <cellStyle name="Currency 5 2 13" xfId="2391"/>
    <cellStyle name="Currency 5 2 14" xfId="2392"/>
    <cellStyle name="Currency 5 2 14 2" xfId="2393"/>
    <cellStyle name="Currency 5 2 15" xfId="2394"/>
    <cellStyle name="Currency 5 2 16" xfId="7488"/>
    <cellStyle name="Currency 5 2 2" xfId="2395"/>
    <cellStyle name="Currency 5 2 2 10" xfId="2396"/>
    <cellStyle name="Currency 5 2 2 10 2" xfId="2397"/>
    <cellStyle name="Currency 5 2 2 10 2 2" xfId="2398"/>
    <cellStyle name="Currency 5 2 2 10 3" xfId="2399"/>
    <cellStyle name="Currency 5 2 2 11" xfId="2400"/>
    <cellStyle name="Currency 5 2 2 11 2" xfId="2401"/>
    <cellStyle name="Currency 5 2 2 11 2 2" xfId="2402"/>
    <cellStyle name="Currency 5 2 2 11 3" xfId="2403"/>
    <cellStyle name="Currency 5 2 2 12" xfId="2404"/>
    <cellStyle name="Currency 5 2 2 12 2" xfId="2405"/>
    <cellStyle name="Currency 5 2 2 12 2 2" xfId="2406"/>
    <cellStyle name="Currency 5 2 2 12 3" xfId="2407"/>
    <cellStyle name="Currency 5 2 2 13" xfId="2408"/>
    <cellStyle name="Currency 5 2 2 13 2" xfId="2409"/>
    <cellStyle name="Currency 5 2 2 13 2 2" xfId="2410"/>
    <cellStyle name="Currency 5 2 2 13 3" xfId="2411"/>
    <cellStyle name="Currency 5 2 2 14" xfId="2412"/>
    <cellStyle name="Currency 5 2 2 15" xfId="2413"/>
    <cellStyle name="Currency 5 2 2 2" xfId="2414"/>
    <cellStyle name="Currency 5 2 2 2 2" xfId="2415"/>
    <cellStyle name="Currency 5 2 2 2 2 2" xfId="2416"/>
    <cellStyle name="Currency 5 2 2 2 3" xfId="2417"/>
    <cellStyle name="Currency 5 2 2 3" xfId="2418"/>
    <cellStyle name="Currency 5 2 2 3 2" xfId="2419"/>
    <cellStyle name="Currency 5 2 2 3 2 2" xfId="2420"/>
    <cellStyle name="Currency 5 2 2 3 3" xfId="2421"/>
    <cellStyle name="Currency 5 2 2 4" xfId="2422"/>
    <cellStyle name="Currency 5 2 2 4 2" xfId="2423"/>
    <cellStyle name="Currency 5 2 2 4 2 2" xfId="2424"/>
    <cellStyle name="Currency 5 2 2 4 3" xfId="2425"/>
    <cellStyle name="Currency 5 2 2 5" xfId="2426"/>
    <cellStyle name="Currency 5 2 2 5 2" xfId="2427"/>
    <cellStyle name="Currency 5 2 2 5 2 2" xfId="2428"/>
    <cellStyle name="Currency 5 2 2 5 3" xfId="2429"/>
    <cellStyle name="Currency 5 2 2 6" xfId="2430"/>
    <cellStyle name="Currency 5 2 2 6 2" xfId="2431"/>
    <cellStyle name="Currency 5 2 2 6 2 2" xfId="2432"/>
    <cellStyle name="Currency 5 2 2 6 3" xfId="2433"/>
    <cellStyle name="Currency 5 2 2 7" xfId="2434"/>
    <cellStyle name="Currency 5 2 2 7 2" xfId="2435"/>
    <cellStyle name="Currency 5 2 2 7 2 2" xfId="2436"/>
    <cellStyle name="Currency 5 2 2 7 3" xfId="2437"/>
    <cellStyle name="Currency 5 2 2 8" xfId="2438"/>
    <cellStyle name="Currency 5 2 2 8 2" xfId="2439"/>
    <cellStyle name="Currency 5 2 2 8 2 2" xfId="2440"/>
    <cellStyle name="Currency 5 2 2 8 3" xfId="2441"/>
    <cellStyle name="Currency 5 2 2 9" xfId="2442"/>
    <cellStyle name="Currency 5 2 2 9 2" xfId="2443"/>
    <cellStyle name="Currency 5 2 2 9 2 2" xfId="2444"/>
    <cellStyle name="Currency 5 2 2 9 3" xfId="2445"/>
    <cellStyle name="Currency 5 2 3" xfId="2446"/>
    <cellStyle name="Currency 5 2 3 2" xfId="2447"/>
    <cellStyle name="Currency 5 2 4" xfId="2448"/>
    <cellStyle name="Currency 5 2 4 2" xfId="2449"/>
    <cellStyle name="Currency 5 2 5" xfId="2450"/>
    <cellStyle name="Currency 5 2 5 2" xfId="2451"/>
    <cellStyle name="Currency 5 2 6" xfId="2452"/>
    <cellStyle name="Currency 5 2 6 2" xfId="2453"/>
    <cellStyle name="Currency 5 2 7" xfId="2454"/>
    <cellStyle name="Currency 5 2 7 2" xfId="2455"/>
    <cellStyle name="Currency 5 2 8" xfId="2456"/>
    <cellStyle name="Currency 5 2 8 2" xfId="2457"/>
    <cellStyle name="Currency 5 2 9" xfId="2458"/>
    <cellStyle name="Currency 5 2 9 2" xfId="2459"/>
    <cellStyle name="Currency 5 20" xfId="2460"/>
    <cellStyle name="Currency 5 21" xfId="2461"/>
    <cellStyle name="Currency 5 22" xfId="2462"/>
    <cellStyle name="Currency 5 23" xfId="2463"/>
    <cellStyle name="Currency 5 24" xfId="2464"/>
    <cellStyle name="Currency 5 25" xfId="2465"/>
    <cellStyle name="Currency 5 26" xfId="2466"/>
    <cellStyle name="Currency 5 27" xfId="2467"/>
    <cellStyle name="Currency 5 28" xfId="2468"/>
    <cellStyle name="Currency 5 29" xfId="2469"/>
    <cellStyle name="Currency 5 3" xfId="2470"/>
    <cellStyle name="Currency 5 3 2" xfId="2471"/>
    <cellStyle name="Currency 5 30" xfId="2472"/>
    <cellStyle name="Currency 5 31" xfId="2473"/>
    <cellStyle name="Currency 5 32" xfId="2474"/>
    <cellStyle name="Currency 5 33" xfId="2475"/>
    <cellStyle name="Currency 5 34" xfId="2476"/>
    <cellStyle name="Currency 5 35" xfId="2477"/>
    <cellStyle name="Currency 5 36" xfId="2478"/>
    <cellStyle name="Currency 5 37" xfId="2479"/>
    <cellStyle name="Currency 5 38" xfId="2480"/>
    <cellStyle name="Currency 5 39" xfId="2481"/>
    <cellStyle name="Currency 5 4" xfId="2482"/>
    <cellStyle name="Currency 5 40" xfId="2483"/>
    <cellStyle name="Currency 5 41" xfId="2484"/>
    <cellStyle name="Currency 5 42" xfId="2485"/>
    <cellStyle name="Currency 5 43" xfId="2486"/>
    <cellStyle name="Currency 5 44" xfId="2487"/>
    <cellStyle name="Currency 5 45" xfId="2488"/>
    <cellStyle name="Currency 5 46" xfId="2489"/>
    <cellStyle name="Currency 5 47" xfId="2490"/>
    <cellStyle name="Currency 5 48" xfId="2491"/>
    <cellStyle name="Currency 5 49" xfId="2492"/>
    <cellStyle name="Currency 5 5" xfId="2493"/>
    <cellStyle name="Currency 5 50" xfId="2494"/>
    <cellStyle name="Currency 5 51" xfId="2495"/>
    <cellStyle name="Currency 5 52" xfId="2496"/>
    <cellStyle name="Currency 5 53" xfId="2497"/>
    <cellStyle name="Currency 5 54" xfId="2498"/>
    <cellStyle name="Currency 5 55" xfId="2499"/>
    <cellStyle name="Currency 5 56" xfId="2500"/>
    <cellStyle name="Currency 5 57" xfId="2501"/>
    <cellStyle name="Currency 5 58" xfId="2502"/>
    <cellStyle name="Currency 5 59" xfId="2503"/>
    <cellStyle name="Currency 5 6" xfId="2504"/>
    <cellStyle name="Currency 5 60" xfId="2505"/>
    <cellStyle name="Currency 5 61" xfId="2506"/>
    <cellStyle name="Currency 5 62" xfId="2507"/>
    <cellStyle name="Currency 5 63" xfId="2508"/>
    <cellStyle name="Currency 5 64" xfId="2509"/>
    <cellStyle name="Currency 5 65" xfId="2510"/>
    <cellStyle name="Currency 5 66" xfId="2511"/>
    <cellStyle name="Currency 5 67" xfId="2512"/>
    <cellStyle name="Currency 5 68" xfId="2513"/>
    <cellStyle name="Currency 5 69" xfId="2514"/>
    <cellStyle name="Currency 5 7" xfId="2515"/>
    <cellStyle name="Currency 5 70" xfId="2516"/>
    <cellStyle name="Currency 5 71" xfId="2517"/>
    <cellStyle name="Currency 5 72" xfId="2518"/>
    <cellStyle name="Currency 5 73" xfId="2519"/>
    <cellStyle name="Currency 5 74" xfId="2520"/>
    <cellStyle name="Currency 5 75" xfId="2521"/>
    <cellStyle name="Currency 5 76" xfId="2522"/>
    <cellStyle name="Currency 5 77" xfId="2523"/>
    <cellStyle name="Currency 5 78" xfId="2524"/>
    <cellStyle name="Currency 5 79" xfId="2525"/>
    <cellStyle name="Currency 5 8" xfId="2526"/>
    <cellStyle name="Currency 5 80" xfId="2527"/>
    <cellStyle name="Currency 5 81" xfId="2528"/>
    <cellStyle name="Currency 5 82" xfId="2529"/>
    <cellStyle name="Currency 5 83" xfId="2530"/>
    <cellStyle name="Currency 5 84" xfId="2531"/>
    <cellStyle name="Currency 5 85" xfId="2532"/>
    <cellStyle name="Currency 5 86" xfId="2533"/>
    <cellStyle name="Currency 5 87" xfId="2534"/>
    <cellStyle name="Currency 5 88" xfId="2535"/>
    <cellStyle name="Currency 5 89" xfId="2536"/>
    <cellStyle name="Currency 5 9" xfId="2537"/>
    <cellStyle name="Currency 5 90" xfId="2538"/>
    <cellStyle name="Currency 5 91" xfId="2539"/>
    <cellStyle name="Currency 5 92" xfId="2540"/>
    <cellStyle name="Currency 5 93" xfId="2541"/>
    <cellStyle name="Currency 5 94" xfId="2542"/>
    <cellStyle name="Currency 5 95" xfId="2543"/>
    <cellStyle name="Currency 5 96" xfId="2544"/>
    <cellStyle name="Currency 5 97" xfId="2545"/>
    <cellStyle name="Currency 5 98" xfId="2546"/>
    <cellStyle name="Currency 5 99" xfId="2547"/>
    <cellStyle name="Currency 6" xfId="2548"/>
    <cellStyle name="Currency 6 10" xfId="2549"/>
    <cellStyle name="Currency 6 11" xfId="2550"/>
    <cellStyle name="Currency 6 12" xfId="2551"/>
    <cellStyle name="Currency 6 13" xfId="2552"/>
    <cellStyle name="Currency 6 14" xfId="2553"/>
    <cellStyle name="Currency 6 15" xfId="2554"/>
    <cellStyle name="Currency 6 16" xfId="2555"/>
    <cellStyle name="Currency 6 17" xfId="2556"/>
    <cellStyle name="Currency 6 18" xfId="2557"/>
    <cellStyle name="Currency 6 2" xfId="2558"/>
    <cellStyle name="Currency 6 2 2" xfId="2559"/>
    <cellStyle name="Currency 6 2 2 2" xfId="2560"/>
    <cellStyle name="Currency 6 2 3" xfId="2561"/>
    <cellStyle name="Currency 6 3" xfId="2562"/>
    <cellStyle name="Currency 6 4" xfId="2563"/>
    <cellStyle name="Currency 6 5" xfId="2564"/>
    <cellStyle name="Currency 6 6" xfId="2565"/>
    <cellStyle name="Currency 6 7" xfId="2566"/>
    <cellStyle name="Currency 6 8" xfId="2567"/>
    <cellStyle name="Currency 6 9" xfId="2568"/>
    <cellStyle name="Currency 7" xfId="2569"/>
    <cellStyle name="Currency 7 10" xfId="2570"/>
    <cellStyle name="Currency 7 11" xfId="2571"/>
    <cellStyle name="Currency 7 12" xfId="2572"/>
    <cellStyle name="Currency 7 13" xfId="2573"/>
    <cellStyle name="Currency 7 13 2" xfId="2574"/>
    <cellStyle name="Currency 7 13 3" xfId="2575"/>
    <cellStyle name="Currency 7 13 4" xfId="2576"/>
    <cellStyle name="Currency 7 14" xfId="2577"/>
    <cellStyle name="Currency 7 15" xfId="2578"/>
    <cellStyle name="Currency 7 16" xfId="7489"/>
    <cellStyle name="Currency 7 2" xfId="2579"/>
    <cellStyle name="Currency 7 2 10" xfId="2580"/>
    <cellStyle name="Currency 7 2 10 2" xfId="2581"/>
    <cellStyle name="Currency 7 2 11" xfId="2582"/>
    <cellStyle name="Currency 7 2 11 2" xfId="2583"/>
    <cellStyle name="Currency 7 2 12" xfId="2584"/>
    <cellStyle name="Currency 7 2 13" xfId="2585"/>
    <cellStyle name="Currency 7 2 14" xfId="2586"/>
    <cellStyle name="Currency 7 2 2" xfId="2587"/>
    <cellStyle name="Currency 7 2 2 2" xfId="2588"/>
    <cellStyle name="Currency 7 2 3" xfId="2589"/>
    <cellStyle name="Currency 7 2 3 2" xfId="2590"/>
    <cellStyle name="Currency 7 2 4" xfId="2591"/>
    <cellStyle name="Currency 7 2 4 2" xfId="2592"/>
    <cellStyle name="Currency 7 2 5" xfId="2593"/>
    <cellStyle name="Currency 7 2 5 2" xfId="2594"/>
    <cellStyle name="Currency 7 2 6" xfId="2595"/>
    <cellStyle name="Currency 7 2 6 2" xfId="2596"/>
    <cellStyle name="Currency 7 2 7" xfId="2597"/>
    <cellStyle name="Currency 7 2 7 2" xfId="2598"/>
    <cellStyle name="Currency 7 2 8" xfId="2599"/>
    <cellStyle name="Currency 7 2 8 2" xfId="2600"/>
    <cellStyle name="Currency 7 2 9" xfId="2601"/>
    <cellStyle name="Currency 7 2 9 2" xfId="2602"/>
    <cellStyle name="Currency 7 3" xfId="2603"/>
    <cellStyle name="Currency 7 3 2" xfId="2604"/>
    <cellStyle name="Currency 7 4" xfId="2605"/>
    <cellStyle name="Currency 7 5" xfId="2606"/>
    <cellStyle name="Currency 7 6" xfId="2607"/>
    <cellStyle name="Currency 7 7" xfId="2608"/>
    <cellStyle name="Currency 7 8" xfId="2609"/>
    <cellStyle name="Currency 7 9" xfId="2610"/>
    <cellStyle name="Currency 8" xfId="2611"/>
    <cellStyle name="Currency 9" xfId="2612"/>
    <cellStyle name="Currency No$" xfId="2613"/>
    <cellStyle name="Currency Total" xfId="2614"/>
    <cellStyle name="Currency Total 2" xfId="2615"/>
    <cellStyle name="Currency x2 No$" xfId="2616"/>
    <cellStyle name="Currency0" xfId="2617"/>
    <cellStyle name="Custom - Style1" xfId="2618"/>
    <cellStyle name="Custom - Style8" xfId="2619"/>
    <cellStyle name="Data   - Style2" xfId="2620"/>
    <cellStyle name="Date" xfId="2621"/>
    <cellStyle name="Dollarsign" xfId="2622"/>
    <cellStyle name="DOUBLEL" xfId="2623"/>
    <cellStyle name="eatme" xfId="2624"/>
    <cellStyle name="Explanatory Text 2" xfId="2625"/>
    <cellStyle name="Explanatory Text 3" xfId="2626"/>
    <cellStyle name="Explanatory Text 4" xfId="2627"/>
    <cellStyle name="Explanatory Text 5" xfId="2628"/>
    <cellStyle name="Explanatory Text 6" xfId="2629"/>
    <cellStyle name="Fixed" xfId="2630"/>
    <cellStyle name="Formula" xfId="2631"/>
    <cellStyle name="Gas Cost x5" xfId="2632"/>
    <cellStyle name="Good 2" xfId="2633"/>
    <cellStyle name="Good 3" xfId="2634"/>
    <cellStyle name="Good 4" xfId="2635"/>
    <cellStyle name="Good 5" xfId="2636"/>
    <cellStyle name="Good 6" xfId="2637"/>
    <cellStyle name="Hardcoded" xfId="2638"/>
    <cellStyle name="Head Title" xfId="2639"/>
    <cellStyle name="Heading 1 2" xfId="2640"/>
    <cellStyle name="Heading 1 3" xfId="2641"/>
    <cellStyle name="Heading 1 4" xfId="2642"/>
    <cellStyle name="Heading 1 5" xfId="2643"/>
    <cellStyle name="Heading 1 6" xfId="2644"/>
    <cellStyle name="Heading 2 2" xfId="2645"/>
    <cellStyle name="Heading 2 3" xfId="2646"/>
    <cellStyle name="Heading 2 4" xfId="2647"/>
    <cellStyle name="Heading 2 5" xfId="2648"/>
    <cellStyle name="Heading 2 6" xfId="2649"/>
    <cellStyle name="Heading 3 2" xfId="2650"/>
    <cellStyle name="Heading 3 3" xfId="2651"/>
    <cellStyle name="Heading 3 4" xfId="2652"/>
    <cellStyle name="Heading 3 5" xfId="2653"/>
    <cellStyle name="Heading 3 6" xfId="2654"/>
    <cellStyle name="Heading 4 2" xfId="2655"/>
    <cellStyle name="Heading 4 3" xfId="2656"/>
    <cellStyle name="Heading 4 4" xfId="2657"/>
    <cellStyle name="Heading 4 5" xfId="2658"/>
    <cellStyle name="Heading 4 6" xfId="2659"/>
    <cellStyle name="HeadlineStyle" xfId="1"/>
    <cellStyle name="HeadlineStyle 10" xfId="2660"/>
    <cellStyle name="HeadlineStyle 11" xfId="2661"/>
    <cellStyle name="HeadlineStyle 12" xfId="2662"/>
    <cellStyle name="HeadlineStyle 13" xfId="2663"/>
    <cellStyle name="HeadlineStyle 14" xfId="2664"/>
    <cellStyle name="HeadlineStyle 15" xfId="2665"/>
    <cellStyle name="HeadlineStyle 16" xfId="2666"/>
    <cellStyle name="HeadlineStyle 2" xfId="2667"/>
    <cellStyle name="HeadlineStyle 3" xfId="2668"/>
    <cellStyle name="HeadlineStyle 4" xfId="2669"/>
    <cellStyle name="HeadlineStyle 5" xfId="2670"/>
    <cellStyle name="HeadlineStyle 6" xfId="2671"/>
    <cellStyle name="HeadlineStyle 7" xfId="2672"/>
    <cellStyle name="HeadlineStyle 8" xfId="2673"/>
    <cellStyle name="HeadlineStyle 9" xfId="2674"/>
    <cellStyle name="HeadlineStyleJustified" xfId="2"/>
    <cellStyle name="HeadlineStyleJustified 10" xfId="2675"/>
    <cellStyle name="HeadlineStyleJustified 11" xfId="2676"/>
    <cellStyle name="HeadlineStyleJustified 12" xfId="2677"/>
    <cellStyle name="HeadlineStyleJustified 13" xfId="2678"/>
    <cellStyle name="HeadlineStyleJustified 14" xfId="2679"/>
    <cellStyle name="HeadlineStyleJustified 15" xfId="2680"/>
    <cellStyle name="HeadlineStyleJustified 16" xfId="2681"/>
    <cellStyle name="HeadlineStyleJustified 2" xfId="2682"/>
    <cellStyle name="HeadlineStyleJustified 3" xfId="2683"/>
    <cellStyle name="HeadlineStyleJustified 4" xfId="2684"/>
    <cellStyle name="HeadlineStyleJustified 5" xfId="2685"/>
    <cellStyle name="HeadlineStyleJustified 6" xfId="2686"/>
    <cellStyle name="HeadlineStyleJustified 7" xfId="2687"/>
    <cellStyle name="HeadlineStyleJustified 8" xfId="2688"/>
    <cellStyle name="HeadlineStyleJustified 9" xfId="2689"/>
    <cellStyle name="Hyperlink 2" xfId="34"/>
    <cellStyle name="Hyperlink 2 2" xfId="2690"/>
    <cellStyle name="Hyperlink 3" xfId="2691"/>
    <cellStyle name="inc/dec" xfId="2692"/>
    <cellStyle name="inc/dec 2" xfId="2693"/>
    <cellStyle name="Input 2" xfId="2694"/>
    <cellStyle name="Input 3" xfId="2695"/>
    <cellStyle name="Input 4" xfId="2696"/>
    <cellStyle name="Input 5" xfId="2697"/>
    <cellStyle name="Input 6" xfId="2698"/>
    <cellStyle name="Labels - Style3" xfId="2699"/>
    <cellStyle name="Labor" xfId="2700"/>
    <cellStyle name="Lines" xfId="2701"/>
    <cellStyle name="Linked Amount" xfId="2702"/>
    <cellStyle name="Linked Cell 2" xfId="2703"/>
    <cellStyle name="Linked Cell 3" xfId="2704"/>
    <cellStyle name="Linked Cell 4" xfId="2705"/>
    <cellStyle name="Linked Cell 5" xfId="2706"/>
    <cellStyle name="Linked Cell 6" xfId="2707"/>
    <cellStyle name="Neutral 2" xfId="2708"/>
    <cellStyle name="Neutral 3" xfId="2709"/>
    <cellStyle name="Neutral 4" xfId="2710"/>
    <cellStyle name="Neutral 5" xfId="2711"/>
    <cellStyle name="Neutral 6" xfId="2712"/>
    <cellStyle name="Normal" xfId="0" builtinId="0"/>
    <cellStyle name="Normal - Style1" xfId="2713"/>
    <cellStyle name="Normal - Style2" xfId="2714"/>
    <cellStyle name="Normal - Style3" xfId="2715"/>
    <cellStyle name="Normal - Style4" xfId="2716"/>
    <cellStyle name="Normal - Style5" xfId="2717"/>
    <cellStyle name="Normal - Style6" xfId="2718"/>
    <cellStyle name="Normal - Style7" xfId="2719"/>
    <cellStyle name="Normal - Style8" xfId="2720"/>
    <cellStyle name="Normal 10" xfId="22"/>
    <cellStyle name="Normal 10 10" xfId="2721"/>
    <cellStyle name="Normal 10 10 2" xfId="2722"/>
    <cellStyle name="Normal 10 10 3" xfId="2723"/>
    <cellStyle name="Normal 10 10 3 2" xfId="7541"/>
    <cellStyle name="Normal 10 10 4" xfId="2724"/>
    <cellStyle name="Normal 10 10 5" xfId="7521"/>
    <cellStyle name="Normal 10 10 6 2" xfId="7543"/>
    <cellStyle name="Normal 10 10 8" xfId="7555"/>
    <cellStyle name="Normal 10 11" xfId="2725"/>
    <cellStyle name="Normal 10 11 2" xfId="2726"/>
    <cellStyle name="Normal 10 11 2 2" xfId="2727"/>
    <cellStyle name="Normal 10 11 3" xfId="2728"/>
    <cellStyle name="Normal 10 11 4" xfId="7523"/>
    <cellStyle name="Normal 10 12" xfId="2729"/>
    <cellStyle name="Normal 10 12 2" xfId="2730"/>
    <cellStyle name="Normal 10 12 2 2" xfId="2731"/>
    <cellStyle name="Normal 10 12 3" xfId="2732"/>
    <cellStyle name="Normal 10 13" xfId="2733"/>
    <cellStyle name="Normal 10 13 2" xfId="2734"/>
    <cellStyle name="Normal 10 13 2 2" xfId="2735"/>
    <cellStyle name="Normal 10 13 3" xfId="2736"/>
    <cellStyle name="Normal 10 14" xfId="2737"/>
    <cellStyle name="Normal 10 14 10" xfId="2738"/>
    <cellStyle name="Normal 10 14 10 2" xfId="2739"/>
    <cellStyle name="Normal 10 14 10 2 2" xfId="2740"/>
    <cellStyle name="Normal 10 14 10 3" xfId="2741"/>
    <cellStyle name="Normal 10 14 11" xfId="2742"/>
    <cellStyle name="Normal 10 14 11 2" xfId="2743"/>
    <cellStyle name="Normal 10 14 11 2 2" xfId="2744"/>
    <cellStyle name="Normal 10 14 11 3" xfId="2745"/>
    <cellStyle name="Normal 10 14 12" xfId="2746"/>
    <cellStyle name="Normal 10 14 12 2" xfId="2747"/>
    <cellStyle name="Normal 10 14 12 2 2" xfId="2748"/>
    <cellStyle name="Normal 10 14 12 3" xfId="2749"/>
    <cellStyle name="Normal 10 14 13" xfId="2750"/>
    <cellStyle name="Normal 10 14 2" xfId="2751"/>
    <cellStyle name="Normal 10 14 2 2" xfId="2752"/>
    <cellStyle name="Normal 10 14 2 2 2" xfId="2753"/>
    <cellStyle name="Normal 10 14 2 3" xfId="2754"/>
    <cellStyle name="Normal 10 14 3" xfId="2755"/>
    <cellStyle name="Normal 10 14 3 2" xfId="2756"/>
    <cellStyle name="Normal 10 14 3 2 2" xfId="2757"/>
    <cellStyle name="Normal 10 14 3 3" xfId="2758"/>
    <cellStyle name="Normal 10 14 4" xfId="2759"/>
    <cellStyle name="Normal 10 14 4 2" xfId="2760"/>
    <cellStyle name="Normal 10 14 4 2 2" xfId="2761"/>
    <cellStyle name="Normal 10 14 4 3" xfId="2762"/>
    <cellStyle name="Normal 10 14 5" xfId="2763"/>
    <cellStyle name="Normal 10 14 5 2" xfId="2764"/>
    <cellStyle name="Normal 10 14 5 2 2" xfId="2765"/>
    <cellStyle name="Normal 10 14 5 3" xfId="2766"/>
    <cellStyle name="Normal 10 14 6" xfId="2767"/>
    <cellStyle name="Normal 10 14 6 2" xfId="2768"/>
    <cellStyle name="Normal 10 14 6 2 2" xfId="2769"/>
    <cellStyle name="Normal 10 14 6 3" xfId="2770"/>
    <cellStyle name="Normal 10 14 7" xfId="2771"/>
    <cellStyle name="Normal 10 14 7 2" xfId="2772"/>
    <cellStyle name="Normal 10 14 7 2 2" xfId="2773"/>
    <cellStyle name="Normal 10 14 7 3" xfId="2774"/>
    <cellStyle name="Normal 10 14 8" xfId="2775"/>
    <cellStyle name="Normal 10 14 8 2" xfId="2776"/>
    <cellStyle name="Normal 10 14 8 2 2" xfId="2777"/>
    <cellStyle name="Normal 10 14 8 3" xfId="2778"/>
    <cellStyle name="Normal 10 14 9" xfId="2779"/>
    <cellStyle name="Normal 10 14 9 2" xfId="2780"/>
    <cellStyle name="Normal 10 14 9 2 2" xfId="2781"/>
    <cellStyle name="Normal 10 14 9 3" xfId="2782"/>
    <cellStyle name="Normal 10 15" xfId="2783"/>
    <cellStyle name="Normal 10 15 2" xfId="2784"/>
    <cellStyle name="Normal 10 15 2 2" xfId="2785"/>
    <cellStyle name="Normal 10 15 3" xfId="2786"/>
    <cellStyle name="Normal 10 16" xfId="2787"/>
    <cellStyle name="Normal 10 16 2" xfId="2788"/>
    <cellStyle name="Normal 10 16 2 2" xfId="2789"/>
    <cellStyle name="Normal 10 16 3" xfId="2790"/>
    <cellStyle name="Normal 10 17" xfId="2791"/>
    <cellStyle name="Normal 10 17 2" xfId="2792"/>
    <cellStyle name="Normal 10 17 2 2" xfId="2793"/>
    <cellStyle name="Normal 10 17 3" xfId="2794"/>
    <cellStyle name="Normal 10 18" xfId="2795"/>
    <cellStyle name="Normal 10 18 2" xfId="2796"/>
    <cellStyle name="Normal 10 18 2 2" xfId="2797"/>
    <cellStyle name="Normal 10 18 3" xfId="2798"/>
    <cellStyle name="Normal 10 19" xfId="2799"/>
    <cellStyle name="Normal 10 19 2" xfId="2800"/>
    <cellStyle name="Normal 10 19 2 2" xfId="2801"/>
    <cellStyle name="Normal 10 19 3" xfId="2802"/>
    <cellStyle name="Normal 10 2" xfId="2803"/>
    <cellStyle name="Normal 10 2 2" xfId="2804"/>
    <cellStyle name="Normal 10 2 2 2" xfId="2805"/>
    <cellStyle name="Normal 10 2 3" xfId="2806"/>
    <cellStyle name="Normal 10 20" xfId="2807"/>
    <cellStyle name="Normal 10 20 2" xfId="2808"/>
    <cellStyle name="Normal 10 20 2 2" xfId="2809"/>
    <cellStyle name="Normal 10 20 3" xfId="2810"/>
    <cellStyle name="Normal 10 21" xfId="2811"/>
    <cellStyle name="Normal 10 21 2" xfId="2812"/>
    <cellStyle name="Normal 10 21 3" xfId="2813"/>
    <cellStyle name="Normal 10 21 4" xfId="2814"/>
    <cellStyle name="Normal 10 22" xfId="2815"/>
    <cellStyle name="Normal 10 22 2" xfId="2816"/>
    <cellStyle name="Normal 10 23" xfId="2817"/>
    <cellStyle name="Normal 10 23 2" xfId="2818"/>
    <cellStyle name="Normal 10 24" xfId="2819"/>
    <cellStyle name="Normal 10 25" xfId="2820"/>
    <cellStyle name="Normal 10 26" xfId="2821"/>
    <cellStyle name="Normal 10 26 2" xfId="2822"/>
    <cellStyle name="Normal 10 27" xfId="2823"/>
    <cellStyle name="Normal 10 28" xfId="2824"/>
    <cellStyle name="Normal 10 29" xfId="2825"/>
    <cellStyle name="Normal 10 3" xfId="2826"/>
    <cellStyle name="Normal 10 3 2" xfId="2827"/>
    <cellStyle name="Normal 10 3 2 2" xfId="2828"/>
    <cellStyle name="Normal 10 3 3" xfId="2829"/>
    <cellStyle name="Normal 10 30" xfId="2830"/>
    <cellStyle name="Normal 10 31" xfId="2831"/>
    <cellStyle name="Normal 10 32" xfId="2832"/>
    <cellStyle name="Normal 10 33" xfId="2833"/>
    <cellStyle name="Normal 10 34" xfId="2834"/>
    <cellStyle name="Normal 10 35" xfId="2835"/>
    <cellStyle name="Normal 10 36" xfId="2836"/>
    <cellStyle name="Normal 10 37" xfId="2837"/>
    <cellStyle name="Normal 10 38" xfId="2838"/>
    <cellStyle name="Normal 10 39" xfId="2839"/>
    <cellStyle name="Normal 10 4" xfId="2840"/>
    <cellStyle name="Normal 10 4 2" xfId="2841"/>
    <cellStyle name="Normal 10 4 2 2" xfId="2842"/>
    <cellStyle name="Normal 10 4 3" xfId="2843"/>
    <cellStyle name="Normal 10 40" xfId="2844"/>
    <cellStyle name="Normal 10 41" xfId="2845"/>
    <cellStyle name="Normal 10 42" xfId="2846"/>
    <cellStyle name="Normal 10 43" xfId="2847"/>
    <cellStyle name="Normal 10 44" xfId="2848"/>
    <cellStyle name="Normal 10 45" xfId="2849"/>
    <cellStyle name="Normal 10 46" xfId="2850"/>
    <cellStyle name="Normal 10 47" xfId="2851"/>
    <cellStyle name="Normal 10 48" xfId="2852"/>
    <cellStyle name="Normal 10 49" xfId="2853"/>
    <cellStyle name="Normal 10 5" xfId="2854"/>
    <cellStyle name="Normal 10 5 2" xfId="2855"/>
    <cellStyle name="Normal 10 5 2 2" xfId="2856"/>
    <cellStyle name="Normal 10 5 3" xfId="2857"/>
    <cellStyle name="Normal 10 50" xfId="2858"/>
    <cellStyle name="Normal 10 51" xfId="2859"/>
    <cellStyle name="Normal 10 52" xfId="2860"/>
    <cellStyle name="Normal 10 53" xfId="2861"/>
    <cellStyle name="Normal 10 54" xfId="2862"/>
    <cellStyle name="Normal 10 55" xfId="2863"/>
    <cellStyle name="Normal 10 56" xfId="2864"/>
    <cellStyle name="Normal 10 57" xfId="2865"/>
    <cellStyle name="Normal 10 58" xfId="2866"/>
    <cellStyle name="Normal 10 59" xfId="2867"/>
    <cellStyle name="Normal 10 6" xfId="2868"/>
    <cellStyle name="Normal 10 6 2" xfId="2869"/>
    <cellStyle name="Normal 10 6 2 2" xfId="2870"/>
    <cellStyle name="Normal 10 6 3" xfId="2871"/>
    <cellStyle name="Normal 10 60" xfId="2872"/>
    <cellStyle name="Normal 10 61" xfId="2873"/>
    <cellStyle name="Normal 10 62" xfId="2874"/>
    <cellStyle name="Normal 10 63" xfId="2875"/>
    <cellStyle name="Normal 10 64" xfId="2876"/>
    <cellStyle name="Normal 10 65" xfId="2877"/>
    <cellStyle name="Normal 10 66" xfId="2878"/>
    <cellStyle name="Normal 10 67" xfId="2879"/>
    <cellStyle name="Normal 10 68" xfId="2880"/>
    <cellStyle name="Normal 10 69" xfId="2881"/>
    <cellStyle name="Normal 10 7" xfId="2882"/>
    <cellStyle name="Normal 10 7 2" xfId="2883"/>
    <cellStyle name="Normal 10 7 2 2" xfId="2884"/>
    <cellStyle name="Normal 10 7 3" xfId="2885"/>
    <cellStyle name="Normal 10 70" xfId="2886"/>
    <cellStyle name="Normal 10 71" xfId="2887"/>
    <cellStyle name="Normal 10 72" xfId="2888"/>
    <cellStyle name="Normal 10 73" xfId="2889"/>
    <cellStyle name="Normal 10 8" xfId="2890"/>
    <cellStyle name="Normal 10 8 2" xfId="2891"/>
    <cellStyle name="Normal 10 8 2 2" xfId="2892"/>
    <cellStyle name="Normal 10 8 3" xfId="2893"/>
    <cellStyle name="Normal 10 9" xfId="2894"/>
    <cellStyle name="Normal 10 9 2" xfId="2895"/>
    <cellStyle name="Normal 10 9 3" xfId="2896"/>
    <cellStyle name="Normal 10 9 4" xfId="2897"/>
    <cellStyle name="Normal 100" xfId="2898"/>
    <cellStyle name="Normal 101" xfId="2899"/>
    <cellStyle name="Normal 102" xfId="2900"/>
    <cellStyle name="Normal 103" xfId="2901"/>
    <cellStyle name="Normal 104" xfId="2902"/>
    <cellStyle name="Normal 105" xfId="2903"/>
    <cellStyle name="Normal 106" xfId="2904"/>
    <cellStyle name="Normal 107" xfId="2905"/>
    <cellStyle name="Normal 108" xfId="2906"/>
    <cellStyle name="Normal 109" xfId="2907"/>
    <cellStyle name="Normal 11" xfId="2908"/>
    <cellStyle name="Normal 11 10" xfId="2909"/>
    <cellStyle name="Normal 11 11" xfId="2910"/>
    <cellStyle name="Normal 11 12" xfId="2911"/>
    <cellStyle name="Normal 11 13" xfId="2912"/>
    <cellStyle name="Normal 11 14" xfId="2913"/>
    <cellStyle name="Normal 11 2" xfId="2914"/>
    <cellStyle name="Normal 11 2 10" xfId="2915"/>
    <cellStyle name="Normal 11 2 2" xfId="2916"/>
    <cellStyle name="Normal 11 2 2 2" xfId="2917"/>
    <cellStyle name="Normal 11 2 2 2 2" xfId="2918"/>
    <cellStyle name="Normal 11 2 2 3" xfId="2919"/>
    <cellStyle name="Normal 11 2 2 4" xfId="2920"/>
    <cellStyle name="Normal 11 2 2 5" xfId="2921"/>
    <cellStyle name="Normal 11 2 2 6" xfId="2922"/>
    <cellStyle name="Normal 11 2 2 7" xfId="2923"/>
    <cellStyle name="Normal 11 2 2 8" xfId="2924"/>
    <cellStyle name="Normal 11 2 2 9" xfId="2925"/>
    <cellStyle name="Normal 11 2 3" xfId="2926"/>
    <cellStyle name="Normal 11 2 4" xfId="2927"/>
    <cellStyle name="Normal 11 2 5" xfId="2928"/>
    <cellStyle name="Normal 11 2 6" xfId="2929"/>
    <cellStyle name="Normal 11 2 7" xfId="2930"/>
    <cellStyle name="Normal 11 2 8" xfId="2931"/>
    <cellStyle name="Normal 11 2 9" xfId="2932"/>
    <cellStyle name="Normal 11 3" xfId="2933"/>
    <cellStyle name="Normal 11 4" xfId="2934"/>
    <cellStyle name="Normal 11 5" xfId="2935"/>
    <cellStyle name="Normal 11 6" xfId="2936"/>
    <cellStyle name="Normal 11 6 2" xfId="2937"/>
    <cellStyle name="Normal 11 7" xfId="2938"/>
    <cellStyle name="Normal 11 8" xfId="2939"/>
    <cellStyle name="Normal 11 9" xfId="2940"/>
    <cellStyle name="Normal 110" xfId="2941"/>
    <cellStyle name="Normal 111" xfId="2942"/>
    <cellStyle name="Normal 112" xfId="2943"/>
    <cellStyle name="Normal 113" xfId="2944"/>
    <cellStyle name="Normal 114" xfId="2945"/>
    <cellStyle name="Normal 115" xfId="2946"/>
    <cellStyle name="Normal 116" xfId="2947"/>
    <cellStyle name="Normal 117" xfId="2948"/>
    <cellStyle name="Normal 118" xfId="2949"/>
    <cellStyle name="Normal 119" xfId="2950"/>
    <cellStyle name="Normal 12" xfId="2951"/>
    <cellStyle name="Normal 12 10" xfId="2952"/>
    <cellStyle name="Normal 12 10 2" xfId="7520"/>
    <cellStyle name="Normal 12 11" xfId="2953"/>
    <cellStyle name="Normal 12 12" xfId="2954"/>
    <cellStyle name="Normal 12 13" xfId="2955"/>
    <cellStyle name="Normal 12 14" xfId="2956"/>
    <cellStyle name="Normal 12 15" xfId="2957"/>
    <cellStyle name="Normal 12 16" xfId="2958"/>
    <cellStyle name="Normal 12 17" xfId="2959"/>
    <cellStyle name="Normal 12 18" xfId="2960"/>
    <cellStyle name="Normal 12 19" xfId="2961"/>
    <cellStyle name="Normal 12 2" xfId="2962"/>
    <cellStyle name="Normal 12 2 2" xfId="2963"/>
    <cellStyle name="Normal 12 2 2 2" xfId="2964"/>
    <cellStyle name="Normal 12 2 3" xfId="2965"/>
    <cellStyle name="Normal 12 20" xfId="2966"/>
    <cellStyle name="Normal 12 21" xfId="2967"/>
    <cellStyle name="Normal 12 22" xfId="2968"/>
    <cellStyle name="Normal 12 23" xfId="2969"/>
    <cellStyle name="Normal 12 24" xfId="2970"/>
    <cellStyle name="Normal 12 25" xfId="2971"/>
    <cellStyle name="Normal 12 26" xfId="2972"/>
    <cellStyle name="Normal 12 27" xfId="2973"/>
    <cellStyle name="Normal 12 28" xfId="2974"/>
    <cellStyle name="Normal 12 29" xfId="2975"/>
    <cellStyle name="Normal 12 3" xfId="2976"/>
    <cellStyle name="Normal 12 30" xfId="2977"/>
    <cellStyle name="Normal 12 31" xfId="2978"/>
    <cellStyle name="Normal 12 32" xfId="2979"/>
    <cellStyle name="Normal 12 33" xfId="2980"/>
    <cellStyle name="Normal 12 34" xfId="2981"/>
    <cellStyle name="Normal 12 35" xfId="2982"/>
    <cellStyle name="Normal 12 36" xfId="2983"/>
    <cellStyle name="Normal 12 37" xfId="2984"/>
    <cellStyle name="Normal 12 38" xfId="2985"/>
    <cellStyle name="Normal 12 39" xfId="2986"/>
    <cellStyle name="Normal 12 4" xfId="2987"/>
    <cellStyle name="Normal 12 40" xfId="2988"/>
    <cellStyle name="Normal 12 41" xfId="2989"/>
    <cellStyle name="Normal 12 42" xfId="2990"/>
    <cellStyle name="Normal 12 43" xfId="2991"/>
    <cellStyle name="Normal 12 44" xfId="2992"/>
    <cellStyle name="Normal 12 45" xfId="2993"/>
    <cellStyle name="Normal 12 46" xfId="2994"/>
    <cellStyle name="Normal 12 47" xfId="2995"/>
    <cellStyle name="Normal 12 48" xfId="2996"/>
    <cellStyle name="Normal 12 49" xfId="2997"/>
    <cellStyle name="Normal 12 5" xfId="2998"/>
    <cellStyle name="Normal 12 50" xfId="7536"/>
    <cellStyle name="Normal 12 6" xfId="2999"/>
    <cellStyle name="Normal 12 7" xfId="3000"/>
    <cellStyle name="Normal 12 8" xfId="3001"/>
    <cellStyle name="Normal 12 9" xfId="3002"/>
    <cellStyle name="Normal 120" xfId="3003"/>
    <cellStyle name="Normal 121" xfId="3004"/>
    <cellStyle name="Normal 122" xfId="3005"/>
    <cellStyle name="Normal 123" xfId="3006"/>
    <cellStyle name="Normal 124" xfId="3007"/>
    <cellStyle name="Normal 125" xfId="3008"/>
    <cellStyle name="Normal 126" xfId="3009"/>
    <cellStyle name="Normal 127" xfId="3010"/>
    <cellStyle name="Normal 128" xfId="3011"/>
    <cellStyle name="Normal 129" xfId="3012"/>
    <cellStyle name="Normal 13" xfId="3013"/>
    <cellStyle name="Normal 13 10" xfId="3014"/>
    <cellStyle name="Normal 13 11" xfId="3015"/>
    <cellStyle name="Normal 13 12" xfId="3016"/>
    <cellStyle name="Normal 13 13" xfId="3017"/>
    <cellStyle name="Normal 13 14" xfId="3018"/>
    <cellStyle name="Normal 13 15" xfId="3019"/>
    <cellStyle name="Normal 13 16" xfId="3020"/>
    <cellStyle name="Normal 13 17" xfId="3021"/>
    <cellStyle name="Normal 13 18" xfId="3022"/>
    <cellStyle name="Normal 13 19" xfId="3023"/>
    <cellStyle name="Normal 13 2" xfId="3024"/>
    <cellStyle name="Normal 13 2 2" xfId="3025"/>
    <cellStyle name="Normal 13 2 2 2" xfId="3026"/>
    <cellStyle name="Normal 13 2 3" xfId="3027"/>
    <cellStyle name="Normal 13 2 4" xfId="3028"/>
    <cellStyle name="Normal 13 2 5" xfId="3029"/>
    <cellStyle name="Normal 13 20" xfId="3030"/>
    <cellStyle name="Normal 13 21" xfId="3031"/>
    <cellStyle name="Normal 13 22" xfId="3032"/>
    <cellStyle name="Normal 13 3" xfId="3033"/>
    <cellStyle name="Normal 13 3 2" xfId="3034"/>
    <cellStyle name="Normal 13 4" xfId="3035"/>
    <cellStyle name="Normal 13 4 2" xfId="3036"/>
    <cellStyle name="Normal 13 4 2 2" xfId="3037"/>
    <cellStyle name="Normal 13 4 3" xfId="3038"/>
    <cellStyle name="Normal 13 5" xfId="3039"/>
    <cellStyle name="Normal 13 5 2" xfId="3040"/>
    <cellStyle name="Normal 13 6" xfId="3041"/>
    <cellStyle name="Normal 13 7" xfId="3042"/>
    <cellStyle name="Normal 13 8" xfId="3043"/>
    <cellStyle name="Normal 13 9" xfId="3044"/>
    <cellStyle name="Normal 130" xfId="3045"/>
    <cellStyle name="Normal 131" xfId="3046"/>
    <cellStyle name="Normal 131 2" xfId="3047"/>
    <cellStyle name="Normal 132" xfId="3048"/>
    <cellStyle name="Normal 133" xfId="3049"/>
    <cellStyle name="Normal 134" xfId="3050"/>
    <cellStyle name="Normal 134 2" xfId="3051"/>
    <cellStyle name="Normal 134 2 2" xfId="3052"/>
    <cellStyle name="Normal 135" xfId="3053"/>
    <cellStyle name="Normal 136" xfId="3054"/>
    <cellStyle name="Normal 137" xfId="3055"/>
    <cellStyle name="Normal 138" xfId="3056"/>
    <cellStyle name="Normal 139" xfId="3057"/>
    <cellStyle name="Normal 14" xfId="3058"/>
    <cellStyle name="Normal 14 10" xfId="3059"/>
    <cellStyle name="Normal 14 11" xfId="3060"/>
    <cellStyle name="Normal 14 2" xfId="3061"/>
    <cellStyle name="Normal 14 2 2" xfId="3062"/>
    <cellStyle name="Normal 14 2 3" xfId="3063"/>
    <cellStyle name="Normal 14 3" xfId="3064"/>
    <cellStyle name="Normal 14 3 2" xfId="3065"/>
    <cellStyle name="Normal 14 4" xfId="3066"/>
    <cellStyle name="Normal 14 4 2" xfId="3067"/>
    <cellStyle name="Normal 14 5" xfId="3068"/>
    <cellStyle name="Normal 14 6" xfId="3069"/>
    <cellStyle name="Normal 14 7" xfId="3070"/>
    <cellStyle name="Normal 14 8" xfId="3071"/>
    <cellStyle name="Normal 14 9" xfId="3072"/>
    <cellStyle name="Normal 140" xfId="3073"/>
    <cellStyle name="Normal 140 2" xfId="3074"/>
    <cellStyle name="Normal 141" xfId="3075"/>
    <cellStyle name="Normal 142" xfId="3076"/>
    <cellStyle name="Normal 143" xfId="3077"/>
    <cellStyle name="Normal 144" xfId="3078"/>
    <cellStyle name="Normal 145" xfId="3079"/>
    <cellStyle name="Normal 146" xfId="3080"/>
    <cellStyle name="Normal 147" xfId="3081"/>
    <cellStyle name="Normal 148" xfId="3082"/>
    <cellStyle name="Normal 149" xfId="3083"/>
    <cellStyle name="Normal 15" xfId="3084"/>
    <cellStyle name="Normal 15 2" xfId="3085"/>
    <cellStyle name="Normal 15 2 2" xfId="3086"/>
    <cellStyle name="Normal 15 3" xfId="3087"/>
    <cellStyle name="Normal 15 3 2" xfId="3088"/>
    <cellStyle name="Normal 15 4" xfId="3089"/>
    <cellStyle name="Normal 15 4 2" xfId="3090"/>
    <cellStyle name="Normal 15 5" xfId="3091"/>
    <cellStyle name="Normal 150" xfId="3092"/>
    <cellStyle name="Normal 151" xfId="3093"/>
    <cellStyle name="Normal 152" xfId="3094"/>
    <cellStyle name="Normal 153" xfId="3095"/>
    <cellStyle name="Normal 154" xfId="42"/>
    <cellStyle name="Normal 155" xfId="3096"/>
    <cellStyle name="Normal 156" xfId="3097"/>
    <cellStyle name="Normal 157" xfId="3098"/>
    <cellStyle name="Normal 158" xfId="3099"/>
    <cellStyle name="Normal 159" xfId="3100"/>
    <cellStyle name="Normal 16" xfId="3101"/>
    <cellStyle name="Normal 16 2" xfId="3102"/>
    <cellStyle name="Normal 16 2 2" xfId="3103"/>
    <cellStyle name="Normal 16 2 3" xfId="7516"/>
    <cellStyle name="Normal 16 3" xfId="3104"/>
    <cellStyle name="Normal 16 4" xfId="3105"/>
    <cellStyle name="Normal 16 5" xfId="3106"/>
    <cellStyle name="Normal 16 6" xfId="3107"/>
    <cellStyle name="Normal 16 7" xfId="3108"/>
    <cellStyle name="Normal 160" xfId="3109"/>
    <cellStyle name="Normal 161" xfId="3110"/>
    <cellStyle name="Normal 162" xfId="3111"/>
    <cellStyle name="Normal 163" xfId="3112"/>
    <cellStyle name="Normal 164" xfId="3113"/>
    <cellStyle name="Normal 165" xfId="3114"/>
    <cellStyle name="Normal 166" xfId="3115"/>
    <cellStyle name="Normal 167" xfId="3116"/>
    <cellStyle name="Normal 168" xfId="3117"/>
    <cellStyle name="Normal 169" xfId="3118"/>
    <cellStyle name="Normal 17" xfId="3119"/>
    <cellStyle name="Normal 17 2" xfId="3120"/>
    <cellStyle name="Normal 17 2 2" xfId="3121"/>
    <cellStyle name="Normal 17 3" xfId="3122"/>
    <cellStyle name="Normal 17 4" xfId="3123"/>
    <cellStyle name="Normal 17 4 2" xfId="3124"/>
    <cellStyle name="Normal 170" xfId="3125"/>
    <cellStyle name="Normal 171" xfId="3126"/>
    <cellStyle name="Normal 172" xfId="3127"/>
    <cellStyle name="Normal 173" xfId="3128"/>
    <cellStyle name="Normal 174" xfId="3129"/>
    <cellStyle name="Normal 175" xfId="3130"/>
    <cellStyle name="Normal 176" xfId="3131"/>
    <cellStyle name="Normal 177" xfId="3132"/>
    <cellStyle name="Normal 178" xfId="3133"/>
    <cellStyle name="Normal 179" xfId="3134"/>
    <cellStyle name="Normal 18" xfId="3135"/>
    <cellStyle name="Normal 18 2" xfId="3136"/>
    <cellStyle name="Normal 18 2 2" xfId="3137"/>
    <cellStyle name="Normal 18 3" xfId="3138"/>
    <cellStyle name="Normal 18 4" xfId="3139"/>
    <cellStyle name="Normal 18 5" xfId="3140"/>
    <cellStyle name="Normal 180" xfId="3141"/>
    <cellStyle name="Normal 181" xfId="3142"/>
    <cellStyle name="Normal 182" xfId="3143"/>
    <cellStyle name="Normal 183" xfId="3144"/>
    <cellStyle name="Normal 184" xfId="3145"/>
    <cellStyle name="Normal 185" xfId="3146"/>
    <cellStyle name="Normal 186" xfId="3147"/>
    <cellStyle name="Normal 187" xfId="3148"/>
    <cellStyle name="Normal 188" xfId="3149"/>
    <cellStyle name="Normal 189" xfId="3150"/>
    <cellStyle name="Normal 19" xfId="3151"/>
    <cellStyle name="Normal 19 2" xfId="3152"/>
    <cellStyle name="Normal 190" xfId="3153"/>
    <cellStyle name="Normal 191" xfId="3154"/>
    <cellStyle name="Normal 192" xfId="3155"/>
    <cellStyle name="Normal 193" xfId="7413"/>
    <cellStyle name="Normal 194" xfId="7415"/>
    <cellStyle name="Normal 194 2" xfId="7514"/>
    <cellStyle name="Normal 195" xfId="7423"/>
    <cellStyle name="Normal 195 2" xfId="7550"/>
    <cellStyle name="Normal 196" xfId="7428"/>
    <cellStyle name="Normal 197" xfId="7510"/>
    <cellStyle name="Normal 198" xfId="7524"/>
    <cellStyle name="Normal 199" xfId="7546"/>
    <cellStyle name="Normal 2" xfId="21"/>
    <cellStyle name="Normal 2 10" xfId="3156"/>
    <cellStyle name="Normal 2 10 2" xfId="3157"/>
    <cellStyle name="Normal 2 10 3" xfId="3158"/>
    <cellStyle name="Normal 2 10 4" xfId="3159"/>
    <cellStyle name="Normal 2 10 5" xfId="3160"/>
    <cellStyle name="Normal 2 10 6" xfId="7518"/>
    <cellStyle name="Normal 2 10 9" xfId="7535"/>
    <cellStyle name="Normal 2 100" xfId="3161"/>
    <cellStyle name="Normal 2 101" xfId="3162"/>
    <cellStyle name="Normal 2 102" xfId="3163"/>
    <cellStyle name="Normal 2 103" xfId="3164"/>
    <cellStyle name="Normal 2 104" xfId="3165"/>
    <cellStyle name="Normal 2 105" xfId="3166"/>
    <cellStyle name="Normal 2 106" xfId="3167"/>
    <cellStyle name="Normal 2 107" xfId="3168"/>
    <cellStyle name="Normal 2 108" xfId="3169"/>
    <cellStyle name="Normal 2 109" xfId="3170"/>
    <cellStyle name="Normal 2 11" xfId="3171"/>
    <cellStyle name="Normal 2 11 2" xfId="3172"/>
    <cellStyle name="Normal 2 11 3" xfId="3173"/>
    <cellStyle name="Normal 2 11 4" xfId="3174"/>
    <cellStyle name="Normal 2 110" xfId="3175"/>
    <cellStyle name="Normal 2 111" xfId="3176"/>
    <cellStyle name="Normal 2 112" xfId="3177"/>
    <cellStyle name="Normal 2 113" xfId="3178"/>
    <cellStyle name="Normal 2 114" xfId="3179"/>
    <cellStyle name="Normal 2 115" xfId="3180"/>
    <cellStyle name="Normal 2 116" xfId="3181"/>
    <cellStyle name="Normal 2 117" xfId="3182"/>
    <cellStyle name="Normal 2 118" xfId="3183"/>
    <cellStyle name="Normal 2 119" xfId="3184"/>
    <cellStyle name="Normal 2 12" xfId="3185"/>
    <cellStyle name="Normal 2 12 2" xfId="3186"/>
    <cellStyle name="Normal 2 120" xfId="3187"/>
    <cellStyle name="Normal 2 121" xfId="3188"/>
    <cellStyle name="Normal 2 122" xfId="3189"/>
    <cellStyle name="Normal 2 123" xfId="3190"/>
    <cellStyle name="Normal 2 124" xfId="3191"/>
    <cellStyle name="Normal 2 125" xfId="3192"/>
    <cellStyle name="Normal 2 126" xfId="3193"/>
    <cellStyle name="Normal 2 127" xfId="3194"/>
    <cellStyle name="Normal 2 128" xfId="3195"/>
    <cellStyle name="Normal 2 129" xfId="3196"/>
    <cellStyle name="Normal 2 13" xfId="3197"/>
    <cellStyle name="Normal 2 13 2" xfId="3198"/>
    <cellStyle name="Normal 2 130" xfId="3199"/>
    <cellStyle name="Normal 2 131" xfId="3200"/>
    <cellStyle name="Normal 2 132" xfId="3201"/>
    <cellStyle name="Normal 2 133" xfId="3202"/>
    <cellStyle name="Normal 2 134" xfId="3203"/>
    <cellStyle name="Normal 2 135" xfId="3204"/>
    <cellStyle name="Normal 2 136" xfId="3205"/>
    <cellStyle name="Normal 2 137" xfId="3206"/>
    <cellStyle name="Normal 2 138" xfId="3207"/>
    <cellStyle name="Normal 2 139" xfId="3208"/>
    <cellStyle name="Normal 2 14" xfId="3209"/>
    <cellStyle name="Normal 2 14 2" xfId="3210"/>
    <cellStyle name="Normal 2 140" xfId="3211"/>
    <cellStyle name="Normal 2 141" xfId="3212"/>
    <cellStyle name="Normal 2 142" xfId="3213"/>
    <cellStyle name="Normal 2 142 2" xfId="7522"/>
    <cellStyle name="Normal 2 143" xfId="7425"/>
    <cellStyle name="Normal 2 15" xfId="3214"/>
    <cellStyle name="Normal 2 15 2" xfId="3215"/>
    <cellStyle name="Normal 2 16" xfId="3216"/>
    <cellStyle name="Normal 2 16 2" xfId="3217"/>
    <cellStyle name="Normal 2 17" xfId="3218"/>
    <cellStyle name="Normal 2 17 2" xfId="3219"/>
    <cellStyle name="Normal 2 18" xfId="3220"/>
    <cellStyle name="Normal 2 18 2" xfId="3221"/>
    <cellStyle name="Normal 2 19" xfId="3222"/>
    <cellStyle name="Normal 2 19 2" xfId="3223"/>
    <cellStyle name="Normal 2 2" xfId="28"/>
    <cellStyle name="Normal 2 2 10" xfId="3224"/>
    <cellStyle name="Normal 2 2 10 2" xfId="3225"/>
    <cellStyle name="Normal 2 2 100" xfId="3226"/>
    <cellStyle name="Normal 2 2 101" xfId="3227"/>
    <cellStyle name="Normal 2 2 102" xfId="3228"/>
    <cellStyle name="Normal 2 2 103" xfId="3229"/>
    <cellStyle name="Normal 2 2 104" xfId="3230"/>
    <cellStyle name="Normal 2 2 105" xfId="3231"/>
    <cellStyle name="Normal 2 2 106" xfId="3232"/>
    <cellStyle name="Normal 2 2 107" xfId="3233"/>
    <cellStyle name="Normal 2 2 108" xfId="3234"/>
    <cellStyle name="Normal 2 2 109" xfId="3235"/>
    <cellStyle name="Normal 2 2 11" xfId="3236"/>
    <cellStyle name="Normal 2 2 11 2" xfId="3237"/>
    <cellStyle name="Normal 2 2 110" xfId="3238"/>
    <cellStyle name="Normal 2 2 111" xfId="3239"/>
    <cellStyle name="Normal 2 2 112" xfId="3240"/>
    <cellStyle name="Normal 2 2 113" xfId="3241"/>
    <cellStyle name="Normal 2 2 114" xfId="3242"/>
    <cellStyle name="Normal 2 2 115" xfId="3243"/>
    <cellStyle name="Normal 2 2 116" xfId="3244"/>
    <cellStyle name="Normal 2 2 117" xfId="3245"/>
    <cellStyle name="Normal 2 2 118" xfId="3246"/>
    <cellStyle name="Normal 2 2 119" xfId="3247"/>
    <cellStyle name="Normal 2 2 12" xfId="3248"/>
    <cellStyle name="Normal 2 2 12 2" xfId="3249"/>
    <cellStyle name="Normal 2 2 120" xfId="3250"/>
    <cellStyle name="Normal 2 2 121" xfId="3251"/>
    <cellStyle name="Normal 2 2 122" xfId="3252"/>
    <cellStyle name="Normal 2 2 123" xfId="3253"/>
    <cellStyle name="Normal 2 2 124" xfId="3254"/>
    <cellStyle name="Normal 2 2 125" xfId="3255"/>
    <cellStyle name="Normal 2 2 126" xfId="3256"/>
    <cellStyle name="Normal 2 2 127" xfId="3257"/>
    <cellStyle name="Normal 2 2 128" xfId="3258"/>
    <cellStyle name="Normal 2 2 129" xfId="3259"/>
    <cellStyle name="Normal 2 2 13" xfId="3260"/>
    <cellStyle name="Normal 2 2 13 2" xfId="3261"/>
    <cellStyle name="Normal 2 2 130" xfId="3262"/>
    <cellStyle name="Normal 2 2 131" xfId="3263"/>
    <cellStyle name="Normal 2 2 132" xfId="3264"/>
    <cellStyle name="Normal 2 2 133" xfId="3265"/>
    <cellStyle name="Normal 2 2 134" xfId="3266"/>
    <cellStyle name="Normal 2 2 135" xfId="3267"/>
    <cellStyle name="Normal 2 2 136" xfId="3268"/>
    <cellStyle name="Normal 2 2 137" xfId="3269"/>
    <cellStyle name="Normal 2 2 138" xfId="3270"/>
    <cellStyle name="Normal 2 2 139" xfId="3271"/>
    <cellStyle name="Normal 2 2 14" xfId="3272"/>
    <cellStyle name="Normal 2 2 14 2" xfId="3273"/>
    <cellStyle name="Normal 2 2 140" xfId="3274"/>
    <cellStyle name="Normal 2 2 141" xfId="3275"/>
    <cellStyle name="Normal 2 2 142" xfId="3276"/>
    <cellStyle name="Normal 2 2 143" xfId="3277"/>
    <cellStyle name="Normal 2 2 144" xfId="3278"/>
    <cellStyle name="Normal 2 2 145" xfId="3279"/>
    <cellStyle name="Normal 2 2 146" xfId="3280"/>
    <cellStyle name="Normal 2 2 147" xfId="3281"/>
    <cellStyle name="Normal 2 2 148" xfId="3282"/>
    <cellStyle name="Normal 2 2 149" xfId="3283"/>
    <cellStyle name="Normal 2 2 15" xfId="3284"/>
    <cellStyle name="Normal 2 2 15 2" xfId="3285"/>
    <cellStyle name="Normal 2 2 150" xfId="3286"/>
    <cellStyle name="Normal 2 2 151" xfId="3287"/>
    <cellStyle name="Normal 2 2 152" xfId="3288"/>
    <cellStyle name="Normal 2 2 153" xfId="3289"/>
    <cellStyle name="Normal 2 2 154" xfId="3290"/>
    <cellStyle name="Normal 2 2 155" xfId="7427"/>
    <cellStyle name="Normal 2 2 16" xfId="3291"/>
    <cellStyle name="Normal 2 2 16 2" xfId="3292"/>
    <cellStyle name="Normal 2 2 17" xfId="3293"/>
    <cellStyle name="Normal 2 2 17 2" xfId="3294"/>
    <cellStyle name="Normal 2 2 18" xfId="3295"/>
    <cellStyle name="Normal 2 2 18 2" xfId="3296"/>
    <cellStyle name="Normal 2 2 19" xfId="3297"/>
    <cellStyle name="Normal 2 2 19 2" xfId="3298"/>
    <cellStyle name="Normal 2 2 2" xfId="29"/>
    <cellStyle name="Normal 2 2 2 10" xfId="3299"/>
    <cellStyle name="Normal 2 2 2 10 2" xfId="3300"/>
    <cellStyle name="Normal 2 2 2 100" xfId="3301"/>
    <cellStyle name="Normal 2 2 2 101" xfId="3302"/>
    <cellStyle name="Normal 2 2 2 102" xfId="3303"/>
    <cellStyle name="Normal 2 2 2 103" xfId="3304"/>
    <cellStyle name="Normal 2 2 2 104" xfId="3305"/>
    <cellStyle name="Normal 2 2 2 105" xfId="3306"/>
    <cellStyle name="Normal 2 2 2 106" xfId="3307"/>
    <cellStyle name="Normal 2 2 2 107" xfId="3308"/>
    <cellStyle name="Normal 2 2 2 108" xfId="3309"/>
    <cellStyle name="Normal 2 2 2 109" xfId="3310"/>
    <cellStyle name="Normal 2 2 2 11" xfId="3311"/>
    <cellStyle name="Normal 2 2 2 11 2" xfId="3312"/>
    <cellStyle name="Normal 2 2 2 110" xfId="3313"/>
    <cellStyle name="Normal 2 2 2 111" xfId="3314"/>
    <cellStyle name="Normal 2 2 2 112" xfId="3315"/>
    <cellStyle name="Normal 2 2 2 113" xfId="3316"/>
    <cellStyle name="Normal 2 2 2 114" xfId="3317"/>
    <cellStyle name="Normal 2 2 2 115" xfId="3318"/>
    <cellStyle name="Normal 2 2 2 116" xfId="3319"/>
    <cellStyle name="Normal 2 2 2 117" xfId="3320"/>
    <cellStyle name="Normal 2 2 2 118" xfId="3321"/>
    <cellStyle name="Normal 2 2 2 119" xfId="3322"/>
    <cellStyle name="Normal 2 2 2 12" xfId="3323"/>
    <cellStyle name="Normal 2 2 2 12 2" xfId="3324"/>
    <cellStyle name="Normal 2 2 2 120" xfId="3325"/>
    <cellStyle name="Normal 2 2 2 121" xfId="3326"/>
    <cellStyle name="Normal 2 2 2 122" xfId="3327"/>
    <cellStyle name="Normal 2 2 2 123" xfId="3328"/>
    <cellStyle name="Normal 2 2 2 124" xfId="3329"/>
    <cellStyle name="Normal 2 2 2 125" xfId="3330"/>
    <cellStyle name="Normal 2 2 2 126" xfId="3331"/>
    <cellStyle name="Normal 2 2 2 127" xfId="3332"/>
    <cellStyle name="Normal 2 2 2 128" xfId="3333"/>
    <cellStyle name="Normal 2 2 2 129" xfId="3334"/>
    <cellStyle name="Normal 2 2 2 13" xfId="3335"/>
    <cellStyle name="Normal 2 2 2 13 2" xfId="3336"/>
    <cellStyle name="Normal 2 2 2 130" xfId="3337"/>
    <cellStyle name="Normal 2 2 2 131" xfId="3338"/>
    <cellStyle name="Normal 2 2 2 132" xfId="3339"/>
    <cellStyle name="Normal 2 2 2 133" xfId="3340"/>
    <cellStyle name="Normal 2 2 2 134" xfId="3341"/>
    <cellStyle name="Normal 2 2 2 135" xfId="3342"/>
    <cellStyle name="Normal 2 2 2 136" xfId="3343"/>
    <cellStyle name="Normal 2 2 2 137" xfId="3344"/>
    <cellStyle name="Normal 2 2 2 138" xfId="3345"/>
    <cellStyle name="Normal 2 2 2 139" xfId="3346"/>
    <cellStyle name="Normal 2 2 2 14" xfId="3347"/>
    <cellStyle name="Normal 2 2 2 14 2" xfId="3348"/>
    <cellStyle name="Normal 2 2 2 140" xfId="3349"/>
    <cellStyle name="Normal 2 2 2 141" xfId="3350"/>
    <cellStyle name="Normal 2 2 2 142" xfId="3351"/>
    <cellStyle name="Normal 2 2 2 143" xfId="3352"/>
    <cellStyle name="Normal 2 2 2 144" xfId="3353"/>
    <cellStyle name="Normal 2 2 2 145" xfId="3354"/>
    <cellStyle name="Normal 2 2 2 146" xfId="3355"/>
    <cellStyle name="Normal 2 2 2 147" xfId="3356"/>
    <cellStyle name="Normal 2 2 2 148" xfId="3357"/>
    <cellStyle name="Normal 2 2 2 149" xfId="3358"/>
    <cellStyle name="Normal 2 2 2 15" xfId="3359"/>
    <cellStyle name="Normal 2 2 2 15 2" xfId="3360"/>
    <cellStyle name="Normal 2 2 2 16" xfId="3361"/>
    <cellStyle name="Normal 2 2 2 16 2" xfId="3362"/>
    <cellStyle name="Normal 2 2 2 17" xfId="3363"/>
    <cellStyle name="Normal 2 2 2 17 2" xfId="3364"/>
    <cellStyle name="Normal 2 2 2 18" xfId="3365"/>
    <cellStyle name="Normal 2 2 2 18 2" xfId="3366"/>
    <cellStyle name="Normal 2 2 2 19" xfId="3367"/>
    <cellStyle name="Normal 2 2 2 19 2" xfId="3368"/>
    <cellStyle name="Normal 2 2 2 2" xfId="3369"/>
    <cellStyle name="Normal 2 2 2 2 10" xfId="3370"/>
    <cellStyle name="Normal 2 2 2 2 10 2" xfId="3371"/>
    <cellStyle name="Normal 2 2 2 2 100" xfId="3372"/>
    <cellStyle name="Normal 2 2 2 2 101" xfId="3373"/>
    <cellStyle name="Normal 2 2 2 2 102" xfId="3374"/>
    <cellStyle name="Normal 2 2 2 2 103" xfId="3375"/>
    <cellStyle name="Normal 2 2 2 2 104" xfId="3376"/>
    <cellStyle name="Normal 2 2 2 2 105" xfId="3377"/>
    <cellStyle name="Normal 2 2 2 2 106" xfId="3378"/>
    <cellStyle name="Normal 2 2 2 2 107" xfId="3379"/>
    <cellStyle name="Normal 2 2 2 2 108" xfId="3380"/>
    <cellStyle name="Normal 2 2 2 2 109" xfId="3381"/>
    <cellStyle name="Normal 2 2 2 2 11" xfId="3382"/>
    <cellStyle name="Normal 2 2 2 2 11 2" xfId="3383"/>
    <cellStyle name="Normal 2 2 2 2 110" xfId="3384"/>
    <cellStyle name="Normal 2 2 2 2 111" xfId="3385"/>
    <cellStyle name="Normal 2 2 2 2 112" xfId="3386"/>
    <cellStyle name="Normal 2 2 2 2 113" xfId="3387"/>
    <cellStyle name="Normal 2 2 2 2 114" xfId="3388"/>
    <cellStyle name="Normal 2 2 2 2 115" xfId="3389"/>
    <cellStyle name="Normal 2 2 2 2 116" xfId="3390"/>
    <cellStyle name="Normal 2 2 2 2 117" xfId="3391"/>
    <cellStyle name="Normal 2 2 2 2 118" xfId="3392"/>
    <cellStyle name="Normal 2 2 2 2 119" xfId="3393"/>
    <cellStyle name="Normal 2 2 2 2 12" xfId="3394"/>
    <cellStyle name="Normal 2 2 2 2 12 2" xfId="3395"/>
    <cellStyle name="Normal 2 2 2 2 120" xfId="3396"/>
    <cellStyle name="Normal 2 2 2 2 121" xfId="3397"/>
    <cellStyle name="Normal 2 2 2 2 122" xfId="3398"/>
    <cellStyle name="Normal 2 2 2 2 123" xfId="3399"/>
    <cellStyle name="Normal 2 2 2 2 124" xfId="3400"/>
    <cellStyle name="Normal 2 2 2 2 125" xfId="3401"/>
    <cellStyle name="Normal 2 2 2 2 126" xfId="3402"/>
    <cellStyle name="Normal 2 2 2 2 127" xfId="3403"/>
    <cellStyle name="Normal 2 2 2 2 128" xfId="3404"/>
    <cellStyle name="Normal 2 2 2 2 129" xfId="3405"/>
    <cellStyle name="Normal 2 2 2 2 13" xfId="3406"/>
    <cellStyle name="Normal 2 2 2 2 13 2" xfId="3407"/>
    <cellStyle name="Normal 2 2 2 2 130" xfId="3408"/>
    <cellStyle name="Normal 2 2 2 2 131" xfId="3409"/>
    <cellStyle name="Normal 2 2 2 2 132" xfId="3410"/>
    <cellStyle name="Normal 2 2 2 2 133" xfId="3411"/>
    <cellStyle name="Normal 2 2 2 2 134" xfId="3412"/>
    <cellStyle name="Normal 2 2 2 2 135" xfId="3413"/>
    <cellStyle name="Normal 2 2 2 2 136" xfId="3414"/>
    <cellStyle name="Normal 2 2 2 2 137" xfId="3415"/>
    <cellStyle name="Normal 2 2 2 2 138" xfId="3416"/>
    <cellStyle name="Normal 2 2 2 2 139" xfId="3417"/>
    <cellStyle name="Normal 2 2 2 2 14" xfId="3418"/>
    <cellStyle name="Normal 2 2 2 2 14 2" xfId="3419"/>
    <cellStyle name="Normal 2 2 2 2 140" xfId="3420"/>
    <cellStyle name="Normal 2 2 2 2 141" xfId="3421"/>
    <cellStyle name="Normal 2 2 2 2 142" xfId="3422"/>
    <cellStyle name="Normal 2 2 2 2 143" xfId="3423"/>
    <cellStyle name="Normal 2 2 2 2 144" xfId="3424"/>
    <cellStyle name="Normal 2 2 2 2 145" xfId="7490"/>
    <cellStyle name="Normal 2 2 2 2 15" xfId="3425"/>
    <cellStyle name="Normal 2 2 2 2 15 2" xfId="3426"/>
    <cellStyle name="Normal 2 2 2 2 16" xfId="3427"/>
    <cellStyle name="Normal 2 2 2 2 16 2" xfId="3428"/>
    <cellStyle name="Normal 2 2 2 2 17" xfId="3429"/>
    <cellStyle name="Normal 2 2 2 2 17 2" xfId="3430"/>
    <cellStyle name="Normal 2 2 2 2 18" xfId="3431"/>
    <cellStyle name="Normal 2 2 2 2 18 2" xfId="3432"/>
    <cellStyle name="Normal 2 2 2 2 19" xfId="3433"/>
    <cellStyle name="Normal 2 2 2 2 19 2" xfId="3434"/>
    <cellStyle name="Normal 2 2 2 2 2" xfId="3435"/>
    <cellStyle name="Normal 2 2 2 2 2 2" xfId="3436"/>
    <cellStyle name="Normal 2 2 2 2 2 3" xfId="3437"/>
    <cellStyle name="Normal 2 2 2 2 2 4" xfId="3438"/>
    <cellStyle name="Normal 2 2 2 2 2 5" xfId="7491"/>
    <cellStyle name="Normal 2 2 2 2 20" xfId="3439"/>
    <cellStyle name="Normal 2 2 2 2 20 2" xfId="3440"/>
    <cellStyle name="Normal 2 2 2 2 21" xfId="3441"/>
    <cellStyle name="Normal 2 2 2 2 21 2" xfId="3442"/>
    <cellStyle name="Normal 2 2 2 2 22" xfId="3443"/>
    <cellStyle name="Normal 2 2 2 2 22 2" xfId="3444"/>
    <cellStyle name="Normal 2 2 2 2 23" xfId="3445"/>
    <cellStyle name="Normal 2 2 2 2 23 2" xfId="3446"/>
    <cellStyle name="Normal 2 2 2 2 24" xfId="3447"/>
    <cellStyle name="Normal 2 2 2 2 24 2" xfId="3448"/>
    <cellStyle name="Normal 2 2 2 2 25" xfId="3449"/>
    <cellStyle name="Normal 2 2 2 2 25 2" xfId="3450"/>
    <cellStyle name="Normal 2 2 2 2 26" xfId="3451"/>
    <cellStyle name="Normal 2 2 2 2 26 2" xfId="3452"/>
    <cellStyle name="Normal 2 2 2 2 27" xfId="3453"/>
    <cellStyle name="Normal 2 2 2 2 27 2" xfId="3454"/>
    <cellStyle name="Normal 2 2 2 2 28" xfId="3455"/>
    <cellStyle name="Normal 2 2 2 2 28 2" xfId="3456"/>
    <cellStyle name="Normal 2 2 2 2 29" xfId="3457"/>
    <cellStyle name="Normal 2 2 2 2 29 2" xfId="3458"/>
    <cellStyle name="Normal 2 2 2 2 3" xfId="3459"/>
    <cellStyle name="Normal 2 2 2 2 3 2" xfId="3460"/>
    <cellStyle name="Normal 2 2 2 2 3 2 2" xfId="3461"/>
    <cellStyle name="Normal 2 2 2 2 3 3" xfId="3462"/>
    <cellStyle name="Normal 2 2 2 2 3 4" xfId="3463"/>
    <cellStyle name="Normal 2 2 2 2 3 5" xfId="3464"/>
    <cellStyle name="Normal 2 2 2 2 3 6" xfId="3465"/>
    <cellStyle name="Normal 2 2 2 2 3 7" xfId="3466"/>
    <cellStyle name="Normal 2 2 2 2 3 8" xfId="3467"/>
    <cellStyle name="Normal 2 2 2 2 3 9" xfId="3468"/>
    <cellStyle name="Normal 2 2 2 2 30" xfId="3469"/>
    <cellStyle name="Normal 2 2 2 2 30 2" xfId="3470"/>
    <cellStyle name="Normal 2 2 2 2 31" xfId="3471"/>
    <cellStyle name="Normal 2 2 2 2 31 2" xfId="3472"/>
    <cellStyle name="Normal 2 2 2 2 32" xfId="3473"/>
    <cellStyle name="Normal 2 2 2 2 32 2" xfId="3474"/>
    <cellStyle name="Normal 2 2 2 2 33" xfId="3475"/>
    <cellStyle name="Normal 2 2 2 2 33 2" xfId="3476"/>
    <cellStyle name="Normal 2 2 2 2 34" xfId="3477"/>
    <cellStyle name="Normal 2 2 2 2 34 2" xfId="3478"/>
    <cellStyle name="Normal 2 2 2 2 35" xfId="3479"/>
    <cellStyle name="Normal 2 2 2 2 35 2" xfId="3480"/>
    <cellStyle name="Normal 2 2 2 2 36" xfId="3481"/>
    <cellStyle name="Normal 2 2 2 2 36 2" xfId="3482"/>
    <cellStyle name="Normal 2 2 2 2 37" xfId="3483"/>
    <cellStyle name="Normal 2 2 2 2 37 2" xfId="3484"/>
    <cellStyle name="Normal 2 2 2 2 38" xfId="3485"/>
    <cellStyle name="Normal 2 2 2 2 38 2" xfId="3486"/>
    <cellStyle name="Normal 2 2 2 2 39" xfId="3487"/>
    <cellStyle name="Normal 2 2 2 2 39 2" xfId="3488"/>
    <cellStyle name="Normal 2 2 2 2 4" xfId="3489"/>
    <cellStyle name="Normal 2 2 2 2 4 2" xfId="3490"/>
    <cellStyle name="Normal 2 2 2 2 40" xfId="3491"/>
    <cellStyle name="Normal 2 2 2 2 40 2" xfId="3492"/>
    <cellStyle name="Normal 2 2 2 2 41" xfId="3493"/>
    <cellStyle name="Normal 2 2 2 2 41 2" xfId="3494"/>
    <cellStyle name="Normal 2 2 2 2 42" xfId="3495"/>
    <cellStyle name="Normal 2 2 2 2 42 2" xfId="3496"/>
    <cellStyle name="Normal 2 2 2 2 43" xfId="3497"/>
    <cellStyle name="Normal 2 2 2 2 43 2" xfId="3498"/>
    <cellStyle name="Normal 2 2 2 2 44" xfId="3499"/>
    <cellStyle name="Normal 2 2 2 2 44 2" xfId="3500"/>
    <cellStyle name="Normal 2 2 2 2 45" xfId="3501"/>
    <cellStyle name="Normal 2 2 2 2 45 2" xfId="3502"/>
    <cellStyle name="Normal 2 2 2 2 46" xfId="3503"/>
    <cellStyle name="Normal 2 2 2 2 46 2" xfId="3504"/>
    <cellStyle name="Normal 2 2 2 2 47" xfId="3505"/>
    <cellStyle name="Normal 2 2 2 2 47 2" xfId="3506"/>
    <cellStyle name="Normal 2 2 2 2 48" xfId="3507"/>
    <cellStyle name="Normal 2 2 2 2 48 2" xfId="3508"/>
    <cellStyle name="Normal 2 2 2 2 49" xfId="3509"/>
    <cellStyle name="Normal 2 2 2 2 49 2" xfId="3510"/>
    <cellStyle name="Normal 2 2 2 2 5" xfId="3511"/>
    <cellStyle name="Normal 2 2 2 2 5 2" xfId="3512"/>
    <cellStyle name="Normal 2 2 2 2 50" xfId="3513"/>
    <cellStyle name="Normal 2 2 2 2 50 2" xfId="3514"/>
    <cellStyle name="Normal 2 2 2 2 51" xfId="3515"/>
    <cellStyle name="Normal 2 2 2 2 51 2" xfId="3516"/>
    <cellStyle name="Normal 2 2 2 2 52" xfId="3517"/>
    <cellStyle name="Normal 2 2 2 2 52 2" xfId="3518"/>
    <cellStyle name="Normal 2 2 2 2 53" xfId="3519"/>
    <cellStyle name="Normal 2 2 2 2 53 2" xfId="3520"/>
    <cellStyle name="Normal 2 2 2 2 54" xfId="3521"/>
    <cellStyle name="Normal 2 2 2 2 54 2" xfId="3522"/>
    <cellStyle name="Normal 2 2 2 2 55" xfId="3523"/>
    <cellStyle name="Normal 2 2 2 2 55 2" xfId="3524"/>
    <cellStyle name="Normal 2 2 2 2 56" xfId="3525"/>
    <cellStyle name="Normal 2 2 2 2 56 2" xfId="3526"/>
    <cellStyle name="Normal 2 2 2 2 57" xfId="3527"/>
    <cellStyle name="Normal 2 2 2 2 57 2" xfId="3528"/>
    <cellStyle name="Normal 2 2 2 2 58" xfId="3529"/>
    <cellStyle name="Normal 2 2 2 2 58 2" xfId="3530"/>
    <cellStyle name="Normal 2 2 2 2 59" xfId="3531"/>
    <cellStyle name="Normal 2 2 2 2 59 2" xfId="3532"/>
    <cellStyle name="Normal 2 2 2 2 6" xfId="3533"/>
    <cellStyle name="Normal 2 2 2 2 6 2" xfId="3534"/>
    <cellStyle name="Normal 2 2 2 2 60" xfId="3535"/>
    <cellStyle name="Normal 2 2 2 2 60 2" xfId="3536"/>
    <cellStyle name="Normal 2 2 2 2 61" xfId="3537"/>
    <cellStyle name="Normal 2 2 2 2 61 2" xfId="3538"/>
    <cellStyle name="Normal 2 2 2 2 62" xfId="3539"/>
    <cellStyle name="Normal 2 2 2 2 63" xfId="3540"/>
    <cellStyle name="Normal 2 2 2 2 63 2" xfId="3541"/>
    <cellStyle name="Normal 2 2 2 2 64" xfId="3542"/>
    <cellStyle name="Normal 2 2 2 2 65" xfId="3543"/>
    <cellStyle name="Normal 2 2 2 2 66" xfId="3544"/>
    <cellStyle name="Normal 2 2 2 2 67" xfId="3545"/>
    <cellStyle name="Normal 2 2 2 2 68" xfId="3546"/>
    <cellStyle name="Normal 2 2 2 2 69" xfId="3547"/>
    <cellStyle name="Normal 2 2 2 2 7" xfId="3548"/>
    <cellStyle name="Normal 2 2 2 2 7 2" xfId="3549"/>
    <cellStyle name="Normal 2 2 2 2 70" xfId="3550"/>
    <cellStyle name="Normal 2 2 2 2 71" xfId="3551"/>
    <cellStyle name="Normal 2 2 2 2 72" xfId="3552"/>
    <cellStyle name="Normal 2 2 2 2 73" xfId="3553"/>
    <cellStyle name="Normal 2 2 2 2 74" xfId="3554"/>
    <cellStyle name="Normal 2 2 2 2 75" xfId="3555"/>
    <cellStyle name="Normal 2 2 2 2 76" xfId="3556"/>
    <cellStyle name="Normal 2 2 2 2 77" xfId="3557"/>
    <cellStyle name="Normal 2 2 2 2 78" xfId="3558"/>
    <cellStyle name="Normal 2 2 2 2 79" xfId="3559"/>
    <cellStyle name="Normal 2 2 2 2 8" xfId="3560"/>
    <cellStyle name="Normal 2 2 2 2 8 2" xfId="3561"/>
    <cellStyle name="Normal 2 2 2 2 80" xfId="3562"/>
    <cellStyle name="Normal 2 2 2 2 81" xfId="3563"/>
    <cellStyle name="Normal 2 2 2 2 82" xfId="3564"/>
    <cellStyle name="Normal 2 2 2 2 83" xfId="3565"/>
    <cellStyle name="Normal 2 2 2 2 84" xfId="3566"/>
    <cellStyle name="Normal 2 2 2 2 85" xfId="3567"/>
    <cellStyle name="Normal 2 2 2 2 86" xfId="3568"/>
    <cellStyle name="Normal 2 2 2 2 87" xfId="3569"/>
    <cellStyle name="Normal 2 2 2 2 88" xfId="3570"/>
    <cellStyle name="Normal 2 2 2 2 89" xfId="3571"/>
    <cellStyle name="Normal 2 2 2 2 9" xfId="3572"/>
    <cellStyle name="Normal 2 2 2 2 9 2" xfId="3573"/>
    <cellStyle name="Normal 2 2 2 2 90" xfId="3574"/>
    <cellStyle name="Normal 2 2 2 2 91" xfId="3575"/>
    <cellStyle name="Normal 2 2 2 2 92" xfId="3576"/>
    <cellStyle name="Normal 2 2 2 2 92 2" xfId="3577"/>
    <cellStyle name="Normal 2 2 2 2 93" xfId="3578"/>
    <cellStyle name="Normal 2 2 2 2 94" xfId="3579"/>
    <cellStyle name="Normal 2 2 2 2 95" xfId="3580"/>
    <cellStyle name="Normal 2 2 2 2 96" xfId="3581"/>
    <cellStyle name="Normal 2 2 2 2 97" xfId="3582"/>
    <cellStyle name="Normal 2 2 2 2 98" xfId="3583"/>
    <cellStyle name="Normal 2 2 2 2 99" xfId="3584"/>
    <cellStyle name="Normal 2 2 2 20" xfId="3585"/>
    <cellStyle name="Normal 2 2 2 20 2" xfId="3586"/>
    <cellStyle name="Normal 2 2 2 21" xfId="3587"/>
    <cellStyle name="Normal 2 2 2 21 2" xfId="3588"/>
    <cellStyle name="Normal 2 2 2 22" xfId="3589"/>
    <cellStyle name="Normal 2 2 2 22 2" xfId="3590"/>
    <cellStyle name="Normal 2 2 2 23" xfId="3591"/>
    <cellStyle name="Normal 2 2 2 23 2" xfId="3592"/>
    <cellStyle name="Normal 2 2 2 24" xfId="3593"/>
    <cellStyle name="Normal 2 2 2 24 2" xfId="3594"/>
    <cellStyle name="Normal 2 2 2 25" xfId="3595"/>
    <cellStyle name="Normal 2 2 2 25 2" xfId="3596"/>
    <cellStyle name="Normal 2 2 2 26" xfId="3597"/>
    <cellStyle name="Normal 2 2 2 26 2" xfId="3598"/>
    <cellStyle name="Normal 2 2 2 27" xfId="3599"/>
    <cellStyle name="Normal 2 2 2 27 2" xfId="3600"/>
    <cellStyle name="Normal 2 2 2 28" xfId="3601"/>
    <cellStyle name="Normal 2 2 2 28 2" xfId="3602"/>
    <cellStyle name="Normal 2 2 2 29" xfId="3603"/>
    <cellStyle name="Normal 2 2 2 29 2" xfId="3604"/>
    <cellStyle name="Normal 2 2 2 3" xfId="3605"/>
    <cellStyle name="Normal 2 2 2 3 2" xfId="3606"/>
    <cellStyle name="Normal 2 2 2 3 3" xfId="3607"/>
    <cellStyle name="Normal 2 2 2 3 4" xfId="3608"/>
    <cellStyle name="Normal 2 2 2 3 5" xfId="7492"/>
    <cellStyle name="Normal 2 2 2 30" xfId="3609"/>
    <cellStyle name="Normal 2 2 2 30 2" xfId="3610"/>
    <cellStyle name="Normal 2 2 2 31" xfId="3611"/>
    <cellStyle name="Normal 2 2 2 31 2" xfId="3612"/>
    <cellStyle name="Normal 2 2 2 32" xfId="3613"/>
    <cellStyle name="Normal 2 2 2 32 2" xfId="3614"/>
    <cellStyle name="Normal 2 2 2 33" xfId="3615"/>
    <cellStyle name="Normal 2 2 2 33 2" xfId="3616"/>
    <cellStyle name="Normal 2 2 2 34" xfId="3617"/>
    <cellStyle name="Normal 2 2 2 34 2" xfId="3618"/>
    <cellStyle name="Normal 2 2 2 35" xfId="3619"/>
    <cellStyle name="Normal 2 2 2 35 2" xfId="3620"/>
    <cellStyle name="Normal 2 2 2 36" xfId="3621"/>
    <cellStyle name="Normal 2 2 2 36 2" xfId="3622"/>
    <cellStyle name="Normal 2 2 2 37" xfId="3623"/>
    <cellStyle name="Normal 2 2 2 37 2" xfId="3624"/>
    <cellStyle name="Normal 2 2 2 38" xfId="3625"/>
    <cellStyle name="Normal 2 2 2 38 2" xfId="3626"/>
    <cellStyle name="Normal 2 2 2 39" xfId="3627"/>
    <cellStyle name="Normal 2 2 2 39 2" xfId="3628"/>
    <cellStyle name="Normal 2 2 2 4" xfId="3629"/>
    <cellStyle name="Normal 2 2 2 4 2" xfId="3630"/>
    <cellStyle name="Normal 2 2 2 4 3" xfId="3631"/>
    <cellStyle name="Normal 2 2 2 4 4" xfId="3632"/>
    <cellStyle name="Normal 2 2 2 4 5" xfId="7493"/>
    <cellStyle name="Normal 2 2 2 40" xfId="3633"/>
    <cellStyle name="Normal 2 2 2 40 2" xfId="3634"/>
    <cellStyle name="Normal 2 2 2 41" xfId="3635"/>
    <cellStyle name="Normal 2 2 2 41 2" xfId="3636"/>
    <cellStyle name="Normal 2 2 2 42" xfId="3637"/>
    <cellStyle name="Normal 2 2 2 42 2" xfId="3638"/>
    <cellStyle name="Normal 2 2 2 43" xfId="3639"/>
    <cellStyle name="Normal 2 2 2 43 2" xfId="3640"/>
    <cellStyle name="Normal 2 2 2 44" xfId="3641"/>
    <cellStyle name="Normal 2 2 2 44 2" xfId="3642"/>
    <cellStyle name="Normal 2 2 2 45" xfId="3643"/>
    <cellStyle name="Normal 2 2 2 45 2" xfId="3644"/>
    <cellStyle name="Normal 2 2 2 46" xfId="3645"/>
    <cellStyle name="Normal 2 2 2 46 2" xfId="3646"/>
    <cellStyle name="Normal 2 2 2 47" xfId="3647"/>
    <cellStyle name="Normal 2 2 2 47 2" xfId="3648"/>
    <cellStyle name="Normal 2 2 2 48" xfId="3649"/>
    <cellStyle name="Normal 2 2 2 48 2" xfId="3650"/>
    <cellStyle name="Normal 2 2 2 49" xfId="3651"/>
    <cellStyle name="Normal 2 2 2 49 2" xfId="3652"/>
    <cellStyle name="Normal 2 2 2 5" xfId="3653"/>
    <cellStyle name="Normal 2 2 2 5 10" xfId="3654"/>
    <cellStyle name="Normal 2 2 2 5 11" xfId="3655"/>
    <cellStyle name="Normal 2 2 2 5 12" xfId="3656"/>
    <cellStyle name="Normal 2 2 2 5 13" xfId="3657"/>
    <cellStyle name="Normal 2 2 2 5 14" xfId="3658"/>
    <cellStyle name="Normal 2 2 2 5 15" xfId="3659"/>
    <cellStyle name="Normal 2 2 2 5 16" xfId="3660"/>
    <cellStyle name="Normal 2 2 2 5 17" xfId="3661"/>
    <cellStyle name="Normal 2 2 2 5 18" xfId="3662"/>
    <cellStyle name="Normal 2 2 2 5 19" xfId="3663"/>
    <cellStyle name="Normal 2 2 2 5 2" xfId="3664"/>
    <cellStyle name="Normal 2 2 2 5 2 2" xfId="3665"/>
    <cellStyle name="Normal 2 2 2 5 2 2 2" xfId="3666"/>
    <cellStyle name="Normal 2 2 2 5 2 2 2 2" xfId="3667"/>
    <cellStyle name="Normal 2 2 2 5 2 2 3" xfId="3668"/>
    <cellStyle name="Normal 2 2 2 5 2 3" xfId="3669"/>
    <cellStyle name="Normal 2 2 2 5 2 3 2" xfId="3670"/>
    <cellStyle name="Normal 2 2 2 5 2 3 2 2" xfId="3671"/>
    <cellStyle name="Normal 2 2 2 5 2 3 3" xfId="3672"/>
    <cellStyle name="Normal 2 2 2 5 2 4" xfId="3673"/>
    <cellStyle name="Normal 2 2 2 5 2 4 2" xfId="3674"/>
    <cellStyle name="Normal 2 2 2 5 2 4 2 2" xfId="3675"/>
    <cellStyle name="Normal 2 2 2 5 2 4 3" xfId="3676"/>
    <cellStyle name="Normal 2 2 2 5 2 5" xfId="3677"/>
    <cellStyle name="Normal 2 2 2 5 2 5 2" xfId="3678"/>
    <cellStyle name="Normal 2 2 2 5 2 5 2 2" xfId="3679"/>
    <cellStyle name="Normal 2 2 2 5 2 5 3" xfId="3680"/>
    <cellStyle name="Normal 2 2 2 5 2 6" xfId="3681"/>
    <cellStyle name="Normal 2 2 2 5 2 6 2" xfId="3682"/>
    <cellStyle name="Normal 2 2 2 5 2 7" xfId="3683"/>
    <cellStyle name="Normal 2 2 2 5 20" xfId="3684"/>
    <cellStyle name="Normal 2 2 2 5 21" xfId="3685"/>
    <cellStyle name="Normal 2 2 2 5 22" xfId="3686"/>
    <cellStyle name="Normal 2 2 2 5 23" xfId="3687"/>
    <cellStyle name="Normal 2 2 2 5 24" xfId="3688"/>
    <cellStyle name="Normal 2 2 2 5 25" xfId="3689"/>
    <cellStyle name="Normal 2 2 2 5 26" xfId="3690"/>
    <cellStyle name="Normal 2 2 2 5 27" xfId="3691"/>
    <cellStyle name="Normal 2 2 2 5 28" xfId="3692"/>
    <cellStyle name="Normal 2 2 2 5 29" xfId="3693"/>
    <cellStyle name="Normal 2 2 2 5 3" xfId="3694"/>
    <cellStyle name="Normal 2 2 2 5 3 2" xfId="3695"/>
    <cellStyle name="Normal 2 2 2 5 30" xfId="3696"/>
    <cellStyle name="Normal 2 2 2 5 31" xfId="3697"/>
    <cellStyle name="Normal 2 2 2 5 32" xfId="3698"/>
    <cellStyle name="Normal 2 2 2 5 33" xfId="3699"/>
    <cellStyle name="Normal 2 2 2 5 34" xfId="3700"/>
    <cellStyle name="Normal 2 2 2 5 35" xfId="3701"/>
    <cellStyle name="Normal 2 2 2 5 36" xfId="3702"/>
    <cellStyle name="Normal 2 2 2 5 37" xfId="3703"/>
    <cellStyle name="Normal 2 2 2 5 38" xfId="3704"/>
    <cellStyle name="Normal 2 2 2 5 39" xfId="3705"/>
    <cellStyle name="Normal 2 2 2 5 4" xfId="3706"/>
    <cellStyle name="Normal 2 2 2 5 4 2" xfId="3707"/>
    <cellStyle name="Normal 2 2 2 5 40" xfId="3708"/>
    <cellStyle name="Normal 2 2 2 5 41" xfId="3709"/>
    <cellStyle name="Normal 2 2 2 5 42" xfId="3710"/>
    <cellStyle name="Normal 2 2 2 5 5" xfId="3711"/>
    <cellStyle name="Normal 2 2 2 5 5 2" xfId="3712"/>
    <cellStyle name="Normal 2 2 2 5 6" xfId="3713"/>
    <cellStyle name="Normal 2 2 2 5 6 2" xfId="3714"/>
    <cellStyle name="Normal 2 2 2 5 7" xfId="3715"/>
    <cellStyle name="Normal 2 2 2 5 8" xfId="3716"/>
    <cellStyle name="Normal 2 2 2 5 8 2" xfId="3717"/>
    <cellStyle name="Normal 2 2 2 5 9" xfId="3718"/>
    <cellStyle name="Normal 2 2 2 50" xfId="3719"/>
    <cellStyle name="Normal 2 2 2 50 2" xfId="3720"/>
    <cellStyle name="Normal 2 2 2 51" xfId="3721"/>
    <cellStyle name="Normal 2 2 2 51 2" xfId="3722"/>
    <cellStyle name="Normal 2 2 2 52" xfId="3723"/>
    <cellStyle name="Normal 2 2 2 52 2" xfId="3724"/>
    <cellStyle name="Normal 2 2 2 53" xfId="3725"/>
    <cellStyle name="Normal 2 2 2 53 2" xfId="3726"/>
    <cellStyle name="Normal 2 2 2 54" xfId="3727"/>
    <cellStyle name="Normal 2 2 2 54 2" xfId="3728"/>
    <cellStyle name="Normal 2 2 2 55" xfId="3729"/>
    <cellStyle name="Normal 2 2 2 55 2" xfId="3730"/>
    <cellStyle name="Normal 2 2 2 56" xfId="3731"/>
    <cellStyle name="Normal 2 2 2 56 2" xfId="3732"/>
    <cellStyle name="Normal 2 2 2 57" xfId="3733"/>
    <cellStyle name="Normal 2 2 2 57 2" xfId="3734"/>
    <cellStyle name="Normal 2 2 2 58" xfId="3735"/>
    <cellStyle name="Normal 2 2 2 58 2" xfId="3736"/>
    <cellStyle name="Normal 2 2 2 59" xfId="3737"/>
    <cellStyle name="Normal 2 2 2 59 2" xfId="3738"/>
    <cellStyle name="Normal 2 2 2 6" xfId="3739"/>
    <cellStyle name="Normal 2 2 2 6 10" xfId="3740"/>
    <cellStyle name="Normal 2 2 2 6 11" xfId="3741"/>
    <cellStyle name="Normal 2 2 2 6 12" xfId="3742"/>
    <cellStyle name="Normal 2 2 2 6 13" xfId="3743"/>
    <cellStyle name="Normal 2 2 2 6 14" xfId="3744"/>
    <cellStyle name="Normal 2 2 2 6 15" xfId="3745"/>
    <cellStyle name="Normal 2 2 2 6 16" xfId="3746"/>
    <cellStyle name="Normal 2 2 2 6 17" xfId="3747"/>
    <cellStyle name="Normal 2 2 2 6 18" xfId="3748"/>
    <cellStyle name="Normal 2 2 2 6 19" xfId="3749"/>
    <cellStyle name="Normal 2 2 2 6 2" xfId="3750"/>
    <cellStyle name="Normal 2 2 2 6 2 2" xfId="3751"/>
    <cellStyle name="Normal 2 2 2 6 20" xfId="3752"/>
    <cellStyle name="Normal 2 2 2 6 21" xfId="3753"/>
    <cellStyle name="Normal 2 2 2 6 22" xfId="3754"/>
    <cellStyle name="Normal 2 2 2 6 3" xfId="3755"/>
    <cellStyle name="Normal 2 2 2 6 4" xfId="3756"/>
    <cellStyle name="Normal 2 2 2 6 4 2" xfId="3757"/>
    <cellStyle name="Normal 2 2 2 6 5" xfId="3758"/>
    <cellStyle name="Normal 2 2 2 6 6" xfId="3759"/>
    <cellStyle name="Normal 2 2 2 6 7" xfId="3760"/>
    <cellStyle name="Normal 2 2 2 6 8" xfId="3761"/>
    <cellStyle name="Normal 2 2 2 6 9" xfId="3762"/>
    <cellStyle name="Normal 2 2 2 60" xfId="3763"/>
    <cellStyle name="Normal 2 2 2 60 2" xfId="3764"/>
    <cellStyle name="Normal 2 2 2 61" xfId="3765"/>
    <cellStyle name="Normal 2 2 2 61 2" xfId="3766"/>
    <cellStyle name="Normal 2 2 2 62" xfId="3767"/>
    <cellStyle name="Normal 2 2 2 62 2" xfId="3768"/>
    <cellStyle name="Normal 2 2 2 63" xfId="3769"/>
    <cellStyle name="Normal 2 2 2 63 2" xfId="3770"/>
    <cellStyle name="Normal 2 2 2 64" xfId="3771"/>
    <cellStyle name="Normal 2 2 2 65" xfId="3772"/>
    <cellStyle name="Normal 2 2 2 66" xfId="3773"/>
    <cellStyle name="Normal 2 2 2 67" xfId="3774"/>
    <cellStyle name="Normal 2 2 2 68" xfId="3775"/>
    <cellStyle name="Normal 2 2 2 69" xfId="3776"/>
    <cellStyle name="Normal 2 2 2 7" xfId="3777"/>
    <cellStyle name="Normal 2 2 2 7 2" xfId="3778"/>
    <cellStyle name="Normal 2 2 2 7 2 2" xfId="3779"/>
    <cellStyle name="Normal 2 2 2 70" xfId="3780"/>
    <cellStyle name="Normal 2 2 2 71" xfId="3781"/>
    <cellStyle name="Normal 2 2 2 72" xfId="3782"/>
    <cellStyle name="Normal 2 2 2 73" xfId="3783"/>
    <cellStyle name="Normal 2 2 2 74" xfId="3784"/>
    <cellStyle name="Normal 2 2 2 75" xfId="3785"/>
    <cellStyle name="Normal 2 2 2 76" xfId="3786"/>
    <cellStyle name="Normal 2 2 2 77" xfId="3787"/>
    <cellStyle name="Normal 2 2 2 78" xfId="3788"/>
    <cellStyle name="Normal 2 2 2 79" xfId="3789"/>
    <cellStyle name="Normal 2 2 2 8" xfId="3790"/>
    <cellStyle name="Normal 2 2 2 8 2" xfId="3791"/>
    <cellStyle name="Normal 2 2 2 8 2 2" xfId="3792"/>
    <cellStyle name="Normal 2 2 2 8 3" xfId="3793"/>
    <cellStyle name="Normal 2 2 2 80" xfId="3794"/>
    <cellStyle name="Normal 2 2 2 81" xfId="3795"/>
    <cellStyle name="Normal 2 2 2 82" xfId="3796"/>
    <cellStyle name="Normal 2 2 2 83" xfId="3797"/>
    <cellStyle name="Normal 2 2 2 84" xfId="3798"/>
    <cellStyle name="Normal 2 2 2 85" xfId="3799"/>
    <cellStyle name="Normal 2 2 2 86" xfId="3800"/>
    <cellStyle name="Normal 2 2 2 87" xfId="3801"/>
    <cellStyle name="Normal 2 2 2 88" xfId="3802"/>
    <cellStyle name="Normal 2 2 2 89" xfId="3803"/>
    <cellStyle name="Normal 2 2 2 9" xfId="3804"/>
    <cellStyle name="Normal 2 2 2 9 2" xfId="3805"/>
    <cellStyle name="Normal 2 2 2 9 2 2" xfId="3806"/>
    <cellStyle name="Normal 2 2 2 9 3" xfId="3807"/>
    <cellStyle name="Normal 2 2 2 90" xfId="3808"/>
    <cellStyle name="Normal 2 2 2 91" xfId="3809"/>
    <cellStyle name="Normal 2 2 2 92" xfId="3810"/>
    <cellStyle name="Normal 2 2 2 93" xfId="3811"/>
    <cellStyle name="Normal 2 2 2 94" xfId="3812"/>
    <cellStyle name="Normal 2 2 2 94 2" xfId="3813"/>
    <cellStyle name="Normal 2 2 2 95" xfId="3814"/>
    <cellStyle name="Normal 2 2 2 96" xfId="3815"/>
    <cellStyle name="Normal 2 2 2 97" xfId="3816"/>
    <cellStyle name="Normal 2 2 2 98" xfId="3817"/>
    <cellStyle name="Normal 2 2 2 99" xfId="3818"/>
    <cellStyle name="Normal 2 2 20" xfId="3819"/>
    <cellStyle name="Normal 2 2 20 2" xfId="3820"/>
    <cellStyle name="Normal 2 2 21" xfId="3821"/>
    <cellStyle name="Normal 2 2 21 2" xfId="3822"/>
    <cellStyle name="Normal 2 2 22" xfId="3823"/>
    <cellStyle name="Normal 2 2 22 2" xfId="3824"/>
    <cellStyle name="Normal 2 2 23" xfId="3825"/>
    <cellStyle name="Normal 2 2 23 2" xfId="3826"/>
    <cellStyle name="Normal 2 2 24" xfId="3827"/>
    <cellStyle name="Normal 2 2 24 2" xfId="3828"/>
    <cellStyle name="Normal 2 2 25" xfId="3829"/>
    <cellStyle name="Normal 2 2 25 2" xfId="3830"/>
    <cellStyle name="Normal 2 2 26" xfId="3831"/>
    <cellStyle name="Normal 2 2 26 2" xfId="3832"/>
    <cellStyle name="Normal 2 2 27" xfId="3833"/>
    <cellStyle name="Normal 2 2 27 2" xfId="3834"/>
    <cellStyle name="Normal 2 2 28" xfId="3835"/>
    <cellStyle name="Normal 2 2 28 2" xfId="3836"/>
    <cellStyle name="Normal 2 2 29" xfId="3837"/>
    <cellStyle name="Normal 2 2 29 2" xfId="3838"/>
    <cellStyle name="Normal 2 2 3" xfId="3839"/>
    <cellStyle name="Normal 2 2 3 2" xfId="3840"/>
    <cellStyle name="Normal 2 2 3 3" xfId="3841"/>
    <cellStyle name="Normal 2 2 3 4" xfId="3842"/>
    <cellStyle name="Normal 2 2 3 5" xfId="7494"/>
    <cellStyle name="Normal 2 2 30" xfId="3843"/>
    <cellStyle name="Normal 2 2 30 2" xfId="3844"/>
    <cellStyle name="Normal 2 2 31" xfId="3845"/>
    <cellStyle name="Normal 2 2 31 2" xfId="3846"/>
    <cellStyle name="Normal 2 2 32" xfId="3847"/>
    <cellStyle name="Normal 2 2 32 2" xfId="3848"/>
    <cellStyle name="Normal 2 2 33" xfId="3849"/>
    <cellStyle name="Normal 2 2 33 2" xfId="3850"/>
    <cellStyle name="Normal 2 2 34" xfId="3851"/>
    <cellStyle name="Normal 2 2 34 2" xfId="3852"/>
    <cellStyle name="Normal 2 2 35" xfId="3853"/>
    <cellStyle name="Normal 2 2 35 2" xfId="3854"/>
    <cellStyle name="Normal 2 2 36" xfId="3855"/>
    <cellStyle name="Normal 2 2 36 2" xfId="3856"/>
    <cellStyle name="Normal 2 2 37" xfId="3857"/>
    <cellStyle name="Normal 2 2 37 2" xfId="3858"/>
    <cellStyle name="Normal 2 2 38" xfId="3859"/>
    <cellStyle name="Normal 2 2 38 2" xfId="3860"/>
    <cellStyle name="Normal 2 2 39" xfId="3861"/>
    <cellStyle name="Normal 2 2 39 2" xfId="3862"/>
    <cellStyle name="Normal 2 2 4" xfId="3863"/>
    <cellStyle name="Normal 2 2 4 10" xfId="3864"/>
    <cellStyle name="Normal 2 2 4 11" xfId="3865"/>
    <cellStyle name="Normal 2 2 4 12" xfId="3866"/>
    <cellStyle name="Normal 2 2 4 13" xfId="3867"/>
    <cellStyle name="Normal 2 2 4 14" xfId="3868"/>
    <cellStyle name="Normal 2 2 4 15" xfId="3869"/>
    <cellStyle name="Normal 2 2 4 16" xfId="3870"/>
    <cellStyle name="Normal 2 2 4 17" xfId="3871"/>
    <cellStyle name="Normal 2 2 4 18" xfId="3872"/>
    <cellStyle name="Normal 2 2 4 19" xfId="3873"/>
    <cellStyle name="Normal 2 2 4 2" xfId="3874"/>
    <cellStyle name="Normal 2 2 4 2 2" xfId="3875"/>
    <cellStyle name="Normal 2 2 4 20" xfId="3876"/>
    <cellStyle name="Normal 2 2 4 21" xfId="3877"/>
    <cellStyle name="Normal 2 2 4 22" xfId="3878"/>
    <cellStyle name="Normal 2 2 4 23" xfId="3879"/>
    <cellStyle name="Normal 2 2 4 24" xfId="3880"/>
    <cellStyle name="Normal 2 2 4 25" xfId="3881"/>
    <cellStyle name="Normal 2 2 4 26" xfId="3882"/>
    <cellStyle name="Normal 2 2 4 27" xfId="3883"/>
    <cellStyle name="Normal 2 2 4 28" xfId="3884"/>
    <cellStyle name="Normal 2 2 4 29" xfId="3885"/>
    <cellStyle name="Normal 2 2 4 3" xfId="3886"/>
    <cellStyle name="Normal 2 2 4 30" xfId="3887"/>
    <cellStyle name="Normal 2 2 4 31" xfId="3888"/>
    <cellStyle name="Normal 2 2 4 32" xfId="3889"/>
    <cellStyle name="Normal 2 2 4 33" xfId="3890"/>
    <cellStyle name="Normal 2 2 4 34" xfId="3891"/>
    <cellStyle name="Normal 2 2 4 35" xfId="3892"/>
    <cellStyle name="Normal 2 2 4 36" xfId="3893"/>
    <cellStyle name="Normal 2 2 4 37" xfId="3894"/>
    <cellStyle name="Normal 2 2 4 38" xfId="3895"/>
    <cellStyle name="Normal 2 2 4 39" xfId="3896"/>
    <cellStyle name="Normal 2 2 4 4" xfId="3897"/>
    <cellStyle name="Normal 2 2 4 40" xfId="3898"/>
    <cellStyle name="Normal 2 2 4 41" xfId="3899"/>
    <cellStyle name="Normal 2 2 4 42" xfId="3900"/>
    <cellStyle name="Normal 2 2 4 43" xfId="3901"/>
    <cellStyle name="Normal 2 2 4 44" xfId="3902"/>
    <cellStyle name="Normal 2 2 4 45" xfId="3903"/>
    <cellStyle name="Normal 2 2 4 46" xfId="3904"/>
    <cellStyle name="Normal 2 2 4 47" xfId="3905"/>
    <cellStyle name="Normal 2 2 4 48" xfId="3906"/>
    <cellStyle name="Normal 2 2 4 49" xfId="3907"/>
    <cellStyle name="Normal 2 2 4 5" xfId="3908"/>
    <cellStyle name="Normal 2 2 4 50" xfId="3909"/>
    <cellStyle name="Normal 2 2 4 51" xfId="3910"/>
    <cellStyle name="Normal 2 2 4 52" xfId="3911"/>
    <cellStyle name="Normal 2 2 4 53" xfId="3912"/>
    <cellStyle name="Normal 2 2 4 54" xfId="3913"/>
    <cellStyle name="Normal 2 2 4 55" xfId="3914"/>
    <cellStyle name="Normal 2 2 4 56" xfId="3915"/>
    <cellStyle name="Normal 2 2 4 57" xfId="3916"/>
    <cellStyle name="Normal 2 2 4 58" xfId="3917"/>
    <cellStyle name="Normal 2 2 4 59" xfId="3918"/>
    <cellStyle name="Normal 2 2 4 6" xfId="3919"/>
    <cellStyle name="Normal 2 2 4 60" xfId="3920"/>
    <cellStyle name="Normal 2 2 4 61" xfId="3921"/>
    <cellStyle name="Normal 2 2 4 62" xfId="3922"/>
    <cellStyle name="Normal 2 2 4 63" xfId="3923"/>
    <cellStyle name="Normal 2 2 4 64" xfId="3924"/>
    <cellStyle name="Normal 2 2 4 65" xfId="3925"/>
    <cellStyle name="Normal 2 2 4 66" xfId="3926"/>
    <cellStyle name="Normal 2 2 4 67" xfId="3927"/>
    <cellStyle name="Normal 2 2 4 68" xfId="3928"/>
    <cellStyle name="Normal 2 2 4 69" xfId="3929"/>
    <cellStyle name="Normal 2 2 4 7" xfId="3930"/>
    <cellStyle name="Normal 2 2 4 70" xfId="3931"/>
    <cellStyle name="Normal 2 2 4 71" xfId="3932"/>
    <cellStyle name="Normal 2 2 4 72" xfId="3933"/>
    <cellStyle name="Normal 2 2 4 73" xfId="3934"/>
    <cellStyle name="Normal 2 2 4 74" xfId="3935"/>
    <cellStyle name="Normal 2 2 4 75" xfId="3936"/>
    <cellStyle name="Normal 2 2 4 76" xfId="3937"/>
    <cellStyle name="Normal 2 2 4 77" xfId="3938"/>
    <cellStyle name="Normal 2 2 4 78" xfId="3939"/>
    <cellStyle name="Normal 2 2 4 79" xfId="3940"/>
    <cellStyle name="Normal 2 2 4 8" xfId="3941"/>
    <cellStyle name="Normal 2 2 4 80" xfId="3942"/>
    <cellStyle name="Normal 2 2 4 81" xfId="3943"/>
    <cellStyle name="Normal 2 2 4 82" xfId="3944"/>
    <cellStyle name="Normal 2 2 4 83" xfId="3945"/>
    <cellStyle name="Normal 2 2 4 84" xfId="3946"/>
    <cellStyle name="Normal 2 2 4 85" xfId="3947"/>
    <cellStyle name="Normal 2 2 4 86" xfId="3948"/>
    <cellStyle name="Normal 2 2 4 87" xfId="3949"/>
    <cellStyle name="Normal 2 2 4 88" xfId="3950"/>
    <cellStyle name="Normal 2 2 4 89" xfId="3951"/>
    <cellStyle name="Normal 2 2 4 9" xfId="3952"/>
    <cellStyle name="Normal 2 2 4 90" xfId="3953"/>
    <cellStyle name="Normal 2 2 4 91" xfId="3954"/>
    <cellStyle name="Normal 2 2 4 92" xfId="7495"/>
    <cellStyle name="Normal 2 2 40" xfId="3955"/>
    <cellStyle name="Normal 2 2 40 2" xfId="3956"/>
    <cellStyle name="Normal 2 2 41" xfId="3957"/>
    <cellStyle name="Normal 2 2 41 2" xfId="3958"/>
    <cellStyle name="Normal 2 2 42" xfId="3959"/>
    <cellStyle name="Normal 2 2 42 2" xfId="3960"/>
    <cellStyle name="Normal 2 2 43" xfId="3961"/>
    <cellStyle name="Normal 2 2 43 2" xfId="3962"/>
    <cellStyle name="Normal 2 2 44" xfId="3963"/>
    <cellStyle name="Normal 2 2 44 2" xfId="3964"/>
    <cellStyle name="Normal 2 2 45" xfId="3965"/>
    <cellStyle name="Normal 2 2 45 2" xfId="3966"/>
    <cellStyle name="Normal 2 2 46" xfId="3967"/>
    <cellStyle name="Normal 2 2 46 2" xfId="3968"/>
    <cellStyle name="Normal 2 2 47" xfId="3969"/>
    <cellStyle name="Normal 2 2 47 2" xfId="3970"/>
    <cellStyle name="Normal 2 2 48" xfId="3971"/>
    <cellStyle name="Normal 2 2 48 2" xfId="3972"/>
    <cellStyle name="Normal 2 2 49" xfId="3973"/>
    <cellStyle name="Normal 2 2 49 2" xfId="3974"/>
    <cellStyle name="Normal 2 2 5" xfId="3975"/>
    <cellStyle name="Normal 2 2 5 10" xfId="3976"/>
    <cellStyle name="Normal 2 2 5 11" xfId="3977"/>
    <cellStyle name="Normal 2 2 5 12" xfId="3978"/>
    <cellStyle name="Normal 2 2 5 13" xfId="3979"/>
    <cellStyle name="Normal 2 2 5 14" xfId="3980"/>
    <cellStyle name="Normal 2 2 5 15" xfId="3981"/>
    <cellStyle name="Normal 2 2 5 16" xfId="3982"/>
    <cellStyle name="Normal 2 2 5 17" xfId="3983"/>
    <cellStyle name="Normal 2 2 5 18" xfId="3984"/>
    <cellStyle name="Normal 2 2 5 19" xfId="3985"/>
    <cellStyle name="Normal 2 2 5 2" xfId="3986"/>
    <cellStyle name="Normal 2 2 5 2 2" xfId="3987"/>
    <cellStyle name="Normal 2 2 5 20" xfId="3988"/>
    <cellStyle name="Normal 2 2 5 21" xfId="3989"/>
    <cellStyle name="Normal 2 2 5 22" xfId="3990"/>
    <cellStyle name="Normal 2 2 5 23" xfId="3991"/>
    <cellStyle name="Normal 2 2 5 24" xfId="3992"/>
    <cellStyle name="Normal 2 2 5 25" xfId="3993"/>
    <cellStyle name="Normal 2 2 5 26" xfId="3994"/>
    <cellStyle name="Normal 2 2 5 27" xfId="3995"/>
    <cellStyle name="Normal 2 2 5 28" xfId="3996"/>
    <cellStyle name="Normal 2 2 5 29" xfId="3997"/>
    <cellStyle name="Normal 2 2 5 3" xfId="3998"/>
    <cellStyle name="Normal 2 2 5 30" xfId="3999"/>
    <cellStyle name="Normal 2 2 5 31" xfId="4000"/>
    <cellStyle name="Normal 2 2 5 32" xfId="4001"/>
    <cellStyle name="Normal 2 2 5 33" xfId="4002"/>
    <cellStyle name="Normal 2 2 5 34" xfId="4003"/>
    <cellStyle name="Normal 2 2 5 35" xfId="4004"/>
    <cellStyle name="Normal 2 2 5 36" xfId="4005"/>
    <cellStyle name="Normal 2 2 5 37" xfId="4006"/>
    <cellStyle name="Normal 2 2 5 38" xfId="4007"/>
    <cellStyle name="Normal 2 2 5 39" xfId="4008"/>
    <cellStyle name="Normal 2 2 5 4" xfId="4009"/>
    <cellStyle name="Normal 2 2 5 40" xfId="4010"/>
    <cellStyle name="Normal 2 2 5 41" xfId="4011"/>
    <cellStyle name="Normal 2 2 5 42" xfId="4012"/>
    <cellStyle name="Normal 2 2 5 43" xfId="4013"/>
    <cellStyle name="Normal 2 2 5 44" xfId="4014"/>
    <cellStyle name="Normal 2 2 5 45" xfId="4015"/>
    <cellStyle name="Normal 2 2 5 46" xfId="4016"/>
    <cellStyle name="Normal 2 2 5 47" xfId="4017"/>
    <cellStyle name="Normal 2 2 5 48" xfId="4018"/>
    <cellStyle name="Normal 2 2 5 49" xfId="4019"/>
    <cellStyle name="Normal 2 2 5 5" xfId="4020"/>
    <cellStyle name="Normal 2 2 5 50" xfId="4021"/>
    <cellStyle name="Normal 2 2 5 51" xfId="4022"/>
    <cellStyle name="Normal 2 2 5 52" xfId="4023"/>
    <cellStyle name="Normal 2 2 5 53" xfId="4024"/>
    <cellStyle name="Normal 2 2 5 54" xfId="4025"/>
    <cellStyle name="Normal 2 2 5 55" xfId="4026"/>
    <cellStyle name="Normal 2 2 5 56" xfId="4027"/>
    <cellStyle name="Normal 2 2 5 57" xfId="4028"/>
    <cellStyle name="Normal 2 2 5 58" xfId="4029"/>
    <cellStyle name="Normal 2 2 5 59" xfId="4030"/>
    <cellStyle name="Normal 2 2 5 6" xfId="4031"/>
    <cellStyle name="Normal 2 2 5 60" xfId="4032"/>
    <cellStyle name="Normal 2 2 5 61" xfId="4033"/>
    <cellStyle name="Normal 2 2 5 62" xfId="4034"/>
    <cellStyle name="Normal 2 2 5 63" xfId="4035"/>
    <cellStyle name="Normal 2 2 5 64" xfId="4036"/>
    <cellStyle name="Normal 2 2 5 65" xfId="4037"/>
    <cellStyle name="Normal 2 2 5 66" xfId="4038"/>
    <cellStyle name="Normal 2 2 5 67" xfId="4039"/>
    <cellStyle name="Normal 2 2 5 68" xfId="4040"/>
    <cellStyle name="Normal 2 2 5 69" xfId="4041"/>
    <cellStyle name="Normal 2 2 5 7" xfId="4042"/>
    <cellStyle name="Normal 2 2 5 70" xfId="4043"/>
    <cellStyle name="Normal 2 2 5 71" xfId="4044"/>
    <cellStyle name="Normal 2 2 5 72" xfId="4045"/>
    <cellStyle name="Normal 2 2 5 73" xfId="4046"/>
    <cellStyle name="Normal 2 2 5 74" xfId="4047"/>
    <cellStyle name="Normal 2 2 5 75" xfId="4048"/>
    <cellStyle name="Normal 2 2 5 76" xfId="4049"/>
    <cellStyle name="Normal 2 2 5 77" xfId="4050"/>
    <cellStyle name="Normal 2 2 5 78" xfId="4051"/>
    <cellStyle name="Normal 2 2 5 79" xfId="4052"/>
    <cellStyle name="Normal 2 2 5 8" xfId="4053"/>
    <cellStyle name="Normal 2 2 5 80" xfId="4054"/>
    <cellStyle name="Normal 2 2 5 81" xfId="4055"/>
    <cellStyle name="Normal 2 2 5 82" xfId="4056"/>
    <cellStyle name="Normal 2 2 5 83" xfId="4057"/>
    <cellStyle name="Normal 2 2 5 84" xfId="4058"/>
    <cellStyle name="Normal 2 2 5 85" xfId="4059"/>
    <cellStyle name="Normal 2 2 5 86" xfId="4060"/>
    <cellStyle name="Normal 2 2 5 87" xfId="4061"/>
    <cellStyle name="Normal 2 2 5 88" xfId="4062"/>
    <cellStyle name="Normal 2 2 5 89" xfId="4063"/>
    <cellStyle name="Normal 2 2 5 9" xfId="4064"/>
    <cellStyle name="Normal 2 2 5 90" xfId="4065"/>
    <cellStyle name="Normal 2 2 5 91" xfId="4066"/>
    <cellStyle name="Normal 2 2 5 92" xfId="7496"/>
    <cellStyle name="Normal 2 2 50" xfId="4067"/>
    <cellStyle name="Normal 2 2 50 2" xfId="4068"/>
    <cellStyle name="Normal 2 2 51" xfId="4069"/>
    <cellStyle name="Normal 2 2 51 2" xfId="4070"/>
    <cellStyle name="Normal 2 2 52" xfId="4071"/>
    <cellStyle name="Normal 2 2 52 2" xfId="4072"/>
    <cellStyle name="Normal 2 2 53" xfId="4073"/>
    <cellStyle name="Normal 2 2 53 2" xfId="4074"/>
    <cellStyle name="Normal 2 2 54" xfId="4075"/>
    <cellStyle name="Normal 2 2 54 2" xfId="4076"/>
    <cellStyle name="Normal 2 2 55" xfId="4077"/>
    <cellStyle name="Normal 2 2 55 2" xfId="4078"/>
    <cellStyle name="Normal 2 2 56" xfId="4079"/>
    <cellStyle name="Normal 2 2 56 2" xfId="4080"/>
    <cellStyle name="Normal 2 2 57" xfId="4081"/>
    <cellStyle name="Normal 2 2 57 2" xfId="4082"/>
    <cellStyle name="Normal 2 2 58" xfId="4083"/>
    <cellStyle name="Normal 2 2 58 2" xfId="4084"/>
    <cellStyle name="Normal 2 2 59" xfId="4085"/>
    <cellStyle name="Normal 2 2 59 2" xfId="4086"/>
    <cellStyle name="Normal 2 2 6" xfId="4087"/>
    <cellStyle name="Normal 2 2 6 10" xfId="4088"/>
    <cellStyle name="Normal 2 2 6 11" xfId="4089"/>
    <cellStyle name="Normal 2 2 6 12" xfId="4090"/>
    <cellStyle name="Normal 2 2 6 13" xfId="4091"/>
    <cellStyle name="Normal 2 2 6 14" xfId="4092"/>
    <cellStyle name="Normal 2 2 6 15" xfId="4093"/>
    <cellStyle name="Normal 2 2 6 16" xfId="4094"/>
    <cellStyle name="Normal 2 2 6 17" xfId="4095"/>
    <cellStyle name="Normal 2 2 6 18" xfId="4096"/>
    <cellStyle name="Normal 2 2 6 19" xfId="4097"/>
    <cellStyle name="Normal 2 2 6 2" xfId="4098"/>
    <cellStyle name="Normal 2 2 6 2 2" xfId="4099"/>
    <cellStyle name="Normal 2 2 6 20" xfId="4100"/>
    <cellStyle name="Normal 2 2 6 21" xfId="4101"/>
    <cellStyle name="Normal 2 2 6 22" xfId="4102"/>
    <cellStyle name="Normal 2 2 6 23" xfId="4103"/>
    <cellStyle name="Normal 2 2 6 24" xfId="4104"/>
    <cellStyle name="Normal 2 2 6 25" xfId="4105"/>
    <cellStyle name="Normal 2 2 6 26" xfId="4106"/>
    <cellStyle name="Normal 2 2 6 27" xfId="4107"/>
    <cellStyle name="Normal 2 2 6 28" xfId="4108"/>
    <cellStyle name="Normal 2 2 6 29" xfId="4109"/>
    <cellStyle name="Normal 2 2 6 3" xfId="4110"/>
    <cellStyle name="Normal 2 2 6 3 2" xfId="4111"/>
    <cellStyle name="Normal 2 2 6 30" xfId="4112"/>
    <cellStyle name="Normal 2 2 6 31" xfId="4113"/>
    <cellStyle name="Normal 2 2 6 32" xfId="4114"/>
    <cellStyle name="Normal 2 2 6 33" xfId="4115"/>
    <cellStyle name="Normal 2 2 6 34" xfId="4116"/>
    <cellStyle name="Normal 2 2 6 35" xfId="4117"/>
    <cellStyle name="Normal 2 2 6 36" xfId="4118"/>
    <cellStyle name="Normal 2 2 6 37" xfId="4119"/>
    <cellStyle name="Normal 2 2 6 38" xfId="4120"/>
    <cellStyle name="Normal 2 2 6 39" xfId="4121"/>
    <cellStyle name="Normal 2 2 6 4" xfId="4122"/>
    <cellStyle name="Normal 2 2 6 40" xfId="4123"/>
    <cellStyle name="Normal 2 2 6 41" xfId="4124"/>
    <cellStyle name="Normal 2 2 6 42" xfId="4125"/>
    <cellStyle name="Normal 2 2 6 5" xfId="4126"/>
    <cellStyle name="Normal 2 2 6 6" xfId="4127"/>
    <cellStyle name="Normal 2 2 6 7" xfId="4128"/>
    <cellStyle name="Normal 2 2 6 8" xfId="4129"/>
    <cellStyle name="Normal 2 2 6 9" xfId="4130"/>
    <cellStyle name="Normal 2 2 60" xfId="4131"/>
    <cellStyle name="Normal 2 2 60 2" xfId="4132"/>
    <cellStyle name="Normal 2 2 61" xfId="4133"/>
    <cellStyle name="Normal 2 2 61 2" xfId="4134"/>
    <cellStyle name="Normal 2 2 62" xfId="4135"/>
    <cellStyle name="Normal 2 2 62 2" xfId="4136"/>
    <cellStyle name="Normal 2 2 63" xfId="4137"/>
    <cellStyle name="Normal 2 2 63 2" xfId="4138"/>
    <cellStyle name="Normal 2 2 64" xfId="4139"/>
    <cellStyle name="Normal 2 2 64 2" xfId="4140"/>
    <cellStyle name="Normal 2 2 65" xfId="4141"/>
    <cellStyle name="Normal 2 2 66" xfId="4142"/>
    <cellStyle name="Normal 2 2 67" xfId="4143"/>
    <cellStyle name="Normal 2 2 68" xfId="4144"/>
    <cellStyle name="Normal 2 2 69" xfId="4145"/>
    <cellStyle name="Normal 2 2 7" xfId="4146"/>
    <cellStyle name="Normal 2 2 7 10" xfId="4147"/>
    <cellStyle name="Normal 2 2 7 11" xfId="4148"/>
    <cellStyle name="Normal 2 2 7 12" xfId="4149"/>
    <cellStyle name="Normal 2 2 7 13" xfId="4150"/>
    <cellStyle name="Normal 2 2 7 14" xfId="4151"/>
    <cellStyle name="Normal 2 2 7 15" xfId="4152"/>
    <cellStyle name="Normal 2 2 7 16" xfId="4153"/>
    <cellStyle name="Normal 2 2 7 17" xfId="4154"/>
    <cellStyle name="Normal 2 2 7 18" xfId="4155"/>
    <cellStyle name="Normal 2 2 7 19" xfId="4156"/>
    <cellStyle name="Normal 2 2 7 2" xfId="4157"/>
    <cellStyle name="Normal 2 2 7 2 2" xfId="4158"/>
    <cellStyle name="Normal 2 2 7 20" xfId="4159"/>
    <cellStyle name="Normal 2 2 7 21" xfId="4160"/>
    <cellStyle name="Normal 2 2 7 22" xfId="4161"/>
    <cellStyle name="Normal 2 2 7 3" xfId="4162"/>
    <cellStyle name="Normal 2 2 7 3 2" xfId="4163"/>
    <cellStyle name="Normal 2 2 7 4" xfId="4164"/>
    <cellStyle name="Normal 2 2 7 5" xfId="4165"/>
    <cellStyle name="Normal 2 2 7 6" xfId="4166"/>
    <cellStyle name="Normal 2 2 7 7" xfId="4167"/>
    <cellStyle name="Normal 2 2 7 8" xfId="4168"/>
    <cellStyle name="Normal 2 2 7 9" xfId="4169"/>
    <cellStyle name="Normal 2 2 70" xfId="4170"/>
    <cellStyle name="Normal 2 2 71" xfId="4171"/>
    <cellStyle name="Normal 2 2 72" xfId="4172"/>
    <cellStyle name="Normal 2 2 73" xfId="4173"/>
    <cellStyle name="Normal 2 2 74" xfId="4174"/>
    <cellStyle name="Normal 2 2 75" xfId="4175"/>
    <cellStyle name="Normal 2 2 76" xfId="4176"/>
    <cellStyle name="Normal 2 2 77" xfId="4177"/>
    <cellStyle name="Normal 2 2 78" xfId="4178"/>
    <cellStyle name="Normal 2 2 79" xfId="4179"/>
    <cellStyle name="Normal 2 2 8" xfId="4180"/>
    <cellStyle name="Normal 2 2 8 2" xfId="4181"/>
    <cellStyle name="Normal 2 2 8 2 2" xfId="4182"/>
    <cellStyle name="Normal 2 2 8 3" xfId="4183"/>
    <cellStyle name="Normal 2 2 80" xfId="4184"/>
    <cellStyle name="Normal 2 2 81" xfId="4185"/>
    <cellStyle name="Normal 2 2 82" xfId="4186"/>
    <cellStyle name="Normal 2 2 83" xfId="4187"/>
    <cellStyle name="Normal 2 2 84" xfId="4188"/>
    <cellStyle name="Normal 2 2 85" xfId="4189"/>
    <cellStyle name="Normal 2 2 86" xfId="4190"/>
    <cellStyle name="Normal 2 2 87" xfId="4191"/>
    <cellStyle name="Normal 2 2 88" xfId="4192"/>
    <cellStyle name="Normal 2 2 89" xfId="4193"/>
    <cellStyle name="Normal 2 2 9" xfId="4194"/>
    <cellStyle name="Normal 2 2 9 2" xfId="4195"/>
    <cellStyle name="Normal 2 2 90" xfId="4196"/>
    <cellStyle name="Normal 2 2 91" xfId="4197"/>
    <cellStyle name="Normal 2 2 92" xfId="4198"/>
    <cellStyle name="Normal 2 2 93" xfId="4199"/>
    <cellStyle name="Normal 2 2 94" xfId="4200"/>
    <cellStyle name="Normal 2 2 95" xfId="4201"/>
    <cellStyle name="Normal 2 2 96" xfId="4202"/>
    <cellStyle name="Normal 2 2 97" xfId="4203"/>
    <cellStyle name="Normal 2 2 98" xfId="4204"/>
    <cellStyle name="Normal 2 2 99" xfId="4205"/>
    <cellStyle name="Normal 2 20" xfId="4206"/>
    <cellStyle name="Normal 2 20 2" xfId="4207"/>
    <cellStyle name="Normal 2 21" xfId="4208"/>
    <cellStyle name="Normal 2 21 2" xfId="4209"/>
    <cellStyle name="Normal 2 22" xfId="4210"/>
    <cellStyle name="Normal 2 22 2" xfId="4211"/>
    <cellStyle name="Normal 2 23" xfId="4212"/>
    <cellStyle name="Normal 2 23 2" xfId="4213"/>
    <cellStyle name="Normal 2 24" xfId="4214"/>
    <cellStyle name="Normal 2 24 2" xfId="4215"/>
    <cellStyle name="Normal 2 25" xfId="4216"/>
    <cellStyle name="Normal 2 25 2" xfId="4217"/>
    <cellStyle name="Normal 2 26" xfId="4218"/>
    <cellStyle name="Normal 2 26 2" xfId="4219"/>
    <cellStyle name="Normal 2 27" xfId="4220"/>
    <cellStyle name="Normal 2 27 2" xfId="4221"/>
    <cellStyle name="Normal 2 28" xfId="4222"/>
    <cellStyle name="Normal 2 28 2" xfId="4223"/>
    <cellStyle name="Normal 2 29" xfId="4224"/>
    <cellStyle name="Normal 2 29 2" xfId="4225"/>
    <cellStyle name="Normal 2 3" xfId="27"/>
    <cellStyle name="Normal 2 3 10" xfId="4226"/>
    <cellStyle name="Normal 2 3 100" xfId="4227"/>
    <cellStyle name="Normal 2 3 101" xfId="4228"/>
    <cellStyle name="Normal 2 3 102" xfId="4229"/>
    <cellStyle name="Normal 2 3 103" xfId="4230"/>
    <cellStyle name="Normal 2 3 104" xfId="4231"/>
    <cellStyle name="Normal 2 3 105" xfId="4232"/>
    <cellStyle name="Normal 2 3 106" xfId="4233"/>
    <cellStyle name="Normal 2 3 107" xfId="4234"/>
    <cellStyle name="Normal 2 3 108" xfId="4235"/>
    <cellStyle name="Normal 2 3 109" xfId="4236"/>
    <cellStyle name="Normal 2 3 11" xfId="4237"/>
    <cellStyle name="Normal 2 3 110" xfId="4238"/>
    <cellStyle name="Normal 2 3 111" xfId="4239"/>
    <cellStyle name="Normal 2 3 112" xfId="4240"/>
    <cellStyle name="Normal 2 3 113" xfId="4241"/>
    <cellStyle name="Normal 2 3 114" xfId="4242"/>
    <cellStyle name="Normal 2 3 115" xfId="4243"/>
    <cellStyle name="Normal 2 3 116" xfId="4244"/>
    <cellStyle name="Normal 2 3 117" xfId="4245"/>
    <cellStyle name="Normal 2 3 118" xfId="4246"/>
    <cellStyle name="Normal 2 3 119" xfId="4247"/>
    <cellStyle name="Normal 2 3 12" xfId="4248"/>
    <cellStyle name="Normal 2 3 120" xfId="4249"/>
    <cellStyle name="Normal 2 3 121" xfId="4250"/>
    <cellStyle name="Normal 2 3 122" xfId="4251"/>
    <cellStyle name="Normal 2 3 123" xfId="4252"/>
    <cellStyle name="Normal 2 3 124" xfId="4253"/>
    <cellStyle name="Normal 2 3 125" xfId="4254"/>
    <cellStyle name="Normal 2 3 126" xfId="4255"/>
    <cellStyle name="Normal 2 3 127" xfId="4256"/>
    <cellStyle name="Normal 2 3 128" xfId="4257"/>
    <cellStyle name="Normal 2 3 129" xfId="4258"/>
    <cellStyle name="Normal 2 3 13" xfId="4259"/>
    <cellStyle name="Normal 2 3 130" xfId="4260"/>
    <cellStyle name="Normal 2 3 131" xfId="4261"/>
    <cellStyle name="Normal 2 3 132" xfId="4262"/>
    <cellStyle name="Normal 2 3 133" xfId="4263"/>
    <cellStyle name="Normal 2 3 134" xfId="4264"/>
    <cellStyle name="Normal 2 3 135" xfId="4265"/>
    <cellStyle name="Normal 2 3 136" xfId="4266"/>
    <cellStyle name="Normal 2 3 137" xfId="4267"/>
    <cellStyle name="Normal 2 3 138" xfId="4268"/>
    <cellStyle name="Normal 2 3 139" xfId="4269"/>
    <cellStyle name="Normal 2 3 14" xfId="4270"/>
    <cellStyle name="Normal 2 3 140" xfId="4271"/>
    <cellStyle name="Normal 2 3 141" xfId="7497"/>
    <cellStyle name="Normal 2 3 15" xfId="4272"/>
    <cellStyle name="Normal 2 3 16" xfId="4273"/>
    <cellStyle name="Normal 2 3 17" xfId="4274"/>
    <cellStyle name="Normal 2 3 18" xfId="4275"/>
    <cellStyle name="Normal 2 3 19" xfId="4276"/>
    <cellStyle name="Normal 2 3 2" xfId="4277"/>
    <cellStyle name="Normal 2 3 2 2" xfId="4278"/>
    <cellStyle name="Normal 2 3 2 2 2" xfId="4279"/>
    <cellStyle name="Normal 2 3 2 2 3" xfId="4280"/>
    <cellStyle name="Normal 2 3 2 2 4" xfId="4281"/>
    <cellStyle name="Normal 2 3 2 2 5" xfId="4282"/>
    <cellStyle name="Normal 2 3 2 2 6" xfId="4283"/>
    <cellStyle name="Normal 2 3 2 2 7" xfId="4284"/>
    <cellStyle name="Normal 2 3 2 2 8" xfId="4285"/>
    <cellStyle name="Normal 2 3 2 2 9" xfId="4286"/>
    <cellStyle name="Normal 2 3 2 3" xfId="4287"/>
    <cellStyle name="Normal 2 3 2 4" xfId="4288"/>
    <cellStyle name="Normal 2 3 2 5" xfId="4289"/>
    <cellStyle name="Normal 2 3 2 6" xfId="4290"/>
    <cellStyle name="Normal 2 3 2 7" xfId="4291"/>
    <cellStyle name="Normal 2 3 2 8" xfId="4292"/>
    <cellStyle name="Normal 2 3 2 9" xfId="4293"/>
    <cellStyle name="Normal 2 3 20" xfId="4294"/>
    <cellStyle name="Normal 2 3 21" xfId="4295"/>
    <cellStyle name="Normal 2 3 22" xfId="4296"/>
    <cellStyle name="Normal 2 3 23" xfId="4297"/>
    <cellStyle name="Normal 2 3 24" xfId="4298"/>
    <cellStyle name="Normal 2 3 25" xfId="4299"/>
    <cellStyle name="Normal 2 3 26" xfId="4300"/>
    <cellStyle name="Normal 2 3 27" xfId="4301"/>
    <cellStyle name="Normal 2 3 28" xfId="4302"/>
    <cellStyle name="Normal 2 3 29" xfId="4303"/>
    <cellStyle name="Normal 2 3 3" xfId="4304"/>
    <cellStyle name="Normal 2 3 3 2" xfId="4305"/>
    <cellStyle name="Normal 2 3 3 2 2" xfId="4306"/>
    <cellStyle name="Normal 2 3 3 3" xfId="4307"/>
    <cellStyle name="Normal 2 3 30" xfId="4308"/>
    <cellStyle name="Normal 2 3 31" xfId="4309"/>
    <cellStyle name="Normal 2 3 32" xfId="4310"/>
    <cellStyle name="Normal 2 3 33" xfId="4311"/>
    <cellStyle name="Normal 2 3 34" xfId="4312"/>
    <cellStyle name="Normal 2 3 35" xfId="4313"/>
    <cellStyle name="Normal 2 3 36" xfId="4314"/>
    <cellStyle name="Normal 2 3 37" xfId="4315"/>
    <cellStyle name="Normal 2 3 38" xfId="4316"/>
    <cellStyle name="Normal 2 3 39" xfId="4317"/>
    <cellStyle name="Normal 2 3 4" xfId="4318"/>
    <cellStyle name="Normal 2 3 4 2" xfId="4319"/>
    <cellStyle name="Normal 2 3 40" xfId="4320"/>
    <cellStyle name="Normal 2 3 41" xfId="4321"/>
    <cellStyle name="Normal 2 3 42" xfId="4322"/>
    <cellStyle name="Normal 2 3 43" xfId="4323"/>
    <cellStyle name="Normal 2 3 44" xfId="4324"/>
    <cellStyle name="Normal 2 3 45" xfId="4325"/>
    <cellStyle name="Normal 2 3 46" xfId="4326"/>
    <cellStyle name="Normal 2 3 47" xfId="4327"/>
    <cellStyle name="Normal 2 3 48" xfId="4328"/>
    <cellStyle name="Normal 2 3 49" xfId="4329"/>
    <cellStyle name="Normal 2 3 5" xfId="4330"/>
    <cellStyle name="Normal 2 3 50" xfId="4331"/>
    <cellStyle name="Normal 2 3 51" xfId="4332"/>
    <cellStyle name="Normal 2 3 52" xfId="4333"/>
    <cellStyle name="Normal 2 3 53" xfId="4334"/>
    <cellStyle name="Normal 2 3 54" xfId="4335"/>
    <cellStyle name="Normal 2 3 55" xfId="4336"/>
    <cellStyle name="Normal 2 3 56" xfId="4337"/>
    <cellStyle name="Normal 2 3 57" xfId="4338"/>
    <cellStyle name="Normal 2 3 58" xfId="4339"/>
    <cellStyle name="Normal 2 3 59" xfId="4340"/>
    <cellStyle name="Normal 2 3 6" xfId="4341"/>
    <cellStyle name="Normal 2 3 60" xfId="4342"/>
    <cellStyle name="Normal 2 3 61" xfId="4343"/>
    <cellStyle name="Normal 2 3 62" xfId="4344"/>
    <cellStyle name="Normal 2 3 63" xfId="4345"/>
    <cellStyle name="Normal 2 3 64" xfId="4346"/>
    <cellStyle name="Normal 2 3 65" xfId="4347"/>
    <cellStyle name="Normal 2 3 66" xfId="4348"/>
    <cellStyle name="Normal 2 3 67" xfId="4349"/>
    <cellStyle name="Normal 2 3 68" xfId="4350"/>
    <cellStyle name="Normal 2 3 69" xfId="4351"/>
    <cellStyle name="Normal 2 3 7" xfId="4352"/>
    <cellStyle name="Normal 2 3 70" xfId="4353"/>
    <cellStyle name="Normal 2 3 71" xfId="4354"/>
    <cellStyle name="Normal 2 3 72" xfId="4355"/>
    <cellStyle name="Normal 2 3 73" xfId="4356"/>
    <cellStyle name="Normal 2 3 74" xfId="4357"/>
    <cellStyle name="Normal 2 3 75" xfId="4358"/>
    <cellStyle name="Normal 2 3 76" xfId="4359"/>
    <cellStyle name="Normal 2 3 77" xfId="4360"/>
    <cellStyle name="Normal 2 3 78" xfId="4361"/>
    <cellStyle name="Normal 2 3 79" xfId="4362"/>
    <cellStyle name="Normal 2 3 8" xfId="4363"/>
    <cellStyle name="Normal 2 3 80" xfId="4364"/>
    <cellStyle name="Normal 2 3 81" xfId="4365"/>
    <cellStyle name="Normal 2 3 82" xfId="4366"/>
    <cellStyle name="Normal 2 3 83" xfId="4367"/>
    <cellStyle name="Normal 2 3 84" xfId="4368"/>
    <cellStyle name="Normal 2 3 85" xfId="4369"/>
    <cellStyle name="Normal 2 3 86" xfId="4370"/>
    <cellStyle name="Normal 2 3 87" xfId="4371"/>
    <cellStyle name="Normal 2 3 88" xfId="4372"/>
    <cellStyle name="Normal 2 3 89" xfId="4373"/>
    <cellStyle name="Normal 2 3 9" xfId="4374"/>
    <cellStyle name="Normal 2 3 90" xfId="4375"/>
    <cellStyle name="Normal 2 3 91" xfId="4376"/>
    <cellStyle name="Normal 2 3 92" xfId="4377"/>
    <cellStyle name="Normal 2 3 93" xfId="4378"/>
    <cellStyle name="Normal 2 3 94" xfId="4379"/>
    <cellStyle name="Normal 2 3 95" xfId="4380"/>
    <cellStyle name="Normal 2 3 96" xfId="4381"/>
    <cellStyle name="Normal 2 3 96 2" xfId="4382"/>
    <cellStyle name="Normal 2 3 97" xfId="4383"/>
    <cellStyle name="Normal 2 3 98" xfId="4384"/>
    <cellStyle name="Normal 2 3 99" xfId="4385"/>
    <cellStyle name="Normal 2 30" xfId="4386"/>
    <cellStyle name="Normal 2 30 2" xfId="4387"/>
    <cellStyle name="Normal 2 31" xfId="4388"/>
    <cellStyle name="Normal 2 31 2" xfId="4389"/>
    <cellStyle name="Normal 2 32" xfId="4390"/>
    <cellStyle name="Normal 2 32 2" xfId="4391"/>
    <cellStyle name="Normal 2 33" xfId="4392"/>
    <cellStyle name="Normal 2 33 2" xfId="4393"/>
    <cellStyle name="Normal 2 34" xfId="4394"/>
    <cellStyle name="Normal 2 34 2" xfId="4395"/>
    <cellStyle name="Normal 2 35" xfId="4396"/>
    <cellStyle name="Normal 2 35 2" xfId="4397"/>
    <cellStyle name="Normal 2 36" xfId="4398"/>
    <cellStyle name="Normal 2 36 2" xfId="4399"/>
    <cellStyle name="Normal 2 37" xfId="4400"/>
    <cellStyle name="Normal 2 37 2" xfId="4401"/>
    <cellStyle name="Normal 2 38" xfId="4402"/>
    <cellStyle name="Normal 2 38 2" xfId="4403"/>
    <cellStyle name="Normal 2 39" xfId="4404"/>
    <cellStyle name="Normal 2 39 2" xfId="4405"/>
    <cellStyle name="Normal 2 4" xfId="35"/>
    <cellStyle name="Normal 2 4 2" xfId="4406"/>
    <cellStyle name="Normal 2 4 2 2" xfId="4407"/>
    <cellStyle name="Normal 2 4 2 2 2" xfId="4408"/>
    <cellStyle name="Normal 2 4 2 2 2 2" xfId="4409"/>
    <cellStyle name="Normal 2 4 2 2 3" xfId="4410"/>
    <cellStyle name="Normal 2 4 2 2 3 2" xfId="4411"/>
    <cellStyle name="Normal 2 4 2 2 4" xfId="4412"/>
    <cellStyle name="Normal 2 4 2 2 4 2" xfId="4413"/>
    <cellStyle name="Normal 2 4 2 2 5" xfId="4414"/>
    <cellStyle name="Normal 2 4 2 2 5 2" xfId="4415"/>
    <cellStyle name="Normal 2 4 2 3" xfId="4416"/>
    <cellStyle name="Normal 2 4 2 4" xfId="4417"/>
    <cellStyle name="Normal 2 4 2 5" xfId="4418"/>
    <cellStyle name="Normal 2 4 2 6" xfId="4419"/>
    <cellStyle name="Normal 2 4 3" xfId="4420"/>
    <cellStyle name="Normal 2 4 3 2" xfId="4421"/>
    <cellStyle name="Normal 2 4 3 3" xfId="4422"/>
    <cellStyle name="Normal 2 4 3 4" xfId="4423"/>
    <cellStyle name="Normal 2 4 4" xfId="4424"/>
    <cellStyle name="Normal 2 4 4 2" xfId="4425"/>
    <cellStyle name="Normal 2 4 5" xfId="4426"/>
    <cellStyle name="Normal 2 4 5 2" xfId="4427"/>
    <cellStyle name="Normal 2 4 6" xfId="4428"/>
    <cellStyle name="Normal 2 4 6 2" xfId="4429"/>
    <cellStyle name="Normal 2 4 7" xfId="4430"/>
    <cellStyle name="Normal 2 4 7 2" xfId="4431"/>
    <cellStyle name="Normal 2 4 7 3" xfId="4432"/>
    <cellStyle name="Normal 2 4 8" xfId="4433"/>
    <cellStyle name="Normal 2 4 9" xfId="4434"/>
    <cellStyle name="Normal 2 40" xfId="4435"/>
    <cellStyle name="Normal 2 40 2" xfId="4436"/>
    <cellStyle name="Normal 2 41" xfId="4437"/>
    <cellStyle name="Normal 2 41 2" xfId="4438"/>
    <cellStyle name="Normal 2 42" xfId="4439"/>
    <cellStyle name="Normal 2 42 2" xfId="4440"/>
    <cellStyle name="Normal 2 43" xfId="4441"/>
    <cellStyle name="Normal 2 43 2" xfId="4442"/>
    <cellStyle name="Normal 2 44" xfId="4443"/>
    <cellStyle name="Normal 2 44 2" xfId="4444"/>
    <cellStyle name="Normal 2 45" xfId="4445"/>
    <cellStyle name="Normal 2 45 2" xfId="4446"/>
    <cellStyle name="Normal 2 46" xfId="4447"/>
    <cellStyle name="Normal 2 46 2" xfId="4448"/>
    <cellStyle name="Normal 2 47" xfId="4449"/>
    <cellStyle name="Normal 2 47 2" xfId="4450"/>
    <cellStyle name="Normal 2 48" xfId="4451"/>
    <cellStyle name="Normal 2 48 2" xfId="4452"/>
    <cellStyle name="Normal 2 49" xfId="4453"/>
    <cellStyle name="Normal 2 49 2" xfId="4454"/>
    <cellStyle name="Normal 2 5" xfId="4455"/>
    <cellStyle name="Normal 2 5 2" xfId="4456"/>
    <cellStyle name="Normal 2 5 2 2" xfId="4457"/>
    <cellStyle name="Normal 2 5 2 2 2" xfId="4458"/>
    <cellStyle name="Normal 2 5 2 2 2 2" xfId="4459"/>
    <cellStyle name="Normal 2 5 2 2 3" xfId="4460"/>
    <cellStyle name="Normal 2 5 2 2 3 2" xfId="4461"/>
    <cellStyle name="Normal 2 5 2 2 4" xfId="4462"/>
    <cellStyle name="Normal 2 5 2 2 4 2" xfId="4463"/>
    <cellStyle name="Normal 2 5 2 2 5" xfId="4464"/>
    <cellStyle name="Normal 2 5 2 2 5 2" xfId="4465"/>
    <cellStyle name="Normal 2 5 2 3" xfId="4466"/>
    <cellStyle name="Normal 2 5 2 4" xfId="4467"/>
    <cellStyle name="Normal 2 5 2 5" xfId="4468"/>
    <cellStyle name="Normal 2 5 2 6" xfId="4469"/>
    <cellStyle name="Normal 2 5 3" xfId="4470"/>
    <cellStyle name="Normal 2 5 3 2" xfId="4471"/>
    <cellStyle name="Normal 2 5 3 3" xfId="4472"/>
    <cellStyle name="Normal 2 5 3 4" xfId="4473"/>
    <cellStyle name="Normal 2 5 4" xfId="4474"/>
    <cellStyle name="Normal 2 5 4 2" xfId="4475"/>
    <cellStyle name="Normal 2 5 5" xfId="4476"/>
    <cellStyle name="Normal 2 5 5 2" xfId="4477"/>
    <cellStyle name="Normal 2 5 6" xfId="4478"/>
    <cellStyle name="Normal 2 5 6 2" xfId="4479"/>
    <cellStyle name="Normal 2 5 7" xfId="4480"/>
    <cellStyle name="Normal 2 5 7 2" xfId="4481"/>
    <cellStyle name="Normal 2 5 7 3" xfId="4482"/>
    <cellStyle name="Normal 2 5 8" xfId="4483"/>
    <cellStyle name="Normal 2 5 9" xfId="4484"/>
    <cellStyle name="Normal 2 50" xfId="4485"/>
    <cellStyle name="Normal 2 50 2" xfId="4486"/>
    <cellStyle name="Normal 2 51" xfId="4487"/>
    <cellStyle name="Normal 2 51 2" xfId="4488"/>
    <cellStyle name="Normal 2 52" xfId="4489"/>
    <cellStyle name="Normal 2 52 2" xfId="4490"/>
    <cellStyle name="Normal 2 53" xfId="4491"/>
    <cellStyle name="Normal 2 53 2" xfId="4492"/>
    <cellStyle name="Normal 2 54" xfId="4493"/>
    <cellStyle name="Normal 2 54 2" xfId="4494"/>
    <cellStyle name="Normal 2 55" xfId="4495"/>
    <cellStyle name="Normal 2 55 2" xfId="4496"/>
    <cellStyle name="Normal 2 56" xfId="4497"/>
    <cellStyle name="Normal 2 56 2" xfId="4498"/>
    <cellStyle name="Normal 2 57" xfId="4499"/>
    <cellStyle name="Normal 2 57 2" xfId="4500"/>
    <cellStyle name="Normal 2 58" xfId="4501"/>
    <cellStyle name="Normal 2 58 2" xfId="4502"/>
    <cellStyle name="Normal 2 59" xfId="4503"/>
    <cellStyle name="Normal 2 59 2" xfId="4504"/>
    <cellStyle name="Normal 2 6" xfId="37"/>
    <cellStyle name="Normal 2 6 2" xfId="4505"/>
    <cellStyle name="Normal 2 6 2 2" xfId="4506"/>
    <cellStyle name="Normal 2 6 3" xfId="4507"/>
    <cellStyle name="Normal 2 6 3 2" xfId="4508"/>
    <cellStyle name="Normal 2 6 4" xfId="4509"/>
    <cellStyle name="Normal 2 6 5" xfId="4510"/>
    <cellStyle name="Normal 2 6 6" xfId="7498"/>
    <cellStyle name="Normal 2 60" xfId="4511"/>
    <cellStyle name="Normal 2 60 2" xfId="4512"/>
    <cellStyle name="Normal 2 61" xfId="4513"/>
    <cellStyle name="Normal 2 61 2" xfId="4514"/>
    <cellStyle name="Normal 2 62" xfId="4515"/>
    <cellStyle name="Normal 2 62 2" xfId="4516"/>
    <cellStyle name="Normal 2 63" xfId="4517"/>
    <cellStyle name="Normal 2 63 2" xfId="4518"/>
    <cellStyle name="Normal 2 64" xfId="4519"/>
    <cellStyle name="Normal 2 64 2" xfId="4520"/>
    <cellStyle name="Normal 2 65" xfId="4521"/>
    <cellStyle name="Normal 2 66" xfId="4522"/>
    <cellStyle name="Normal 2 67" xfId="4523"/>
    <cellStyle name="Normal 2 68" xfId="4524"/>
    <cellStyle name="Normal 2 69" xfId="4525"/>
    <cellStyle name="Normal 2 7" xfId="4526"/>
    <cellStyle name="Normal 2 7 2" xfId="4527"/>
    <cellStyle name="Normal 2 7 2 2" xfId="4528"/>
    <cellStyle name="Normal 2 7 2 3" xfId="4529"/>
    <cellStyle name="Normal 2 7 3" xfId="4530"/>
    <cellStyle name="Normal 2 7 3 2" xfId="4531"/>
    <cellStyle name="Normal 2 7 4" xfId="4532"/>
    <cellStyle name="Normal 2 7 5" xfId="4533"/>
    <cellStyle name="Normal 2 7 6" xfId="4534"/>
    <cellStyle name="Normal 2 7 7" xfId="4535"/>
    <cellStyle name="Normal 2 7 8" xfId="4536"/>
    <cellStyle name="Normal 2 7 9" xfId="4537"/>
    <cellStyle name="Normal 2 70" xfId="4538"/>
    <cellStyle name="Normal 2 71" xfId="4539"/>
    <cellStyle name="Normal 2 72" xfId="4540"/>
    <cellStyle name="Normal 2 73" xfId="4541"/>
    <cellStyle name="Normal 2 74" xfId="4542"/>
    <cellStyle name="Normal 2 75" xfId="4543"/>
    <cellStyle name="Normal 2 76" xfId="4544"/>
    <cellStyle name="Normal 2 77" xfId="4545"/>
    <cellStyle name="Normal 2 78" xfId="4546"/>
    <cellStyle name="Normal 2 79" xfId="4547"/>
    <cellStyle name="Normal 2 8" xfId="4548"/>
    <cellStyle name="Normal 2 8 2" xfId="4549"/>
    <cellStyle name="Normal 2 8 2 2" xfId="4550"/>
    <cellStyle name="Normal 2 8 3" xfId="4551"/>
    <cellStyle name="Normal 2 8 4" xfId="4552"/>
    <cellStyle name="Normal 2 80" xfId="4553"/>
    <cellStyle name="Normal 2 81" xfId="4554"/>
    <cellStyle name="Normal 2 82" xfId="4555"/>
    <cellStyle name="Normal 2 83" xfId="4556"/>
    <cellStyle name="Normal 2 84" xfId="4557"/>
    <cellStyle name="Normal 2 85" xfId="4558"/>
    <cellStyle name="Normal 2 86" xfId="4559"/>
    <cellStyle name="Normal 2 87" xfId="4560"/>
    <cellStyle name="Normal 2 88" xfId="4561"/>
    <cellStyle name="Normal 2 89" xfId="4562"/>
    <cellStyle name="Normal 2 9" xfId="4563"/>
    <cellStyle name="Normal 2 9 2" xfId="4564"/>
    <cellStyle name="Normal 2 9 3" xfId="4565"/>
    <cellStyle name="Normal 2 9 4" xfId="4566"/>
    <cellStyle name="Normal 2 90" xfId="4567"/>
    <cellStyle name="Normal 2 91" xfId="4568"/>
    <cellStyle name="Normal 2 92" xfId="4569"/>
    <cellStyle name="Normal 2 93" xfId="4570"/>
    <cellStyle name="Normal 2 94" xfId="4571"/>
    <cellStyle name="Normal 2 95" xfId="4572"/>
    <cellStyle name="Normal 2 95 2" xfId="4573"/>
    <cellStyle name="Normal 2 96" xfId="4574"/>
    <cellStyle name="Normal 2 97" xfId="4575"/>
    <cellStyle name="Normal 2 98" xfId="4576"/>
    <cellStyle name="Normal 2 99" xfId="4577"/>
    <cellStyle name="Normal 20" xfId="4578"/>
    <cellStyle name="Normal 20 2" xfId="4579"/>
    <cellStyle name="Normal 20 2 2" xfId="4580"/>
    <cellStyle name="Normal 20 3" xfId="4581"/>
    <cellStyle name="Normal 200" xfId="7553"/>
    <cellStyle name="Normal 201" xfId="7557"/>
    <cellStyle name="Normal 21" xfId="4582"/>
    <cellStyle name="Normal 21 2" xfId="4583"/>
    <cellStyle name="Normal 21 2 2" xfId="4584"/>
    <cellStyle name="Normal 21 3" xfId="4585"/>
    <cellStyle name="Normal 22" xfId="4586"/>
    <cellStyle name="Normal 22 2" xfId="4587"/>
    <cellStyle name="Normal 22 2 2" xfId="4588"/>
    <cellStyle name="Normal 22 3" xfId="4589"/>
    <cellStyle name="Normal 23" xfId="4590"/>
    <cellStyle name="Normal 23 2" xfId="4591"/>
    <cellStyle name="Normal 23 2 2" xfId="4592"/>
    <cellStyle name="Normal 23 3" xfId="4593"/>
    <cellStyle name="Normal 24" xfId="4594"/>
    <cellStyle name="Normal 24 2" xfId="4595"/>
    <cellStyle name="Normal 24 2 2" xfId="4596"/>
    <cellStyle name="Normal 24 3" xfId="4597"/>
    <cellStyle name="Normal 246 2" xfId="7533"/>
    <cellStyle name="Normal 25" xfId="4598"/>
    <cellStyle name="Normal 25 2" xfId="4599"/>
    <cellStyle name="Normal 25 2 2" xfId="4600"/>
    <cellStyle name="Normal 25 3" xfId="4601"/>
    <cellStyle name="Normal 251" xfId="7526"/>
    <cellStyle name="Normal 26" xfId="4602"/>
    <cellStyle name="Normal 26 2" xfId="4603"/>
    <cellStyle name="Normal 26 2 2" xfId="4604"/>
    <cellStyle name="Normal 26 3" xfId="4605"/>
    <cellStyle name="Normal 27" xfId="4606"/>
    <cellStyle name="Normal 27 2" xfId="4607"/>
    <cellStyle name="Normal 27 2 2" xfId="4608"/>
    <cellStyle name="Normal 27 3" xfId="4609"/>
    <cellStyle name="Normal 28" xfId="4610"/>
    <cellStyle name="Normal 28 2" xfId="4611"/>
    <cellStyle name="Normal 28 2 2" xfId="4612"/>
    <cellStyle name="Normal 28 3" xfId="4613"/>
    <cellStyle name="Normal 29" xfId="4614"/>
    <cellStyle name="Normal 29 2" xfId="4615"/>
    <cellStyle name="Normal 3" xfId="23"/>
    <cellStyle name="Normal 3 10" xfId="4616"/>
    <cellStyle name="Normal 3 10 2" xfId="4617"/>
    <cellStyle name="Normal 3 10 3" xfId="4618"/>
    <cellStyle name="Normal 3 10 4" xfId="4619"/>
    <cellStyle name="Normal 3 10 4 2" xfId="4620"/>
    <cellStyle name="Normal 3 10 5" xfId="4621"/>
    <cellStyle name="Normal 3 100" xfId="4622"/>
    <cellStyle name="Normal 3 101" xfId="4623"/>
    <cellStyle name="Normal 3 102" xfId="4624"/>
    <cellStyle name="Normal 3 103" xfId="4625"/>
    <cellStyle name="Normal 3 104" xfId="4626"/>
    <cellStyle name="Normal 3 105" xfId="4627"/>
    <cellStyle name="Normal 3 106" xfId="4628"/>
    <cellStyle name="Normal 3 107" xfId="4629"/>
    <cellStyle name="Normal 3 108" xfId="4630"/>
    <cellStyle name="Normal 3 109" xfId="4631"/>
    <cellStyle name="Normal 3 11" xfId="4632"/>
    <cellStyle name="Normal 3 11 2" xfId="4633"/>
    <cellStyle name="Normal 3 11 3" xfId="4634"/>
    <cellStyle name="Normal 3 11 4" xfId="4635"/>
    <cellStyle name="Normal 3 11 4 2" xfId="4636"/>
    <cellStyle name="Normal 3 11 5" xfId="4637"/>
    <cellStyle name="Normal 3 12" xfId="4638"/>
    <cellStyle name="Normal 3 12 2" xfId="4639"/>
    <cellStyle name="Normal 3 12 3" xfId="4640"/>
    <cellStyle name="Normal 3 12 4" xfId="4641"/>
    <cellStyle name="Normal 3 13" xfId="4642"/>
    <cellStyle name="Normal 3 13 2" xfId="4643"/>
    <cellStyle name="Normal 3 13 3" xfId="4644"/>
    <cellStyle name="Normal 3 13 4" xfId="4645"/>
    <cellStyle name="Normal 3 14" xfId="4646"/>
    <cellStyle name="Normal 3 14 2" xfId="4647"/>
    <cellStyle name="Normal 3 14 3" xfId="4648"/>
    <cellStyle name="Normal 3 14 4" xfId="4649"/>
    <cellStyle name="Normal 3 15" xfId="4650"/>
    <cellStyle name="Normal 3 15 2" xfId="4651"/>
    <cellStyle name="Normal 3 15 3" xfId="4652"/>
    <cellStyle name="Normal 3 15 4" xfId="4653"/>
    <cellStyle name="Normal 3 16" xfId="4654"/>
    <cellStyle name="Normal 3 16 2" xfId="4655"/>
    <cellStyle name="Normal 3 16 3" xfId="4656"/>
    <cellStyle name="Normal 3 16 4" xfId="4657"/>
    <cellStyle name="Normal 3 17" xfId="4658"/>
    <cellStyle name="Normal 3 17 2" xfId="4659"/>
    <cellStyle name="Normal 3 17 3" xfId="4660"/>
    <cellStyle name="Normal 3 17 4" xfId="4661"/>
    <cellStyle name="Normal 3 18" xfId="4662"/>
    <cellStyle name="Normal 3 18 2" xfId="4663"/>
    <cellStyle name="Normal 3 18 3" xfId="4664"/>
    <cellStyle name="Normal 3 18 4" xfId="4665"/>
    <cellStyle name="Normal 3 19" xfId="4666"/>
    <cellStyle name="Normal 3 19 2" xfId="4667"/>
    <cellStyle name="Normal 3 19 3" xfId="4668"/>
    <cellStyle name="Normal 3 19 4" xfId="4669"/>
    <cellStyle name="Normal 3 2" xfId="38"/>
    <cellStyle name="Normal 3 2 10" xfId="4670"/>
    <cellStyle name="Normal 3 2 10 2" xfId="4671"/>
    <cellStyle name="Normal 3 2 11" xfId="4672"/>
    <cellStyle name="Normal 3 2 11 2" xfId="4673"/>
    <cellStyle name="Normal 3 2 11 3" xfId="4674"/>
    <cellStyle name="Normal 3 2 11 4" xfId="4675"/>
    <cellStyle name="Normal 3 2 12" xfId="4676"/>
    <cellStyle name="Normal 3 2 12 2" xfId="4677"/>
    <cellStyle name="Normal 3 2 13" xfId="4678"/>
    <cellStyle name="Normal 3 2 13 2" xfId="4679"/>
    <cellStyle name="Normal 3 2 14" xfId="4680"/>
    <cellStyle name="Normal 3 2 14 2" xfId="4681"/>
    <cellStyle name="Normal 3 2 15" xfId="4682"/>
    <cellStyle name="Normal 3 2 15 2" xfId="4683"/>
    <cellStyle name="Normal 3 2 16" xfId="4684"/>
    <cellStyle name="Normal 3 2 16 2" xfId="4685"/>
    <cellStyle name="Normal 3 2 17" xfId="4686"/>
    <cellStyle name="Normal 3 2 17 2" xfId="4687"/>
    <cellStyle name="Normal 3 2 18" xfId="4688"/>
    <cellStyle name="Normal 3 2 19" xfId="4689"/>
    <cellStyle name="Normal 3 2 2" xfId="4690"/>
    <cellStyle name="Normal 3 2 2 10" xfId="4691"/>
    <cellStyle name="Normal 3 2 2 11" xfId="4692"/>
    <cellStyle name="Normal 3 2 2 12" xfId="4693"/>
    <cellStyle name="Normal 3 2 2 13" xfId="4694"/>
    <cellStyle name="Normal 3 2 2 14" xfId="4695"/>
    <cellStyle name="Normal 3 2 2 15" xfId="4696"/>
    <cellStyle name="Normal 3 2 2 16" xfId="4697"/>
    <cellStyle name="Normal 3 2 2 17" xfId="4698"/>
    <cellStyle name="Normal 3 2 2 2" xfId="4699"/>
    <cellStyle name="Normal 3 2 2 2 10" xfId="4700"/>
    <cellStyle name="Normal 3 2 2 2 10 2" xfId="4701"/>
    <cellStyle name="Normal 3 2 2 2 11" xfId="4702"/>
    <cellStyle name="Normal 3 2 2 2 11 2" xfId="4703"/>
    <cellStyle name="Normal 3 2 2 2 12" xfId="4704"/>
    <cellStyle name="Normal 3 2 2 2 12 2" xfId="4705"/>
    <cellStyle name="Normal 3 2 2 2 13" xfId="4706"/>
    <cellStyle name="Normal 3 2 2 2 13 2" xfId="4707"/>
    <cellStyle name="Normal 3 2 2 2 14" xfId="4708"/>
    <cellStyle name="Normal 3 2 2 2 14 2" xfId="4709"/>
    <cellStyle name="Normal 3 2 2 2 15" xfId="4710"/>
    <cellStyle name="Normal 3 2 2 2 15 2" xfId="4711"/>
    <cellStyle name="Normal 3 2 2 2 16" xfId="4712"/>
    <cellStyle name="Normal 3 2 2 2 17" xfId="4713"/>
    <cellStyle name="Normal 3 2 2 2 2" xfId="4714"/>
    <cellStyle name="Normal 3 2 2 2 2 2" xfId="4715"/>
    <cellStyle name="Normal 3 2 2 2 2 2 2" xfId="4716"/>
    <cellStyle name="Normal 3 2 2 2 2 2 2 2" xfId="4717"/>
    <cellStyle name="Normal 3 2 2 2 2 2 3" xfId="4718"/>
    <cellStyle name="Normal 3 2 2 2 2 2 3 2" xfId="4719"/>
    <cellStyle name="Normal 3 2 2 2 2 2 4" xfId="4720"/>
    <cellStyle name="Normal 3 2 2 2 2 2 4 2" xfId="4721"/>
    <cellStyle name="Normal 3 2 2 2 2 2 5" xfId="4722"/>
    <cellStyle name="Normal 3 2 2 2 2 2 5 2" xfId="4723"/>
    <cellStyle name="Normal 3 2 2 2 2 3" xfId="4724"/>
    <cellStyle name="Normal 3 2 2 2 2 4" xfId="4725"/>
    <cellStyle name="Normal 3 2 2 2 2 5" xfId="4726"/>
    <cellStyle name="Normal 3 2 2 2 2 6" xfId="4727"/>
    <cellStyle name="Normal 3 2 2 2 3" xfId="4728"/>
    <cellStyle name="Normal 3 2 2 2 3 2" xfId="4729"/>
    <cellStyle name="Normal 3 2 2 2 4" xfId="4730"/>
    <cellStyle name="Normal 3 2 2 2 4 2" xfId="4731"/>
    <cellStyle name="Normal 3 2 2 2 5" xfId="4732"/>
    <cellStyle name="Normal 3 2 2 2 5 2" xfId="4733"/>
    <cellStyle name="Normal 3 2 2 2 6" xfId="4734"/>
    <cellStyle name="Normal 3 2 2 2 6 2" xfId="4735"/>
    <cellStyle name="Normal 3 2 2 2 7" xfId="4736"/>
    <cellStyle name="Normal 3 2 2 2 7 2" xfId="4737"/>
    <cellStyle name="Normal 3 2 2 2 8" xfId="4738"/>
    <cellStyle name="Normal 3 2 2 2 8 2" xfId="4739"/>
    <cellStyle name="Normal 3 2 2 2 9" xfId="4740"/>
    <cellStyle name="Normal 3 2 2 2 9 2" xfId="4741"/>
    <cellStyle name="Normal 3 2 2 3" xfId="4742"/>
    <cellStyle name="Normal 3 2 2 3 2" xfId="4743"/>
    <cellStyle name="Normal 3 2 2 3 3" xfId="4744"/>
    <cellStyle name="Normal 3 2 2 3 4" xfId="4745"/>
    <cellStyle name="Normal 3 2 2 4" xfId="4746"/>
    <cellStyle name="Normal 3 2 2 4 2" xfId="4747"/>
    <cellStyle name="Normal 3 2 2 5" xfId="4748"/>
    <cellStyle name="Normal 3 2 2 6" xfId="4749"/>
    <cellStyle name="Normal 3 2 2 7" xfId="4750"/>
    <cellStyle name="Normal 3 2 2 8" xfId="4751"/>
    <cellStyle name="Normal 3 2 2 9" xfId="4752"/>
    <cellStyle name="Normal 3 2 20" xfId="4753"/>
    <cellStyle name="Normal 3 2 21" xfId="7429"/>
    <cellStyle name="Normal 3 2 3" xfId="4754"/>
    <cellStyle name="Normal 3 2 3 2" xfId="4755"/>
    <cellStyle name="Normal 3 2 4" xfId="4756"/>
    <cellStyle name="Normal 3 2 4 2" xfId="4757"/>
    <cellStyle name="Normal 3 2 5" xfId="4758"/>
    <cellStyle name="Normal 3 2 5 2" xfId="4759"/>
    <cellStyle name="Normal 3 2 6" xfId="4760"/>
    <cellStyle name="Normal 3 2 6 2" xfId="4761"/>
    <cellStyle name="Normal 3 2 7" xfId="4762"/>
    <cellStyle name="Normal 3 2 7 2" xfId="4763"/>
    <cellStyle name="Normal 3 2 8" xfId="4764"/>
    <cellStyle name="Normal 3 2 8 2" xfId="4765"/>
    <cellStyle name="Normal 3 2 9" xfId="4766"/>
    <cellStyle name="Normal 3 2 9 2" xfId="4767"/>
    <cellStyle name="Normal 3 20" xfId="4768"/>
    <cellStyle name="Normal 3 20 2" xfId="4769"/>
    <cellStyle name="Normal 3 20 3" xfId="4770"/>
    <cellStyle name="Normal 3 20 4" xfId="4771"/>
    <cellStyle name="Normal 3 21" xfId="4772"/>
    <cellStyle name="Normal 3 21 2" xfId="4773"/>
    <cellStyle name="Normal 3 22" xfId="4774"/>
    <cellStyle name="Normal 3 22 2" xfId="4775"/>
    <cellStyle name="Normal 3 23" xfId="4776"/>
    <cellStyle name="Normal 3 24" xfId="4777"/>
    <cellStyle name="Normal 3 25" xfId="4778"/>
    <cellStyle name="Normal 3 26" xfId="4779"/>
    <cellStyle name="Normal 3 27" xfId="4780"/>
    <cellStyle name="Normal 3 28" xfId="4781"/>
    <cellStyle name="Normal 3 29" xfId="4782"/>
    <cellStyle name="Normal 3 3" xfId="4783"/>
    <cellStyle name="Normal 3 3 2" xfId="4784"/>
    <cellStyle name="Normal 3 3 2 2" xfId="4785"/>
    <cellStyle name="Normal 3 3 2 2 2" xfId="4786"/>
    <cellStyle name="Normal 3 3 2 2 2 2" xfId="4787"/>
    <cellStyle name="Normal 3 3 2 2 3" xfId="4788"/>
    <cellStyle name="Normal 3 3 2 2 4" xfId="4789"/>
    <cellStyle name="Normal 3 3 2 2 5" xfId="4790"/>
    <cellStyle name="Normal 3 3 2 2 6" xfId="4791"/>
    <cellStyle name="Normal 3 3 2 3" xfId="4792"/>
    <cellStyle name="Normal 3 3 2 3 2" xfId="4793"/>
    <cellStyle name="Normal 3 3 2 4" xfId="4794"/>
    <cellStyle name="Normal 3 3 2 4 2" xfId="4795"/>
    <cellStyle name="Normal 3 3 2 5" xfId="4796"/>
    <cellStyle name="Normal 3 3 2 5 2" xfId="4797"/>
    <cellStyle name="Normal 3 3 2 6" xfId="4798"/>
    <cellStyle name="Normal 3 3 2 6 2" xfId="4799"/>
    <cellStyle name="Normal 3 3 3" xfId="4800"/>
    <cellStyle name="Normal 3 3 3 2" xfId="4801"/>
    <cellStyle name="Normal 3 3 3 3" xfId="4802"/>
    <cellStyle name="Normal 3 3 3 4" xfId="4803"/>
    <cellStyle name="Normal 3 3 4" xfId="4804"/>
    <cellStyle name="Normal 3 3 4 2" xfId="4805"/>
    <cellStyle name="Normal 3 3 5" xfId="4806"/>
    <cellStyle name="Normal 3 3 6" xfId="4807"/>
    <cellStyle name="Normal 3 3 7" xfId="4808"/>
    <cellStyle name="Normal 3 3 8" xfId="7420"/>
    <cellStyle name="Normal 3 3 9" xfId="7431"/>
    <cellStyle name="Normal 3 30" xfId="4809"/>
    <cellStyle name="Normal 3 31" xfId="4810"/>
    <cellStyle name="Normal 3 32" xfId="4811"/>
    <cellStyle name="Normal 3 33" xfId="4812"/>
    <cellStyle name="Normal 3 34" xfId="4813"/>
    <cellStyle name="Normal 3 35" xfId="4814"/>
    <cellStyle name="Normal 3 36" xfId="4815"/>
    <cellStyle name="Normal 3 37" xfId="4816"/>
    <cellStyle name="Normal 3 38" xfId="4817"/>
    <cellStyle name="Normal 3 39" xfId="4818"/>
    <cellStyle name="Normal 3 4" xfId="4819"/>
    <cellStyle name="Normal 3 4 10" xfId="4820"/>
    <cellStyle name="Normal 3 4 11" xfId="4821"/>
    <cellStyle name="Normal 3 4 12" xfId="7499"/>
    <cellStyle name="Normal 3 4 2" xfId="4822"/>
    <cellStyle name="Normal 3 4 2 2" xfId="4823"/>
    <cellStyle name="Normal 3 4 3" xfId="4824"/>
    <cellStyle name="Normal 3 4 3 2" xfId="4825"/>
    <cellStyle name="Normal 3 4 4" xfId="4826"/>
    <cellStyle name="Normal 3 4 5" xfId="4827"/>
    <cellStyle name="Normal 3 4 6" xfId="4828"/>
    <cellStyle name="Normal 3 4 7" xfId="4829"/>
    <cellStyle name="Normal 3 4 8" xfId="4830"/>
    <cellStyle name="Normal 3 4 9" xfId="4831"/>
    <cellStyle name="Normal 3 40" xfId="4832"/>
    <cellStyle name="Normal 3 41" xfId="4833"/>
    <cellStyle name="Normal 3 42" xfId="4834"/>
    <cellStyle name="Normal 3 43" xfId="4835"/>
    <cellStyle name="Normal 3 44" xfId="4836"/>
    <cellStyle name="Normal 3 45" xfId="4837"/>
    <cellStyle name="Normal 3 46" xfId="4838"/>
    <cellStyle name="Normal 3 47" xfId="4839"/>
    <cellStyle name="Normal 3 48" xfId="4840"/>
    <cellStyle name="Normal 3 49" xfId="4841"/>
    <cellStyle name="Normal 3 5" xfId="4842"/>
    <cellStyle name="Normal 3 5 10" xfId="4843"/>
    <cellStyle name="Normal 3 5 11" xfId="4844"/>
    <cellStyle name="Normal 3 5 12" xfId="4845"/>
    <cellStyle name="Normal 3 5 13" xfId="4846"/>
    <cellStyle name="Normal 3 5 14" xfId="4847"/>
    <cellStyle name="Normal 3 5 15" xfId="4848"/>
    <cellStyle name="Normal 3 5 16" xfId="4849"/>
    <cellStyle name="Normal 3 5 16 2" xfId="4850"/>
    <cellStyle name="Normal 3 5 17" xfId="4851"/>
    <cellStyle name="Normal 3 5 18" xfId="4852"/>
    <cellStyle name="Normal 3 5 2" xfId="4853"/>
    <cellStyle name="Normal 3 5 2 2" xfId="4854"/>
    <cellStyle name="Normal 3 5 2 2 2" xfId="4855"/>
    <cellStyle name="Normal 3 5 2 2 2 2" xfId="4856"/>
    <cellStyle name="Normal 3 5 2 2 3" xfId="4857"/>
    <cellStyle name="Normal 3 5 2 2 4" xfId="4858"/>
    <cellStyle name="Normal 3 5 2 2 5" xfId="4859"/>
    <cellStyle name="Normal 3 5 2 3" xfId="4860"/>
    <cellStyle name="Normal 3 5 2 4" xfId="4861"/>
    <cellStyle name="Normal 3 5 2 5" xfId="4862"/>
    <cellStyle name="Normal 3 5 3" xfId="4863"/>
    <cellStyle name="Normal 3 5 3 2" xfId="4864"/>
    <cellStyle name="Normal 3 5 3 3" xfId="4865"/>
    <cellStyle name="Normal 3 5 3 4" xfId="4866"/>
    <cellStyle name="Normal 3 5 4" xfId="4867"/>
    <cellStyle name="Normal 3 5 4 2" xfId="4868"/>
    <cellStyle name="Normal 3 5 5" xfId="4869"/>
    <cellStyle name="Normal 3 5 6" xfId="4870"/>
    <cellStyle name="Normal 3 5 7" xfId="4871"/>
    <cellStyle name="Normal 3 5 8" xfId="4872"/>
    <cellStyle name="Normal 3 5 9" xfId="4873"/>
    <cellStyle name="Normal 3 50" xfId="4874"/>
    <cellStyle name="Normal 3 51" xfId="4875"/>
    <cellStyle name="Normal 3 52" xfId="4876"/>
    <cellStyle name="Normal 3 53" xfId="4877"/>
    <cellStyle name="Normal 3 54" xfId="4878"/>
    <cellStyle name="Normal 3 55" xfId="4879"/>
    <cellStyle name="Normal 3 56" xfId="4880"/>
    <cellStyle name="Normal 3 57" xfId="4881"/>
    <cellStyle name="Normal 3 58" xfId="4882"/>
    <cellStyle name="Normal 3 59" xfId="4883"/>
    <cellStyle name="Normal 3 6" xfId="4884"/>
    <cellStyle name="Normal 3 6 2" xfId="4885"/>
    <cellStyle name="Normal 3 6 3" xfId="4886"/>
    <cellStyle name="Normal 3 6 4" xfId="4887"/>
    <cellStyle name="Normal 3 6 4 2" xfId="4888"/>
    <cellStyle name="Normal 3 6 5" xfId="4889"/>
    <cellStyle name="Normal 3 60" xfId="4890"/>
    <cellStyle name="Normal 3 61" xfId="4891"/>
    <cellStyle name="Normal 3 62" xfId="4892"/>
    <cellStyle name="Normal 3 63" xfId="4893"/>
    <cellStyle name="Normal 3 64" xfId="4894"/>
    <cellStyle name="Normal 3 65" xfId="4895"/>
    <cellStyle name="Normal 3 66" xfId="4896"/>
    <cellStyle name="Normal 3 67" xfId="4897"/>
    <cellStyle name="Normal 3 68" xfId="4898"/>
    <cellStyle name="Normal 3 69" xfId="4899"/>
    <cellStyle name="Normal 3 7" xfId="4900"/>
    <cellStyle name="Normal 3 70" xfId="4901"/>
    <cellStyle name="Normal 3 71" xfId="4902"/>
    <cellStyle name="Normal 3 72" xfId="4903"/>
    <cellStyle name="Normal 3 73" xfId="4904"/>
    <cellStyle name="Normal 3 74" xfId="4905"/>
    <cellStyle name="Normal 3 75" xfId="4906"/>
    <cellStyle name="Normal 3 76" xfId="4907"/>
    <cellStyle name="Normal 3 77" xfId="4908"/>
    <cellStyle name="Normal 3 78" xfId="4909"/>
    <cellStyle name="Normal 3 79" xfId="4910"/>
    <cellStyle name="Normal 3 8" xfId="4911"/>
    <cellStyle name="Normal 3 8 2" xfId="4912"/>
    <cellStyle name="Normal 3 8 3" xfId="4913"/>
    <cellStyle name="Normal 3 8 4" xfId="4914"/>
    <cellStyle name="Normal 3 8 4 2" xfId="4915"/>
    <cellStyle name="Normal 3 8 5" xfId="4916"/>
    <cellStyle name="Normal 3 80" xfId="4917"/>
    <cellStyle name="Normal 3 81" xfId="4918"/>
    <cellStyle name="Normal 3 82" xfId="4919"/>
    <cellStyle name="Normal 3 83" xfId="4920"/>
    <cellStyle name="Normal 3 84" xfId="4921"/>
    <cellStyle name="Normal 3 85" xfId="4922"/>
    <cellStyle name="Normal 3 86" xfId="4923"/>
    <cellStyle name="Normal 3 87" xfId="4924"/>
    <cellStyle name="Normal 3 88" xfId="4925"/>
    <cellStyle name="Normal 3 89" xfId="4926"/>
    <cellStyle name="Normal 3 9" xfId="4927"/>
    <cellStyle name="Normal 3 9 2" xfId="4928"/>
    <cellStyle name="Normal 3 9 3" xfId="4929"/>
    <cellStyle name="Normal 3 9 4" xfId="4930"/>
    <cellStyle name="Normal 3 9 4 2" xfId="4931"/>
    <cellStyle name="Normal 3 9 5" xfId="4932"/>
    <cellStyle name="Normal 3 90" xfId="4933"/>
    <cellStyle name="Normal 3 91" xfId="4934"/>
    <cellStyle name="Normal 3 92" xfId="4935"/>
    <cellStyle name="Normal 3 93" xfId="4936"/>
    <cellStyle name="Normal 3 94" xfId="4937"/>
    <cellStyle name="Normal 3 95" xfId="4938"/>
    <cellStyle name="Normal 3 96" xfId="4939"/>
    <cellStyle name="Normal 3 97" xfId="4940"/>
    <cellStyle name="Normal 3 98" xfId="4941"/>
    <cellStyle name="Normal 3 99" xfId="4942"/>
    <cellStyle name="Normal 30" xfId="4943"/>
    <cellStyle name="Normal 31" xfId="4944"/>
    <cellStyle name="Normal 31 2" xfId="4945"/>
    <cellStyle name="Normal 31 3" xfId="4946"/>
    <cellStyle name="Normal 32" xfId="4947"/>
    <cellStyle name="Normal 32 2" xfId="4948"/>
    <cellStyle name="Normal 33" xfId="4949"/>
    <cellStyle name="Normal 34" xfId="4950"/>
    <cellStyle name="Normal 35" xfId="4951"/>
    <cellStyle name="Normal 36" xfId="4952"/>
    <cellStyle name="Normal 37" xfId="4953"/>
    <cellStyle name="Normal 38" xfId="4954"/>
    <cellStyle name="Normal 39" xfId="4955"/>
    <cellStyle name="Normal 4" xfId="24"/>
    <cellStyle name="Normal 4 10" xfId="4956"/>
    <cellStyle name="Normal 4 10 2" xfId="4957"/>
    <cellStyle name="Normal 4 10 3" xfId="4958"/>
    <cellStyle name="Normal 4 100" xfId="4959"/>
    <cellStyle name="Normal 4 101" xfId="4960"/>
    <cellStyle name="Normal 4 102" xfId="4961"/>
    <cellStyle name="Normal 4 103" xfId="4962"/>
    <cellStyle name="Normal 4 104" xfId="4963"/>
    <cellStyle name="Normal 4 105" xfId="4964"/>
    <cellStyle name="Normal 4 106" xfId="4965"/>
    <cellStyle name="Normal 4 107" xfId="4966"/>
    <cellStyle name="Normal 4 108" xfId="4967"/>
    <cellStyle name="Normal 4 109" xfId="4968"/>
    <cellStyle name="Normal 4 11" xfId="4969"/>
    <cellStyle name="Normal 4 11 2" xfId="4970"/>
    <cellStyle name="Normal 4 11 3" xfId="4971"/>
    <cellStyle name="Normal 4 110" xfId="4972"/>
    <cellStyle name="Normal 4 111" xfId="4973"/>
    <cellStyle name="Normal 4 112" xfId="4974"/>
    <cellStyle name="Normal 4 113" xfId="4975"/>
    <cellStyle name="Normal 4 114" xfId="4976"/>
    <cellStyle name="Normal 4 115" xfId="4977"/>
    <cellStyle name="Normal 4 116" xfId="4978"/>
    <cellStyle name="Normal 4 117" xfId="4979"/>
    <cellStyle name="Normal 4 118" xfId="4980"/>
    <cellStyle name="Normal 4 119" xfId="4981"/>
    <cellStyle name="Normal 4 12" xfId="4982"/>
    <cellStyle name="Normal 4 12 2" xfId="4983"/>
    <cellStyle name="Normal 4 120" xfId="4984"/>
    <cellStyle name="Normal 4 121" xfId="4985"/>
    <cellStyle name="Normal 4 122" xfId="4986"/>
    <cellStyle name="Normal 4 123" xfId="4987"/>
    <cellStyle name="Normal 4 124" xfId="4988"/>
    <cellStyle name="Normal 4 125" xfId="4989"/>
    <cellStyle name="Normal 4 126" xfId="4990"/>
    <cellStyle name="Normal 4 127" xfId="4991"/>
    <cellStyle name="Normal 4 128" xfId="4992"/>
    <cellStyle name="Normal 4 129" xfId="4993"/>
    <cellStyle name="Normal 4 13" xfId="4994"/>
    <cellStyle name="Normal 4 13 2" xfId="4995"/>
    <cellStyle name="Normal 4 130" xfId="4996"/>
    <cellStyle name="Normal 4 131" xfId="4997"/>
    <cellStyle name="Normal 4 132" xfId="4998"/>
    <cellStyle name="Normal 4 133" xfId="4999"/>
    <cellStyle name="Normal 4 134" xfId="5000"/>
    <cellStyle name="Normal 4 135" xfId="5001"/>
    <cellStyle name="Normal 4 136" xfId="5002"/>
    <cellStyle name="Normal 4 137" xfId="5003"/>
    <cellStyle name="Normal 4 138" xfId="5004"/>
    <cellStyle name="Normal 4 139" xfId="5005"/>
    <cellStyle name="Normal 4 14" xfId="5006"/>
    <cellStyle name="Normal 4 14 2" xfId="5007"/>
    <cellStyle name="Normal 4 140" xfId="5008"/>
    <cellStyle name="Normal 4 141" xfId="5009"/>
    <cellStyle name="Normal 4 142" xfId="5010"/>
    <cellStyle name="Normal 4 143" xfId="5011"/>
    <cellStyle name="Normal 4 144" xfId="5012"/>
    <cellStyle name="Normal 4 145" xfId="5013"/>
    <cellStyle name="Normal 4 146" xfId="5014"/>
    <cellStyle name="Normal 4 147" xfId="5015"/>
    <cellStyle name="Normal 4 148" xfId="5016"/>
    <cellStyle name="Normal 4 149" xfId="5017"/>
    <cellStyle name="Normal 4 15" xfId="5018"/>
    <cellStyle name="Normal 4 15 2" xfId="5019"/>
    <cellStyle name="Normal 4 150" xfId="5020"/>
    <cellStyle name="Normal 4 151" xfId="5021"/>
    <cellStyle name="Normal 4 152" xfId="5022"/>
    <cellStyle name="Normal 4 153" xfId="5023"/>
    <cellStyle name="Normal 4 154" xfId="5024"/>
    <cellStyle name="Normal 4 155" xfId="5025"/>
    <cellStyle name="Normal 4 156" xfId="5026"/>
    <cellStyle name="Normal 4 157" xfId="7421"/>
    <cellStyle name="Normal 4 16" xfId="5027"/>
    <cellStyle name="Normal 4 16 2" xfId="5028"/>
    <cellStyle name="Normal 4 17" xfId="5029"/>
    <cellStyle name="Normal 4 17 2" xfId="5030"/>
    <cellStyle name="Normal 4 18" xfId="5031"/>
    <cellStyle name="Normal 4 18 2" xfId="5032"/>
    <cellStyle name="Normal 4 19" xfId="5033"/>
    <cellStyle name="Normal 4 19 2" xfId="5034"/>
    <cellStyle name="Normal 4 2" xfId="5035"/>
    <cellStyle name="Normal 4 2 10" xfId="5036"/>
    <cellStyle name="Normal 4 2 11" xfId="5037"/>
    <cellStyle name="Normal 4 2 12" xfId="5038"/>
    <cellStyle name="Normal 4 2 13" xfId="5039"/>
    <cellStyle name="Normal 4 2 14" xfId="5040"/>
    <cellStyle name="Normal 4 2 15" xfId="5041"/>
    <cellStyle name="Normal 4 2 16" xfId="5042"/>
    <cellStyle name="Normal 4 2 17" xfId="5043"/>
    <cellStyle name="Normal 4 2 18" xfId="5044"/>
    <cellStyle name="Normal 4 2 2" xfId="5045"/>
    <cellStyle name="Normal 4 2 2 10" xfId="5046"/>
    <cellStyle name="Normal 4 2 2 2" xfId="5047"/>
    <cellStyle name="Normal 4 2 2 2 2" xfId="5048"/>
    <cellStyle name="Normal 4 2 2 3" xfId="5049"/>
    <cellStyle name="Normal 4 2 2 4" xfId="5050"/>
    <cellStyle name="Normal 4 2 2 5" xfId="5051"/>
    <cellStyle name="Normal 4 2 2 6" xfId="5052"/>
    <cellStyle name="Normal 4 2 2 7" xfId="5053"/>
    <cellStyle name="Normal 4 2 2 8" xfId="5054"/>
    <cellStyle name="Normal 4 2 2 9" xfId="5055"/>
    <cellStyle name="Normal 4 2 3" xfId="5056"/>
    <cellStyle name="Normal 4 2 4" xfId="5057"/>
    <cellStyle name="Normal 4 2 5" xfId="5058"/>
    <cellStyle name="Normal 4 2 5 2" xfId="5059"/>
    <cellStyle name="Normal 4 2 6" xfId="5060"/>
    <cellStyle name="Normal 4 2 7" xfId="5061"/>
    <cellStyle name="Normal 4 2 8" xfId="5062"/>
    <cellStyle name="Normal 4 2 9" xfId="5063"/>
    <cellStyle name="Normal 4 20" xfId="5064"/>
    <cellStyle name="Normal 4 20 2" xfId="5065"/>
    <cellStyle name="Normal 4 21" xfId="5066"/>
    <cellStyle name="Normal 4 21 2" xfId="5067"/>
    <cellStyle name="Normal 4 22" xfId="5068"/>
    <cellStyle name="Normal 4 22 2" xfId="5069"/>
    <cellStyle name="Normal 4 23" xfId="5070"/>
    <cellStyle name="Normal 4 23 2" xfId="5071"/>
    <cellStyle name="Normal 4 24" xfId="5072"/>
    <cellStyle name="Normal 4 24 2" xfId="5073"/>
    <cellStyle name="Normal 4 25" xfId="5074"/>
    <cellStyle name="Normal 4 25 2" xfId="5075"/>
    <cellStyle name="Normal 4 26" xfId="5076"/>
    <cellStyle name="Normal 4 26 2" xfId="5077"/>
    <cellStyle name="Normal 4 27" xfId="5078"/>
    <cellStyle name="Normal 4 27 2" xfId="5079"/>
    <cellStyle name="Normal 4 28" xfId="5080"/>
    <cellStyle name="Normal 4 28 2" xfId="5081"/>
    <cellStyle name="Normal 4 29" xfId="5082"/>
    <cellStyle name="Normal 4 29 2" xfId="5083"/>
    <cellStyle name="Normal 4 3" xfId="5084"/>
    <cellStyle name="Normal 4 3 10" xfId="5085"/>
    <cellStyle name="Normal 4 3 11" xfId="5086"/>
    <cellStyle name="Normal 4 3 12" xfId="7500"/>
    <cellStyle name="Normal 4 3 2" xfId="5087"/>
    <cellStyle name="Normal 4 3 2 2" xfId="5088"/>
    <cellStyle name="Normal 4 3 3" xfId="5089"/>
    <cellStyle name="Normal 4 3 3 2" xfId="5090"/>
    <cellStyle name="Normal 4 3 4" xfId="5091"/>
    <cellStyle name="Normal 4 3 5" xfId="5092"/>
    <cellStyle name="Normal 4 3 6" xfId="5093"/>
    <cellStyle name="Normal 4 3 7" xfId="5094"/>
    <cellStyle name="Normal 4 3 8" xfId="5095"/>
    <cellStyle name="Normal 4 3 9" xfId="5096"/>
    <cellStyle name="Normal 4 30" xfId="5097"/>
    <cellStyle name="Normal 4 30 2" xfId="5098"/>
    <cellStyle name="Normal 4 31" xfId="5099"/>
    <cellStyle name="Normal 4 31 2" xfId="5100"/>
    <cellStyle name="Normal 4 32" xfId="5101"/>
    <cellStyle name="Normal 4 32 2" xfId="5102"/>
    <cellStyle name="Normal 4 33" xfId="5103"/>
    <cellStyle name="Normal 4 33 2" xfId="5104"/>
    <cellStyle name="Normal 4 34" xfId="5105"/>
    <cellStyle name="Normal 4 34 2" xfId="5106"/>
    <cellStyle name="Normal 4 35" xfId="5107"/>
    <cellStyle name="Normal 4 35 2" xfId="5108"/>
    <cellStyle name="Normal 4 36" xfId="5109"/>
    <cellStyle name="Normal 4 36 2" xfId="5110"/>
    <cellStyle name="Normal 4 37" xfId="5111"/>
    <cellStyle name="Normal 4 37 2" xfId="5112"/>
    <cellStyle name="Normal 4 38" xfId="5113"/>
    <cellStyle name="Normal 4 38 2" xfId="5114"/>
    <cellStyle name="Normal 4 39" xfId="5115"/>
    <cellStyle name="Normal 4 39 2" xfId="5116"/>
    <cellStyle name="Normal 4 4" xfId="5117"/>
    <cellStyle name="Normal 4 4 2" xfId="5118"/>
    <cellStyle name="Normal 4 4 2 2" xfId="5119"/>
    <cellStyle name="Normal 4 4 2 3" xfId="5120"/>
    <cellStyle name="Normal 4 4 2 4" xfId="5121"/>
    <cellStyle name="Normal 4 4 2 5" xfId="5122"/>
    <cellStyle name="Normal 4 4 3" xfId="5123"/>
    <cellStyle name="Normal 4 4 4" xfId="5124"/>
    <cellStyle name="Normal 4 4 4 2" xfId="5125"/>
    <cellStyle name="Normal 4 4 5" xfId="5126"/>
    <cellStyle name="Normal 4 4 6" xfId="5127"/>
    <cellStyle name="Normal 4 4 6 2" xfId="5128"/>
    <cellStyle name="Normal 4 4 7" xfId="7537"/>
    <cellStyle name="Normal 4 40" xfId="5129"/>
    <cellStyle name="Normal 4 40 2" xfId="5130"/>
    <cellStyle name="Normal 4 41" xfId="5131"/>
    <cellStyle name="Normal 4 41 2" xfId="5132"/>
    <cellStyle name="Normal 4 42" xfId="5133"/>
    <cellStyle name="Normal 4 42 2" xfId="5134"/>
    <cellStyle name="Normal 4 43" xfId="5135"/>
    <cellStyle name="Normal 4 43 2" xfId="5136"/>
    <cellStyle name="Normal 4 44" xfId="5137"/>
    <cellStyle name="Normal 4 44 2" xfId="5138"/>
    <cellStyle name="Normal 4 45" xfId="5139"/>
    <cellStyle name="Normal 4 45 2" xfId="5140"/>
    <cellStyle name="Normal 4 46" xfId="5141"/>
    <cellStyle name="Normal 4 46 2" xfId="5142"/>
    <cellStyle name="Normal 4 47" xfId="5143"/>
    <cellStyle name="Normal 4 47 2" xfId="5144"/>
    <cellStyle name="Normal 4 48" xfId="5145"/>
    <cellStyle name="Normal 4 48 2" xfId="5146"/>
    <cellStyle name="Normal 4 49" xfId="5147"/>
    <cellStyle name="Normal 4 49 2" xfId="5148"/>
    <cellStyle name="Normal 4 5" xfId="5149"/>
    <cellStyle name="Normal 4 5 2" xfId="5150"/>
    <cellStyle name="Normal 4 5 2 2" xfId="5151"/>
    <cellStyle name="Normal 4 5 3" xfId="5152"/>
    <cellStyle name="Normal 4 5 4" xfId="5153"/>
    <cellStyle name="Normal 4 5 5" xfId="5154"/>
    <cellStyle name="Normal 4 50" xfId="5155"/>
    <cellStyle name="Normal 4 50 2" xfId="5156"/>
    <cellStyle name="Normal 4 51" xfId="5157"/>
    <cellStyle name="Normal 4 51 2" xfId="5158"/>
    <cellStyle name="Normal 4 52" xfId="5159"/>
    <cellStyle name="Normal 4 52 2" xfId="5160"/>
    <cellStyle name="Normal 4 53" xfId="5161"/>
    <cellStyle name="Normal 4 53 2" xfId="5162"/>
    <cellStyle name="Normal 4 54" xfId="5163"/>
    <cellStyle name="Normal 4 54 2" xfId="5164"/>
    <cellStyle name="Normal 4 55" xfId="5165"/>
    <cellStyle name="Normal 4 55 2" xfId="5166"/>
    <cellStyle name="Normal 4 56" xfId="5167"/>
    <cellStyle name="Normal 4 56 2" xfId="5168"/>
    <cellStyle name="Normal 4 57" xfId="5169"/>
    <cellStyle name="Normal 4 57 2" xfId="5170"/>
    <cellStyle name="Normal 4 58" xfId="5171"/>
    <cellStyle name="Normal 4 58 2" xfId="5172"/>
    <cellStyle name="Normal 4 59" xfId="5173"/>
    <cellStyle name="Normal 4 59 2" xfId="5174"/>
    <cellStyle name="Normal 4 6" xfId="5175"/>
    <cellStyle name="Normal 4 6 2" xfId="5176"/>
    <cellStyle name="Normal 4 6 2 2" xfId="5177"/>
    <cellStyle name="Normal 4 6 3" xfId="5178"/>
    <cellStyle name="Normal 4 6 4" xfId="5179"/>
    <cellStyle name="Normal 4 6 5" xfId="5180"/>
    <cellStyle name="Normal 4 60" xfId="5181"/>
    <cellStyle name="Normal 4 60 2" xfId="5182"/>
    <cellStyle name="Normal 4 61" xfId="5183"/>
    <cellStyle name="Normal 4 61 2" xfId="5184"/>
    <cellStyle name="Normal 4 62" xfId="5185"/>
    <cellStyle name="Normal 4 63" xfId="5186"/>
    <cellStyle name="Normal 4 64" xfId="5187"/>
    <cellStyle name="Normal 4 65" xfId="5188"/>
    <cellStyle name="Normal 4 66" xfId="5189"/>
    <cellStyle name="Normal 4 67" xfId="5190"/>
    <cellStyle name="Normal 4 68" xfId="5191"/>
    <cellStyle name="Normal 4 69" xfId="5192"/>
    <cellStyle name="Normal 4 7" xfId="5193"/>
    <cellStyle name="Normal 4 7 2" xfId="5194"/>
    <cellStyle name="Normal 4 7 2 2" xfId="5195"/>
    <cellStyle name="Normal 4 7 3" xfId="5196"/>
    <cellStyle name="Normal 4 7 4" xfId="5197"/>
    <cellStyle name="Normal 4 7 5" xfId="5198"/>
    <cellStyle name="Normal 4 70" xfId="5199"/>
    <cellStyle name="Normal 4 71" xfId="5200"/>
    <cellStyle name="Normal 4 72" xfId="5201"/>
    <cellStyle name="Normal 4 73" xfId="5202"/>
    <cellStyle name="Normal 4 74" xfId="5203"/>
    <cellStyle name="Normal 4 75" xfId="5204"/>
    <cellStyle name="Normal 4 76" xfId="5205"/>
    <cellStyle name="Normal 4 77" xfId="5206"/>
    <cellStyle name="Normal 4 78" xfId="5207"/>
    <cellStyle name="Normal 4 79" xfId="5208"/>
    <cellStyle name="Normal 4 8" xfId="5209"/>
    <cellStyle name="Normal 4 8 2" xfId="5210"/>
    <cellStyle name="Normal 4 8 2 2" xfId="5211"/>
    <cellStyle name="Normal 4 8 3" xfId="5212"/>
    <cellStyle name="Normal 4 8 4" xfId="5213"/>
    <cellStyle name="Normal 4 8 5" xfId="5214"/>
    <cellStyle name="Normal 4 80" xfId="5215"/>
    <cellStyle name="Normal 4 81" xfId="5216"/>
    <cellStyle name="Normal 4 82" xfId="5217"/>
    <cellStyle name="Normal 4 83" xfId="5218"/>
    <cellStyle name="Normal 4 84" xfId="5219"/>
    <cellStyle name="Normal 4 85" xfId="5220"/>
    <cellStyle name="Normal 4 86" xfId="5221"/>
    <cellStyle name="Normal 4 87" xfId="5222"/>
    <cellStyle name="Normal 4 88" xfId="5223"/>
    <cellStyle name="Normal 4 89" xfId="5224"/>
    <cellStyle name="Normal 4 9" xfId="5225"/>
    <cellStyle name="Normal 4 9 2" xfId="5226"/>
    <cellStyle name="Normal 4 9 3" xfId="5227"/>
    <cellStyle name="Normal 4 90" xfId="5228"/>
    <cellStyle name="Normal 4 91" xfId="5229"/>
    <cellStyle name="Normal 4 92" xfId="5230"/>
    <cellStyle name="Normal 4 93" xfId="5231"/>
    <cellStyle name="Normal 4 94" xfId="5232"/>
    <cellStyle name="Normal 4 95" xfId="5233"/>
    <cellStyle name="Normal 4 96" xfId="5234"/>
    <cellStyle name="Normal 4 97" xfId="5235"/>
    <cellStyle name="Normal 4 98" xfId="5236"/>
    <cellStyle name="Normal 4 99" xfId="5237"/>
    <cellStyle name="Normal 40" xfId="5238"/>
    <cellStyle name="Normal 41" xfId="5239"/>
    <cellStyle name="Normal 42" xfId="5240"/>
    <cellStyle name="Normal 42 2" xfId="5241"/>
    <cellStyle name="Normal 43" xfId="5242"/>
    <cellStyle name="Normal 43 2" xfId="5243"/>
    <cellStyle name="Normal 44" xfId="5244"/>
    <cellStyle name="Normal 45" xfId="5245"/>
    <cellStyle name="Normal 46" xfId="5246"/>
    <cellStyle name="Normal 47" xfId="5247"/>
    <cellStyle name="Normal 48" xfId="5248"/>
    <cellStyle name="Normal 49" xfId="5249"/>
    <cellStyle name="Normal 5" xfId="26"/>
    <cellStyle name="Normal 5 10" xfId="5250"/>
    <cellStyle name="Normal 5 10 2" xfId="5251"/>
    <cellStyle name="Normal 5 10 3" xfId="7527"/>
    <cellStyle name="Normal 5 100" xfId="5252"/>
    <cellStyle name="Normal 5 101" xfId="5253"/>
    <cellStyle name="Normal 5 102" xfId="5254"/>
    <cellStyle name="Normal 5 103" xfId="5255"/>
    <cellStyle name="Normal 5 104" xfId="5256"/>
    <cellStyle name="Normal 5 105" xfId="5257"/>
    <cellStyle name="Normal 5 106" xfId="5258"/>
    <cellStyle name="Normal 5 107" xfId="5259"/>
    <cellStyle name="Normal 5 108" xfId="5260"/>
    <cellStyle name="Normal 5 109" xfId="5261"/>
    <cellStyle name="Normal 5 11" xfId="5262"/>
    <cellStyle name="Normal 5 11 2" xfId="5263"/>
    <cellStyle name="Normal 5 110" xfId="5264"/>
    <cellStyle name="Normal 5 111" xfId="5265"/>
    <cellStyle name="Normal 5 112" xfId="5266"/>
    <cellStyle name="Normal 5 113" xfId="5267"/>
    <cellStyle name="Normal 5 114" xfId="5268"/>
    <cellStyle name="Normal 5 115" xfId="5269"/>
    <cellStyle name="Normal 5 116" xfId="5270"/>
    <cellStyle name="Normal 5 117" xfId="5271"/>
    <cellStyle name="Normal 5 118" xfId="5272"/>
    <cellStyle name="Normal 5 119" xfId="5273"/>
    <cellStyle name="Normal 5 12" xfId="5274"/>
    <cellStyle name="Normal 5 12 2" xfId="5275"/>
    <cellStyle name="Normal 5 120" xfId="5276"/>
    <cellStyle name="Normal 5 121" xfId="5277"/>
    <cellStyle name="Normal 5 122" xfId="5278"/>
    <cellStyle name="Normal 5 123" xfId="5279"/>
    <cellStyle name="Normal 5 124" xfId="5280"/>
    <cellStyle name="Normal 5 125" xfId="5281"/>
    <cellStyle name="Normal 5 126" xfId="5282"/>
    <cellStyle name="Normal 5 127" xfId="5283"/>
    <cellStyle name="Normal 5 128" xfId="5284"/>
    <cellStyle name="Normal 5 129" xfId="5285"/>
    <cellStyle name="Normal 5 13" xfId="5286"/>
    <cellStyle name="Normal 5 13 2" xfId="5287"/>
    <cellStyle name="Normal 5 130" xfId="5288"/>
    <cellStyle name="Normal 5 131" xfId="5289"/>
    <cellStyle name="Normal 5 132" xfId="5290"/>
    <cellStyle name="Normal 5 133" xfId="5291"/>
    <cellStyle name="Normal 5 134" xfId="5292"/>
    <cellStyle name="Normal 5 135" xfId="5293"/>
    <cellStyle name="Normal 5 136" xfId="5294"/>
    <cellStyle name="Normal 5 137" xfId="5295"/>
    <cellStyle name="Normal 5 138" xfId="5296"/>
    <cellStyle name="Normal 5 139" xfId="5297"/>
    <cellStyle name="Normal 5 14" xfId="5298"/>
    <cellStyle name="Normal 5 14 2" xfId="5299"/>
    <cellStyle name="Normal 5 140" xfId="5300"/>
    <cellStyle name="Normal 5 141" xfId="5301"/>
    <cellStyle name="Normal 5 142" xfId="5302"/>
    <cellStyle name="Normal 5 143" xfId="5303"/>
    <cellStyle name="Normal 5 144" xfId="5304"/>
    <cellStyle name="Normal 5 145" xfId="5305"/>
    <cellStyle name="Normal 5 146" xfId="5306"/>
    <cellStyle name="Normal 5 147" xfId="5307"/>
    <cellStyle name="Normal 5 148" xfId="5308"/>
    <cellStyle name="Normal 5 149" xfId="5309"/>
    <cellStyle name="Normal 5 15" xfId="5310"/>
    <cellStyle name="Normal 5 15 2" xfId="5311"/>
    <cellStyle name="Normal 5 150" xfId="5312"/>
    <cellStyle name="Normal 5 151" xfId="5313"/>
    <cellStyle name="Normal 5 152" xfId="5314"/>
    <cellStyle name="Normal 5 153" xfId="5315"/>
    <cellStyle name="Normal 5 154" xfId="5316"/>
    <cellStyle name="Normal 5 155" xfId="7416"/>
    <cellStyle name="Normal 5 155 2" xfId="7517"/>
    <cellStyle name="Normal 5 156" xfId="7430"/>
    <cellStyle name="Normal 5 16" xfId="5317"/>
    <cellStyle name="Normal 5 16 2" xfId="5318"/>
    <cellStyle name="Normal 5 17" xfId="5319"/>
    <cellStyle name="Normal 5 17 2" xfId="5320"/>
    <cellStyle name="Normal 5 18" xfId="5321"/>
    <cellStyle name="Normal 5 18 2" xfId="5322"/>
    <cellStyle name="Normal 5 19" xfId="5323"/>
    <cellStyle name="Normal 5 19 2" xfId="5324"/>
    <cellStyle name="Normal 5 2" xfId="5325"/>
    <cellStyle name="Normal 5 2 2" xfId="5326"/>
    <cellStyle name="Normal 5 2 3" xfId="5327"/>
    <cellStyle name="Normal 5 2 4" xfId="5328"/>
    <cellStyle name="Normal 5 2 5" xfId="7501"/>
    <cellStyle name="Normal 5 20" xfId="5329"/>
    <cellStyle name="Normal 5 20 2" xfId="5330"/>
    <cellStyle name="Normal 5 21" xfId="5331"/>
    <cellStyle name="Normal 5 21 2" xfId="5332"/>
    <cellStyle name="Normal 5 22" xfId="5333"/>
    <cellStyle name="Normal 5 22 2" xfId="5334"/>
    <cellStyle name="Normal 5 23" xfId="5335"/>
    <cellStyle name="Normal 5 23 2" xfId="5336"/>
    <cellStyle name="Normal 5 24" xfId="5337"/>
    <cellStyle name="Normal 5 24 2" xfId="5338"/>
    <cellStyle name="Normal 5 25" xfId="5339"/>
    <cellStyle name="Normal 5 25 2" xfId="5340"/>
    <cellStyle name="Normal 5 26" xfId="5341"/>
    <cellStyle name="Normal 5 26 2" xfId="5342"/>
    <cellStyle name="Normal 5 27" xfId="5343"/>
    <cellStyle name="Normal 5 27 2" xfId="5344"/>
    <cellStyle name="Normal 5 28" xfId="5345"/>
    <cellStyle name="Normal 5 28 2" xfId="5346"/>
    <cellStyle name="Normal 5 29" xfId="5347"/>
    <cellStyle name="Normal 5 29 2" xfId="5348"/>
    <cellStyle name="Normal 5 3" xfId="5349"/>
    <cellStyle name="Normal 5 3 2" xfId="5350"/>
    <cellStyle name="Normal 5 3 2 2" xfId="5351"/>
    <cellStyle name="Normal 5 3 2 2 2" xfId="5352"/>
    <cellStyle name="Normal 5 3 2 2 2 2" xfId="5353"/>
    <cellStyle name="Normal 5 3 2 2 3" xfId="5354"/>
    <cellStyle name="Normal 5 3 2 3" xfId="5355"/>
    <cellStyle name="Normal 5 3 2 3 2" xfId="5356"/>
    <cellStyle name="Normal 5 3 2 3 2 2" xfId="5357"/>
    <cellStyle name="Normal 5 3 2 3 3" xfId="5358"/>
    <cellStyle name="Normal 5 3 2 4" xfId="5359"/>
    <cellStyle name="Normal 5 3 2 4 2" xfId="5360"/>
    <cellStyle name="Normal 5 3 2 4 2 2" xfId="5361"/>
    <cellStyle name="Normal 5 3 2 4 3" xfId="5362"/>
    <cellStyle name="Normal 5 3 2 5" xfId="5363"/>
    <cellStyle name="Normal 5 3 2 5 2" xfId="5364"/>
    <cellStyle name="Normal 5 3 2 5 2 2" xfId="5365"/>
    <cellStyle name="Normal 5 3 2 5 3" xfId="5366"/>
    <cellStyle name="Normal 5 3 2 6" xfId="5367"/>
    <cellStyle name="Normal 5 3 3" xfId="5368"/>
    <cellStyle name="Normal 5 3 3 2" xfId="5369"/>
    <cellStyle name="Normal 5 3 4" xfId="5370"/>
    <cellStyle name="Normal 5 3 4 2" xfId="5371"/>
    <cellStyle name="Normal 5 3 5" xfId="5372"/>
    <cellStyle name="Normal 5 3 5 2" xfId="5373"/>
    <cellStyle name="Normal 5 3 6" xfId="5374"/>
    <cellStyle name="Normal 5 3 6 2" xfId="5375"/>
    <cellStyle name="Normal 5 3 6 3" xfId="5376"/>
    <cellStyle name="Normal 5 3 7" xfId="5377"/>
    <cellStyle name="Normal 5 3 8" xfId="5378"/>
    <cellStyle name="Normal 5 3 9" xfId="5379"/>
    <cellStyle name="Normal 5 30" xfId="5380"/>
    <cellStyle name="Normal 5 30 2" xfId="5381"/>
    <cellStyle name="Normal 5 31" xfId="5382"/>
    <cellStyle name="Normal 5 31 2" xfId="5383"/>
    <cellStyle name="Normal 5 32" xfId="5384"/>
    <cellStyle name="Normal 5 32 2" xfId="5385"/>
    <cellStyle name="Normal 5 33" xfId="5386"/>
    <cellStyle name="Normal 5 33 2" xfId="5387"/>
    <cellStyle name="Normal 5 34" xfId="5388"/>
    <cellStyle name="Normal 5 34 2" xfId="5389"/>
    <cellStyle name="Normal 5 35" xfId="5390"/>
    <cellStyle name="Normal 5 35 2" xfId="5391"/>
    <cellStyle name="Normal 5 36" xfId="5392"/>
    <cellStyle name="Normal 5 36 2" xfId="5393"/>
    <cellStyle name="Normal 5 37" xfId="5394"/>
    <cellStyle name="Normal 5 37 2" xfId="5395"/>
    <cellStyle name="Normal 5 38" xfId="5396"/>
    <cellStyle name="Normal 5 38 2" xfId="5397"/>
    <cellStyle name="Normal 5 39" xfId="5398"/>
    <cellStyle name="Normal 5 39 2" xfId="5399"/>
    <cellStyle name="Normal 5 4" xfId="5400"/>
    <cellStyle name="Normal 5 4 2" xfId="5401"/>
    <cellStyle name="Normal 5 4 2 2" xfId="5402"/>
    <cellStyle name="Normal 5 4 3" xfId="5403"/>
    <cellStyle name="Normal 5 40" xfId="5404"/>
    <cellStyle name="Normal 5 40 2" xfId="5405"/>
    <cellStyle name="Normal 5 41" xfId="5406"/>
    <cellStyle name="Normal 5 41 2" xfId="5407"/>
    <cellStyle name="Normal 5 42" xfId="5408"/>
    <cellStyle name="Normal 5 42 2" xfId="5409"/>
    <cellStyle name="Normal 5 43" xfId="5410"/>
    <cellStyle name="Normal 5 43 2" xfId="5411"/>
    <cellStyle name="Normal 5 44" xfId="5412"/>
    <cellStyle name="Normal 5 44 2" xfId="5413"/>
    <cellStyle name="Normal 5 45" xfId="5414"/>
    <cellStyle name="Normal 5 45 2" xfId="5415"/>
    <cellStyle name="Normal 5 46" xfId="5416"/>
    <cellStyle name="Normal 5 46 2" xfId="5417"/>
    <cellStyle name="Normal 5 47" xfId="5418"/>
    <cellStyle name="Normal 5 47 2" xfId="5419"/>
    <cellStyle name="Normal 5 48" xfId="5420"/>
    <cellStyle name="Normal 5 48 2" xfId="5421"/>
    <cellStyle name="Normal 5 49" xfId="5422"/>
    <cellStyle name="Normal 5 49 2" xfId="5423"/>
    <cellStyle name="Normal 5 5" xfId="5424"/>
    <cellStyle name="Normal 5 5 2" xfId="5425"/>
    <cellStyle name="Normal 5 5 2 2" xfId="5426"/>
    <cellStyle name="Normal 5 5 3" xfId="5427"/>
    <cellStyle name="Normal 5 50" xfId="5428"/>
    <cellStyle name="Normal 5 50 2" xfId="5429"/>
    <cellStyle name="Normal 5 51" xfId="5430"/>
    <cellStyle name="Normal 5 51 2" xfId="5431"/>
    <cellStyle name="Normal 5 52" xfId="5432"/>
    <cellStyle name="Normal 5 52 2" xfId="5433"/>
    <cellStyle name="Normal 5 53" xfId="5434"/>
    <cellStyle name="Normal 5 53 2" xfId="5435"/>
    <cellStyle name="Normal 5 54" xfId="5436"/>
    <cellStyle name="Normal 5 54 2" xfId="5437"/>
    <cellStyle name="Normal 5 55" xfId="5438"/>
    <cellStyle name="Normal 5 55 2" xfId="5439"/>
    <cellStyle name="Normal 5 56" xfId="5440"/>
    <cellStyle name="Normal 5 56 2" xfId="5441"/>
    <cellStyle name="Normal 5 57" xfId="5442"/>
    <cellStyle name="Normal 5 57 2" xfId="5443"/>
    <cellStyle name="Normal 5 58" xfId="5444"/>
    <cellStyle name="Normal 5 58 2" xfId="5445"/>
    <cellStyle name="Normal 5 59" xfId="5446"/>
    <cellStyle name="Normal 5 59 2" xfId="5447"/>
    <cellStyle name="Normal 5 6" xfId="5448"/>
    <cellStyle name="Normal 5 6 2" xfId="5449"/>
    <cellStyle name="Normal 5 6 2 2" xfId="5450"/>
    <cellStyle name="Normal 5 6 3" xfId="5451"/>
    <cellStyle name="Normal 5 60" xfId="5452"/>
    <cellStyle name="Normal 5 60 2" xfId="5453"/>
    <cellStyle name="Normal 5 61" xfId="5454"/>
    <cellStyle name="Normal 5 61 2" xfId="5455"/>
    <cellStyle name="Normal 5 62" xfId="5456"/>
    <cellStyle name="Normal 5 63" xfId="5457"/>
    <cellStyle name="Normal 5 64" xfId="5458"/>
    <cellStyle name="Normal 5 65" xfId="5459"/>
    <cellStyle name="Normal 5 66" xfId="5460"/>
    <cellStyle name="Normal 5 67" xfId="5461"/>
    <cellStyle name="Normal 5 68" xfId="5462"/>
    <cellStyle name="Normal 5 69" xfId="5463"/>
    <cellStyle name="Normal 5 7" xfId="5464"/>
    <cellStyle name="Normal 5 7 2" xfId="5465"/>
    <cellStyle name="Normal 5 7 2 2" xfId="5466"/>
    <cellStyle name="Normal 5 7 3" xfId="5467"/>
    <cellStyle name="Normal 5 70" xfId="5468"/>
    <cellStyle name="Normal 5 71" xfId="5469"/>
    <cellStyle name="Normal 5 72" xfId="5470"/>
    <cellStyle name="Normal 5 73" xfId="5471"/>
    <cellStyle name="Normal 5 74" xfId="5472"/>
    <cellStyle name="Normal 5 75" xfId="5473"/>
    <cellStyle name="Normal 5 76" xfId="5474"/>
    <cellStyle name="Normal 5 77" xfId="5475"/>
    <cellStyle name="Normal 5 78" xfId="5476"/>
    <cellStyle name="Normal 5 79" xfId="5477"/>
    <cellStyle name="Normal 5 8" xfId="5478"/>
    <cellStyle name="Normal 5 8 2" xfId="5479"/>
    <cellStyle name="Normal 5 80" xfId="5480"/>
    <cellStyle name="Normal 5 81" xfId="5481"/>
    <cellStyle name="Normal 5 82" xfId="5482"/>
    <cellStyle name="Normal 5 83" xfId="5483"/>
    <cellStyle name="Normal 5 84" xfId="5484"/>
    <cellStyle name="Normal 5 85" xfId="5485"/>
    <cellStyle name="Normal 5 86" xfId="5486"/>
    <cellStyle name="Normal 5 87" xfId="5487"/>
    <cellStyle name="Normal 5 88" xfId="5488"/>
    <cellStyle name="Normal 5 89" xfId="5489"/>
    <cellStyle name="Normal 5 9" xfId="5490"/>
    <cellStyle name="Normal 5 9 2" xfId="5491"/>
    <cellStyle name="Normal 5 90" xfId="5492"/>
    <cellStyle name="Normal 5 91" xfId="5493"/>
    <cellStyle name="Normal 5 92" xfId="5494"/>
    <cellStyle name="Normal 5 93" xfId="5495"/>
    <cellStyle name="Normal 5 94" xfId="5496"/>
    <cellStyle name="Normal 5 95" xfId="5497"/>
    <cellStyle name="Normal 5 96" xfId="5498"/>
    <cellStyle name="Normal 5 97" xfId="5499"/>
    <cellStyle name="Normal 5 98" xfId="5500"/>
    <cellStyle name="Normal 5 99" xfId="5501"/>
    <cellStyle name="Normal 50" xfId="5502"/>
    <cellStyle name="Normal 51" xfId="5503"/>
    <cellStyle name="Normal 52" xfId="5504"/>
    <cellStyle name="Normal 53" xfId="5505"/>
    <cellStyle name="Normal 54" xfId="5506"/>
    <cellStyle name="Normal 55" xfId="5507"/>
    <cellStyle name="Normal 56" xfId="5508"/>
    <cellStyle name="Normal 57" xfId="5509"/>
    <cellStyle name="Normal 58" xfId="5510"/>
    <cellStyle name="Normal 59" xfId="5511"/>
    <cellStyle name="Normal 6" xfId="36"/>
    <cellStyle name="Normal 6 10" xfId="5512"/>
    <cellStyle name="Normal 6 11" xfId="5513"/>
    <cellStyle name="Normal 6 11 2" xfId="5514"/>
    <cellStyle name="Normal 6 12" xfId="5515"/>
    <cellStyle name="Normal 6 13" xfId="7512"/>
    <cellStyle name="Normal 6 14" xfId="7515"/>
    <cellStyle name="Normal 6 2" xfId="5516"/>
    <cellStyle name="Normal 6 2 10" xfId="7502"/>
    <cellStyle name="Normal 6 2 2" xfId="5517"/>
    <cellStyle name="Normal 6 2 2 2" xfId="5518"/>
    <cellStyle name="Normal 6 2 2 2 2" xfId="5519"/>
    <cellStyle name="Normal 6 2 2 3" xfId="5520"/>
    <cellStyle name="Normal 6 2 2 4" xfId="5521"/>
    <cellStyle name="Normal 6 2 2 5" xfId="5522"/>
    <cellStyle name="Normal 6 2 2 6" xfId="5523"/>
    <cellStyle name="Normal 6 2 2 7" xfId="5524"/>
    <cellStyle name="Normal 6 2 2 8" xfId="5525"/>
    <cellStyle name="Normal 6 2 2 9" xfId="5526"/>
    <cellStyle name="Normal 6 2 3" xfId="5527"/>
    <cellStyle name="Normal 6 2 4" xfId="5528"/>
    <cellStyle name="Normal 6 2 5" xfId="5529"/>
    <cellStyle name="Normal 6 2 5 2" xfId="7530"/>
    <cellStyle name="Normal 6 2 6" xfId="5530"/>
    <cellStyle name="Normal 6 2 7" xfId="5531"/>
    <cellStyle name="Normal 6 2 8" xfId="5532"/>
    <cellStyle name="Normal 6 2 9" xfId="5533"/>
    <cellStyle name="Normal 6 3" xfId="5534"/>
    <cellStyle name="Normal 6 3 2" xfId="5535"/>
    <cellStyle name="Normal 6 3 2 2" xfId="5536"/>
    <cellStyle name="Normal 6 3 3" xfId="5537"/>
    <cellStyle name="Normal 6 4" xfId="5538"/>
    <cellStyle name="Normal 6 4 2" xfId="5539"/>
    <cellStyle name="Normal 6 5" xfId="5540"/>
    <cellStyle name="Normal 6 5 2" xfId="5541"/>
    <cellStyle name="Normal 6 6" xfId="5542"/>
    <cellStyle name="Normal 6 7" xfId="5543"/>
    <cellStyle name="Normal 6 8" xfId="5544"/>
    <cellStyle name="Normal 6 9" xfId="5545"/>
    <cellStyle name="Normal 60" xfId="5546"/>
    <cellStyle name="Normal 61" xfId="5547"/>
    <cellStyle name="Normal 62" xfId="5548"/>
    <cellStyle name="Normal 63" xfId="5549"/>
    <cellStyle name="Normal 64" xfId="5550"/>
    <cellStyle name="Normal 65" xfId="5551"/>
    <cellStyle name="Normal 66" xfId="5552"/>
    <cellStyle name="Normal 66 2" xfId="5553"/>
    <cellStyle name="Normal 67" xfId="5554"/>
    <cellStyle name="Normal 67 2" xfId="5555"/>
    <cellStyle name="Normal 68" xfId="5556"/>
    <cellStyle name="Normal 68 2" xfId="5557"/>
    <cellStyle name="Normal 69" xfId="5558"/>
    <cellStyle name="Normal 7" xfId="5559"/>
    <cellStyle name="Normal 7 10" xfId="5560"/>
    <cellStyle name="Normal 7 11" xfId="5561"/>
    <cellStyle name="Normal 7 12" xfId="5562"/>
    <cellStyle name="Normal 7 13" xfId="5563"/>
    <cellStyle name="Normal 7 14" xfId="5564"/>
    <cellStyle name="Normal 7 15" xfId="5565"/>
    <cellStyle name="Normal 7 16" xfId="5566"/>
    <cellStyle name="Normal 7 17" xfId="5567"/>
    <cellStyle name="Normal 7 18" xfId="5568"/>
    <cellStyle name="Normal 7 19" xfId="5569"/>
    <cellStyle name="Normal 7 2" xfId="5570"/>
    <cellStyle name="Normal 7 2 2" xfId="5571"/>
    <cellStyle name="Normal 7 2 2 2" xfId="5572"/>
    <cellStyle name="Normal 7 2 2 2 2" xfId="5573"/>
    <cellStyle name="Normal 7 2 2 3" xfId="5574"/>
    <cellStyle name="Normal 7 2 2 4" xfId="5575"/>
    <cellStyle name="Normal 7 2 2 5" xfId="5576"/>
    <cellStyle name="Normal 7 2 3" xfId="5577"/>
    <cellStyle name="Normal 7 2 4" xfId="5578"/>
    <cellStyle name="Normal 7 2 5" xfId="5579"/>
    <cellStyle name="Normal 7 2 6" xfId="5580"/>
    <cellStyle name="Normal 7 2 7" xfId="5581"/>
    <cellStyle name="Normal 7 2 8" xfId="5582"/>
    <cellStyle name="Normal 7 2 9" xfId="5583"/>
    <cellStyle name="Normal 7 20" xfId="5584"/>
    <cellStyle name="Normal 7 21" xfId="5585"/>
    <cellStyle name="Normal 7 22" xfId="5586"/>
    <cellStyle name="Normal 7 23" xfId="5587"/>
    <cellStyle name="Normal 7 24" xfId="5588"/>
    <cellStyle name="Normal 7 25" xfId="5589"/>
    <cellStyle name="Normal 7 26" xfId="5590"/>
    <cellStyle name="Normal 7 27" xfId="5591"/>
    <cellStyle name="Normal 7 28" xfId="5592"/>
    <cellStyle name="Normal 7 29" xfId="5593"/>
    <cellStyle name="Normal 7 3" xfId="5594"/>
    <cellStyle name="Normal 7 3 2" xfId="5595"/>
    <cellStyle name="Normal 7 3 3" xfId="5596"/>
    <cellStyle name="Normal 7 3 4" xfId="5597"/>
    <cellStyle name="Normal 7 30" xfId="5598"/>
    <cellStyle name="Normal 7 31" xfId="5599"/>
    <cellStyle name="Normal 7 32" xfId="5600"/>
    <cellStyle name="Normal 7 33" xfId="5601"/>
    <cellStyle name="Normal 7 34" xfId="5602"/>
    <cellStyle name="Normal 7 35" xfId="5603"/>
    <cellStyle name="Normal 7 36" xfId="5604"/>
    <cellStyle name="Normal 7 37" xfId="5605"/>
    <cellStyle name="Normal 7 38" xfId="5606"/>
    <cellStyle name="Normal 7 39" xfId="5607"/>
    <cellStyle name="Normal 7 4" xfId="5608"/>
    <cellStyle name="Normal 7 4 2" xfId="5609"/>
    <cellStyle name="Normal 7 4 2 2" xfId="5610"/>
    <cellStyle name="Normal 7 4 3" xfId="5611"/>
    <cellStyle name="Normal 7 40" xfId="5612"/>
    <cellStyle name="Normal 7 41" xfId="5613"/>
    <cellStyle name="Normal 7 42" xfId="5614"/>
    <cellStyle name="Normal 7 43" xfId="5615"/>
    <cellStyle name="Normal 7 44" xfId="5616"/>
    <cellStyle name="Normal 7 45" xfId="5617"/>
    <cellStyle name="Normal 7 46" xfId="5618"/>
    <cellStyle name="Normal 7 47" xfId="5619"/>
    <cellStyle name="Normal 7 48" xfId="5620"/>
    <cellStyle name="Normal 7 49" xfId="5621"/>
    <cellStyle name="Normal 7 5" xfId="5622"/>
    <cellStyle name="Normal 7 5 2" xfId="5623"/>
    <cellStyle name="Normal 7 5 2 2" xfId="5624"/>
    <cellStyle name="Normal 7 5 3" xfId="5625"/>
    <cellStyle name="Normal 7 50" xfId="5626"/>
    <cellStyle name="Normal 7 51" xfId="5627"/>
    <cellStyle name="Normal 7 52" xfId="5628"/>
    <cellStyle name="Normal 7 53" xfId="5629"/>
    <cellStyle name="Normal 7 54" xfId="5630"/>
    <cellStyle name="Normal 7 55" xfId="5631"/>
    <cellStyle name="Normal 7 56" xfId="5632"/>
    <cellStyle name="Normal 7 57" xfId="5633"/>
    <cellStyle name="Normal 7 58" xfId="5634"/>
    <cellStyle name="Normal 7 59" xfId="5635"/>
    <cellStyle name="Normal 7 6" xfId="5636"/>
    <cellStyle name="Normal 7 6 2" xfId="5637"/>
    <cellStyle name="Normal 7 6 2 2" xfId="5638"/>
    <cellStyle name="Normal 7 6 3" xfId="5639"/>
    <cellStyle name="Normal 7 60" xfId="5640"/>
    <cellStyle name="Normal 7 61" xfId="5641"/>
    <cellStyle name="Normal 7 62" xfId="5642"/>
    <cellStyle name="Normal 7 63" xfId="5643"/>
    <cellStyle name="Normal 7 64" xfId="5644"/>
    <cellStyle name="Normal 7 65" xfId="5645"/>
    <cellStyle name="Normal 7 66" xfId="5646"/>
    <cellStyle name="Normal 7 67" xfId="5647"/>
    <cellStyle name="Normal 7 68" xfId="5648"/>
    <cellStyle name="Normal 7 69" xfId="5649"/>
    <cellStyle name="Normal 7 7" xfId="5650"/>
    <cellStyle name="Normal 7 7 2" xfId="5651"/>
    <cellStyle name="Normal 7 7 2 2" xfId="5652"/>
    <cellStyle name="Normal 7 7 3" xfId="5653"/>
    <cellStyle name="Normal 7 70" xfId="5654"/>
    <cellStyle name="Normal 7 71" xfId="5655"/>
    <cellStyle name="Normal 7 72" xfId="5656"/>
    <cellStyle name="Normal 7 73" xfId="5657"/>
    <cellStyle name="Normal 7 74" xfId="5658"/>
    <cellStyle name="Normal 7 75" xfId="5659"/>
    <cellStyle name="Normal 7 76" xfId="5660"/>
    <cellStyle name="Normal 7 77" xfId="5661"/>
    <cellStyle name="Normal 7 78" xfId="5662"/>
    <cellStyle name="Normal 7 79" xfId="5663"/>
    <cellStyle name="Normal 7 8" xfId="5664"/>
    <cellStyle name="Normal 7 8 2" xfId="5665"/>
    <cellStyle name="Normal 7 8 2 2" xfId="5666"/>
    <cellStyle name="Normal 7 8 3" xfId="5667"/>
    <cellStyle name="Normal 7 8 4" xfId="7513"/>
    <cellStyle name="Normal 7 80" xfId="5668"/>
    <cellStyle name="Normal 7 81" xfId="5669"/>
    <cellStyle name="Normal 7 82" xfId="5670"/>
    <cellStyle name="Normal 7 83" xfId="5671"/>
    <cellStyle name="Normal 7 84" xfId="5672"/>
    <cellStyle name="Normal 7 85" xfId="5673"/>
    <cellStyle name="Normal 7 86" xfId="5674"/>
    <cellStyle name="Normal 7 87" xfId="5675"/>
    <cellStyle name="Normal 7 88" xfId="5676"/>
    <cellStyle name="Normal 7 89" xfId="5677"/>
    <cellStyle name="Normal 7 9" xfId="5678"/>
    <cellStyle name="Normal 7 9 2" xfId="5679"/>
    <cellStyle name="Normal 7 9 3" xfId="5680"/>
    <cellStyle name="Normal 7 9 4" xfId="5681"/>
    <cellStyle name="Normal 7 90" xfId="5682"/>
    <cellStyle name="Normal 7 91" xfId="5683"/>
    <cellStyle name="Normal 7 92" xfId="5684"/>
    <cellStyle name="Normal 7 93" xfId="5685"/>
    <cellStyle name="Normal 70" xfId="5686"/>
    <cellStyle name="Normal 71" xfId="5687"/>
    <cellStyle name="Normal 72" xfId="5688"/>
    <cellStyle name="Normal 73" xfId="5689"/>
    <cellStyle name="Normal 74" xfId="5690"/>
    <cellStyle name="Normal 75" xfId="5691"/>
    <cellStyle name="Normal 76" xfId="5692"/>
    <cellStyle name="Normal 77" xfId="5693"/>
    <cellStyle name="Normal 78" xfId="5694"/>
    <cellStyle name="Normal 79" xfId="5695"/>
    <cellStyle name="Normal 8" xfId="5696"/>
    <cellStyle name="Normal 8 10" xfId="5697"/>
    <cellStyle name="Normal 8 11" xfId="5698"/>
    <cellStyle name="Normal 8 12" xfId="5699"/>
    <cellStyle name="Normal 8 13" xfId="5700"/>
    <cellStyle name="Normal 8 14" xfId="5701"/>
    <cellStyle name="Normal 8 15" xfId="5702"/>
    <cellStyle name="Normal 8 16" xfId="5703"/>
    <cellStyle name="Normal 8 17" xfId="5704"/>
    <cellStyle name="Normal 8 18" xfId="5705"/>
    <cellStyle name="Normal 8 19" xfId="5706"/>
    <cellStyle name="Normal 8 2" xfId="5707"/>
    <cellStyle name="Normal 8 2 2" xfId="5708"/>
    <cellStyle name="Normal 8 2 2 2" xfId="5709"/>
    <cellStyle name="Normal 8 2 2 2 2" xfId="5710"/>
    <cellStyle name="Normal 8 2 2 2 2 2" xfId="5711"/>
    <cellStyle name="Normal 8 2 2 2 3" xfId="5712"/>
    <cellStyle name="Normal 8 2 2 3" xfId="5713"/>
    <cellStyle name="Normal 8 2 2 3 2" xfId="5714"/>
    <cellStyle name="Normal 8 2 2 3 2 2" xfId="5715"/>
    <cellStyle name="Normal 8 2 2 3 3" xfId="5716"/>
    <cellStyle name="Normal 8 2 2 4" xfId="5717"/>
    <cellStyle name="Normal 8 2 2 4 2" xfId="5718"/>
    <cellStyle name="Normal 8 2 2 4 2 2" xfId="5719"/>
    <cellStyle name="Normal 8 2 2 4 3" xfId="5720"/>
    <cellStyle name="Normal 8 2 2 5" xfId="5721"/>
    <cellStyle name="Normal 8 2 2 5 2" xfId="5722"/>
    <cellStyle name="Normal 8 2 2 5 2 2" xfId="5723"/>
    <cellStyle name="Normal 8 2 2 5 3" xfId="5724"/>
    <cellStyle name="Normal 8 2 2 6" xfId="5725"/>
    <cellStyle name="Normal 8 2 3" xfId="5726"/>
    <cellStyle name="Normal 8 2 3 2" xfId="5727"/>
    <cellStyle name="Normal 8 2 4" xfId="5728"/>
    <cellStyle name="Normal 8 2 4 2" xfId="5729"/>
    <cellStyle name="Normal 8 2 5" xfId="5730"/>
    <cellStyle name="Normal 8 2 5 2" xfId="5731"/>
    <cellStyle name="Normal 8 2 6" xfId="5732"/>
    <cellStyle name="Normal 8 2 6 2" xfId="5733"/>
    <cellStyle name="Normal 8 2 7" xfId="5734"/>
    <cellStyle name="Normal 8 20" xfId="5735"/>
    <cellStyle name="Normal 8 21" xfId="5736"/>
    <cellStyle name="Normal 8 22" xfId="5737"/>
    <cellStyle name="Normal 8 23" xfId="5738"/>
    <cellStyle name="Normal 8 24" xfId="5739"/>
    <cellStyle name="Normal 8 25" xfId="5740"/>
    <cellStyle name="Normal 8 26" xfId="5741"/>
    <cellStyle name="Normal 8 27" xfId="5742"/>
    <cellStyle name="Normal 8 28" xfId="5743"/>
    <cellStyle name="Normal 8 29" xfId="5744"/>
    <cellStyle name="Normal 8 3" xfId="5745"/>
    <cellStyle name="Normal 8 3 2" xfId="5746"/>
    <cellStyle name="Normal 8 3 2 2" xfId="5747"/>
    <cellStyle name="Normal 8 3 3" xfId="5748"/>
    <cellStyle name="Normal 8 30" xfId="5749"/>
    <cellStyle name="Normal 8 31" xfId="5750"/>
    <cellStyle name="Normal 8 32" xfId="5751"/>
    <cellStyle name="Normal 8 33" xfId="5752"/>
    <cellStyle name="Normal 8 34" xfId="5753"/>
    <cellStyle name="Normal 8 35" xfId="5754"/>
    <cellStyle name="Normal 8 36" xfId="5755"/>
    <cellStyle name="Normal 8 37" xfId="5756"/>
    <cellStyle name="Normal 8 38" xfId="5757"/>
    <cellStyle name="Normal 8 39" xfId="5758"/>
    <cellStyle name="Normal 8 4" xfId="5759"/>
    <cellStyle name="Normal 8 4 2" xfId="5760"/>
    <cellStyle name="Normal 8 4 2 2" xfId="5761"/>
    <cellStyle name="Normal 8 4 3" xfId="5762"/>
    <cellStyle name="Normal 8 40" xfId="5763"/>
    <cellStyle name="Normal 8 41" xfId="5764"/>
    <cellStyle name="Normal 8 42" xfId="5765"/>
    <cellStyle name="Normal 8 43" xfId="5766"/>
    <cellStyle name="Normal 8 44" xfId="5767"/>
    <cellStyle name="Normal 8 45" xfId="5768"/>
    <cellStyle name="Normal 8 46" xfId="5769"/>
    <cellStyle name="Normal 8 47" xfId="5770"/>
    <cellStyle name="Normal 8 48" xfId="5771"/>
    <cellStyle name="Normal 8 49" xfId="5772"/>
    <cellStyle name="Normal 8 5" xfId="5773"/>
    <cellStyle name="Normal 8 5 2" xfId="5774"/>
    <cellStyle name="Normal 8 5 2 2" xfId="5775"/>
    <cellStyle name="Normal 8 5 3" xfId="5776"/>
    <cellStyle name="Normal 8 50" xfId="5777"/>
    <cellStyle name="Normal 8 51" xfId="5778"/>
    <cellStyle name="Normal 8 52" xfId="5779"/>
    <cellStyle name="Normal 8 53" xfId="5780"/>
    <cellStyle name="Normal 8 54" xfId="5781"/>
    <cellStyle name="Normal 8 55" xfId="5782"/>
    <cellStyle name="Normal 8 56" xfId="5783"/>
    <cellStyle name="Normal 8 57" xfId="5784"/>
    <cellStyle name="Normal 8 58" xfId="5785"/>
    <cellStyle name="Normal 8 59" xfId="5786"/>
    <cellStyle name="Normal 8 6" xfId="5787"/>
    <cellStyle name="Normal 8 6 2" xfId="5788"/>
    <cellStyle name="Normal 8 6 2 2" xfId="5789"/>
    <cellStyle name="Normal 8 6 3" xfId="5790"/>
    <cellStyle name="Normal 8 60" xfId="5791"/>
    <cellStyle name="Normal 8 61" xfId="5792"/>
    <cellStyle name="Normal 8 62" xfId="5793"/>
    <cellStyle name="Normal 8 63" xfId="5794"/>
    <cellStyle name="Normal 8 64" xfId="5795"/>
    <cellStyle name="Normal 8 65" xfId="5796"/>
    <cellStyle name="Normal 8 66" xfId="5797"/>
    <cellStyle name="Normal 8 67" xfId="5798"/>
    <cellStyle name="Normal 8 68" xfId="5799"/>
    <cellStyle name="Normal 8 69" xfId="5800"/>
    <cellStyle name="Normal 8 7" xfId="5801"/>
    <cellStyle name="Normal 8 7 2" xfId="5802"/>
    <cellStyle name="Normal 8 70" xfId="5803"/>
    <cellStyle name="Normal 8 71" xfId="5804"/>
    <cellStyle name="Normal 8 72" xfId="5805"/>
    <cellStyle name="Normal 8 73" xfId="5806"/>
    <cellStyle name="Normal 8 74" xfId="5807"/>
    <cellStyle name="Normal 8 75" xfId="5808"/>
    <cellStyle name="Normal 8 76" xfId="5809"/>
    <cellStyle name="Normal 8 77" xfId="5810"/>
    <cellStyle name="Normal 8 78" xfId="5811"/>
    <cellStyle name="Normal 8 79" xfId="5812"/>
    <cellStyle name="Normal 8 8" xfId="5813"/>
    <cellStyle name="Normal 8 80" xfId="5814"/>
    <cellStyle name="Normal 8 81" xfId="5815"/>
    <cellStyle name="Normal 8 82" xfId="5816"/>
    <cellStyle name="Normal 8 83" xfId="5817"/>
    <cellStyle name="Normal 8 84" xfId="5818"/>
    <cellStyle name="Normal 8 85" xfId="5819"/>
    <cellStyle name="Normal 8 86" xfId="5820"/>
    <cellStyle name="Normal 8 87" xfId="5821"/>
    <cellStyle name="Normal 8 88" xfId="5822"/>
    <cellStyle name="Normal 8 89" xfId="5823"/>
    <cellStyle name="Normal 8 9" xfId="5824"/>
    <cellStyle name="Normal 8 90" xfId="5825"/>
    <cellStyle name="Normal 8 91" xfId="5826"/>
    <cellStyle name="Normal 8 92" xfId="5827"/>
    <cellStyle name="Normal 8 93" xfId="5828"/>
    <cellStyle name="Normal 8 94" xfId="7503"/>
    <cellStyle name="Normal 80" xfId="5829"/>
    <cellStyle name="Normal 81" xfId="5830"/>
    <cellStyle name="Normal 82" xfId="5831"/>
    <cellStyle name="Normal 83" xfId="5832"/>
    <cellStyle name="Normal 84" xfId="5833"/>
    <cellStyle name="Normal 85" xfId="5834"/>
    <cellStyle name="Normal 86" xfId="5835"/>
    <cellStyle name="Normal 87" xfId="5836"/>
    <cellStyle name="Normal 88" xfId="5837"/>
    <cellStyle name="Normal 89" xfId="5838"/>
    <cellStyle name="Normal 89 2" xfId="5839"/>
    <cellStyle name="Normal 9" xfId="5840"/>
    <cellStyle name="Normal 9 10" xfId="5841"/>
    <cellStyle name="Normal 9 11" xfId="5842"/>
    <cellStyle name="Normal 9 12" xfId="5843"/>
    <cellStyle name="Normal 9 13" xfId="5844"/>
    <cellStyle name="Normal 9 14" xfId="5845"/>
    <cellStyle name="Normal 9 15" xfId="5846"/>
    <cellStyle name="Normal 9 16" xfId="5847"/>
    <cellStyle name="Normal 9 17" xfId="5848"/>
    <cellStyle name="Normal 9 18" xfId="5849"/>
    <cellStyle name="Normal 9 19" xfId="5850"/>
    <cellStyle name="Normal 9 2" xfId="5851"/>
    <cellStyle name="Normal 9 2 2" xfId="5852"/>
    <cellStyle name="Normal 9 20" xfId="5853"/>
    <cellStyle name="Normal 9 21" xfId="5854"/>
    <cellStyle name="Normal 9 22" xfId="5855"/>
    <cellStyle name="Normal 9 23" xfId="5856"/>
    <cellStyle name="Normal 9 24" xfId="5857"/>
    <cellStyle name="Normal 9 25" xfId="5858"/>
    <cellStyle name="Normal 9 26" xfId="5859"/>
    <cellStyle name="Normal 9 27" xfId="5860"/>
    <cellStyle name="Normal 9 28" xfId="5861"/>
    <cellStyle name="Normal 9 29" xfId="5862"/>
    <cellStyle name="Normal 9 3" xfId="5863"/>
    <cellStyle name="Normal 9 30" xfId="5864"/>
    <cellStyle name="Normal 9 31" xfId="5865"/>
    <cellStyle name="Normal 9 32" xfId="5866"/>
    <cellStyle name="Normal 9 33" xfId="5867"/>
    <cellStyle name="Normal 9 34" xfId="5868"/>
    <cellStyle name="Normal 9 35" xfId="5869"/>
    <cellStyle name="Normal 9 36" xfId="5870"/>
    <cellStyle name="Normal 9 37" xfId="5871"/>
    <cellStyle name="Normal 9 38" xfId="5872"/>
    <cellStyle name="Normal 9 39" xfId="5873"/>
    <cellStyle name="Normal 9 4" xfId="5874"/>
    <cellStyle name="Normal 9 40" xfId="5875"/>
    <cellStyle name="Normal 9 41" xfId="5876"/>
    <cellStyle name="Normal 9 42" xfId="5877"/>
    <cellStyle name="Normal 9 43" xfId="5878"/>
    <cellStyle name="Normal 9 44" xfId="5879"/>
    <cellStyle name="Normal 9 45" xfId="5880"/>
    <cellStyle name="Normal 9 46" xfId="5881"/>
    <cellStyle name="Normal 9 47" xfId="5882"/>
    <cellStyle name="Normal 9 48" xfId="5883"/>
    <cellStyle name="Normal 9 49" xfId="5884"/>
    <cellStyle name="Normal 9 5" xfId="5885"/>
    <cellStyle name="Normal 9 50" xfId="5886"/>
    <cellStyle name="Normal 9 51" xfId="5887"/>
    <cellStyle name="Normal 9 52" xfId="5888"/>
    <cellStyle name="Normal 9 53" xfId="5889"/>
    <cellStyle name="Normal 9 54" xfId="5890"/>
    <cellStyle name="Normal 9 55" xfId="5891"/>
    <cellStyle name="Normal 9 56" xfId="5892"/>
    <cellStyle name="Normal 9 57" xfId="5893"/>
    <cellStyle name="Normal 9 58" xfId="5894"/>
    <cellStyle name="Normal 9 59" xfId="5895"/>
    <cellStyle name="Normal 9 6" xfId="5896"/>
    <cellStyle name="Normal 9 60" xfId="5897"/>
    <cellStyle name="Normal 9 61" xfId="5898"/>
    <cellStyle name="Normal 9 62" xfId="5899"/>
    <cellStyle name="Normal 9 63" xfId="5900"/>
    <cellStyle name="Normal 9 64" xfId="5901"/>
    <cellStyle name="Normal 9 65" xfId="5902"/>
    <cellStyle name="Normal 9 66" xfId="5903"/>
    <cellStyle name="Normal 9 67" xfId="5904"/>
    <cellStyle name="Normal 9 68" xfId="5905"/>
    <cellStyle name="Normal 9 69" xfId="5906"/>
    <cellStyle name="Normal 9 7" xfId="5907"/>
    <cellStyle name="Normal 9 70" xfId="5908"/>
    <cellStyle name="Normal 9 71" xfId="5909"/>
    <cellStyle name="Normal 9 72" xfId="5910"/>
    <cellStyle name="Normal 9 73" xfId="5911"/>
    <cellStyle name="Normal 9 74" xfId="5912"/>
    <cellStyle name="Normal 9 75" xfId="5913"/>
    <cellStyle name="Normal 9 76" xfId="5914"/>
    <cellStyle name="Normal 9 77" xfId="5915"/>
    <cellStyle name="Normal 9 78" xfId="5916"/>
    <cellStyle name="Normal 9 79" xfId="5917"/>
    <cellStyle name="Normal 9 8" xfId="5918"/>
    <cellStyle name="Normal 9 80" xfId="5919"/>
    <cellStyle name="Normal 9 81" xfId="5920"/>
    <cellStyle name="Normal 9 82" xfId="5921"/>
    <cellStyle name="Normal 9 83" xfId="5922"/>
    <cellStyle name="Normal 9 84" xfId="5923"/>
    <cellStyle name="Normal 9 85" xfId="5924"/>
    <cellStyle name="Normal 9 86" xfId="5925"/>
    <cellStyle name="Normal 9 87" xfId="5926"/>
    <cellStyle name="Normal 9 88" xfId="5927"/>
    <cellStyle name="Normal 9 89" xfId="5928"/>
    <cellStyle name="Normal 9 9" xfId="5929"/>
    <cellStyle name="Normal 9 90" xfId="5930"/>
    <cellStyle name="Normal 9 91" xfId="5931"/>
    <cellStyle name="Normal 9 92" xfId="7504"/>
    <cellStyle name="Normal 90" xfId="5932"/>
    <cellStyle name="Normal 90 2" xfId="5933"/>
    <cellStyle name="Normal 90 3" xfId="5934"/>
    <cellStyle name="Normal 91" xfId="5935"/>
    <cellStyle name="Normal 91 2" xfId="5936"/>
    <cellStyle name="Normal 92" xfId="5937"/>
    <cellStyle name="Normal 93" xfId="5938"/>
    <cellStyle name="Normal 94" xfId="5939"/>
    <cellStyle name="Normal 95" xfId="5940"/>
    <cellStyle name="Normal 95 2" xfId="5941"/>
    <cellStyle name="Normal 96" xfId="5942"/>
    <cellStyle name="Normal 97" xfId="5943"/>
    <cellStyle name="Normal 98" xfId="5944"/>
    <cellStyle name="Normal 99" xfId="5945"/>
    <cellStyle name="Normal FICA" xfId="5946"/>
    <cellStyle name="Normal FUI" xfId="5947"/>
    <cellStyle name="Normal Other Benefits" xfId="5948"/>
    <cellStyle name="Note 2" xfId="5949"/>
    <cellStyle name="Note 2 2" xfId="5950"/>
    <cellStyle name="Note 2 3" xfId="5951"/>
    <cellStyle name="Note 2 4" xfId="5952"/>
    <cellStyle name="Note 2 5" xfId="5953"/>
    <cellStyle name="Note 3" xfId="5954"/>
    <cellStyle name="Note 4" xfId="5955"/>
    <cellStyle name="Output 2" xfId="5956"/>
    <cellStyle name="Output 3" xfId="5957"/>
    <cellStyle name="Output 4" xfId="5958"/>
    <cellStyle name="Output 5" xfId="5959"/>
    <cellStyle name="Output 6" xfId="5960"/>
    <cellStyle name="Output Amounts" xfId="5961"/>
    <cellStyle name="Output Column Headings" xfId="5962"/>
    <cellStyle name="Output Line Items" xfId="5963"/>
    <cellStyle name="Output Report Heading" xfId="5964"/>
    <cellStyle name="Output Report Title" xfId="5965"/>
    <cellStyle name="Percent" xfId="3" builtinId="5"/>
    <cellStyle name="Percent 10" xfId="41"/>
    <cellStyle name="Percent 10 2" xfId="5966"/>
    <cellStyle name="Percent 11" xfId="5967"/>
    <cellStyle name="Percent 11 2" xfId="5968"/>
    <cellStyle name="Percent 12" xfId="5969"/>
    <cellStyle name="Percent 12 2" xfId="5970"/>
    <cellStyle name="Percent 13" xfId="5971"/>
    <cellStyle name="Percent 13 2" xfId="5972"/>
    <cellStyle name="Percent 14" xfId="5973"/>
    <cellStyle name="Percent 14 2" xfId="5974"/>
    <cellStyle name="Percent 15" xfId="5975"/>
    <cellStyle name="Percent 15 2" xfId="5976"/>
    <cellStyle name="Percent 16" xfId="5977"/>
    <cellStyle name="Percent 16 2" xfId="5978"/>
    <cellStyle name="Percent 17" xfId="5979"/>
    <cellStyle name="Percent 17 2" xfId="5980"/>
    <cellStyle name="Percent 18" xfId="5981"/>
    <cellStyle name="Percent 18 2" xfId="5982"/>
    <cellStyle name="Percent 19" xfId="5983"/>
    <cellStyle name="Percent 19 2" xfId="5984"/>
    <cellStyle name="Percent 2" xfId="33"/>
    <cellStyle name="Percent 2 10" xfId="5985"/>
    <cellStyle name="Percent 2 10 2" xfId="5986"/>
    <cellStyle name="Percent 2 10 2 2" xfId="5987"/>
    <cellStyle name="Percent 2 10 3" xfId="5988"/>
    <cellStyle name="Percent 2 100" xfId="5989"/>
    <cellStyle name="Percent 2 101" xfId="5990"/>
    <cellStyle name="Percent 2 102" xfId="5991"/>
    <cellStyle name="Percent 2 103" xfId="5992"/>
    <cellStyle name="Percent 2 104" xfId="5993"/>
    <cellStyle name="Percent 2 105" xfId="5994"/>
    <cellStyle name="Percent 2 106" xfId="5995"/>
    <cellStyle name="Percent 2 107" xfId="5996"/>
    <cellStyle name="Percent 2 108" xfId="5997"/>
    <cellStyle name="Percent 2 109" xfId="5998"/>
    <cellStyle name="Percent 2 11" xfId="5999"/>
    <cellStyle name="Percent 2 11 2" xfId="6000"/>
    <cellStyle name="Percent 2 11 2 2" xfId="6001"/>
    <cellStyle name="Percent 2 11 3" xfId="6002"/>
    <cellStyle name="Percent 2 110" xfId="6003"/>
    <cellStyle name="Percent 2 111" xfId="6004"/>
    <cellStyle name="Percent 2 112" xfId="6005"/>
    <cellStyle name="Percent 2 113" xfId="6006"/>
    <cellStyle name="Percent 2 114" xfId="6007"/>
    <cellStyle name="Percent 2 115" xfId="6008"/>
    <cellStyle name="Percent 2 116" xfId="6009"/>
    <cellStyle name="Percent 2 117" xfId="6010"/>
    <cellStyle name="Percent 2 118" xfId="6011"/>
    <cellStyle name="Percent 2 119" xfId="6012"/>
    <cellStyle name="Percent 2 12" xfId="6013"/>
    <cellStyle name="Percent 2 12 2" xfId="6014"/>
    <cellStyle name="Percent 2 12 2 2" xfId="6015"/>
    <cellStyle name="Percent 2 12 3" xfId="6016"/>
    <cellStyle name="Percent 2 120" xfId="6017"/>
    <cellStyle name="Percent 2 121" xfId="6018"/>
    <cellStyle name="Percent 2 122" xfId="6019"/>
    <cellStyle name="Percent 2 123" xfId="6020"/>
    <cellStyle name="Percent 2 124" xfId="6021"/>
    <cellStyle name="Percent 2 125" xfId="6022"/>
    <cellStyle name="Percent 2 126" xfId="6023"/>
    <cellStyle name="Percent 2 127" xfId="6024"/>
    <cellStyle name="Percent 2 128" xfId="6025"/>
    <cellStyle name="Percent 2 129" xfId="6026"/>
    <cellStyle name="Percent 2 13" xfId="6027"/>
    <cellStyle name="Percent 2 13 2" xfId="6028"/>
    <cellStyle name="Percent 2 13 2 2" xfId="6029"/>
    <cellStyle name="Percent 2 13 3" xfId="6030"/>
    <cellStyle name="Percent 2 130" xfId="6031"/>
    <cellStyle name="Percent 2 131" xfId="6032"/>
    <cellStyle name="Percent 2 132" xfId="6033"/>
    <cellStyle name="Percent 2 133" xfId="6034"/>
    <cellStyle name="Percent 2 134" xfId="6035"/>
    <cellStyle name="Percent 2 135" xfId="6036"/>
    <cellStyle name="Percent 2 136" xfId="6037"/>
    <cellStyle name="Percent 2 137" xfId="6038"/>
    <cellStyle name="Percent 2 138" xfId="6039"/>
    <cellStyle name="Percent 2 139" xfId="6040"/>
    <cellStyle name="Percent 2 14" xfId="6041"/>
    <cellStyle name="Percent 2 14 2" xfId="6042"/>
    <cellStyle name="Percent 2 14 2 2" xfId="6043"/>
    <cellStyle name="Percent 2 14 3" xfId="6044"/>
    <cellStyle name="Percent 2 140" xfId="6045"/>
    <cellStyle name="Percent 2 141" xfId="6046"/>
    <cellStyle name="Percent 2 142" xfId="6047"/>
    <cellStyle name="Percent 2 143" xfId="6048"/>
    <cellStyle name="Percent 2 144" xfId="6049"/>
    <cellStyle name="Percent 2 145" xfId="6050"/>
    <cellStyle name="Percent 2 146" xfId="6051"/>
    <cellStyle name="Percent 2 147" xfId="6052"/>
    <cellStyle name="Percent 2 148" xfId="6053"/>
    <cellStyle name="Percent 2 149" xfId="6054"/>
    <cellStyle name="Percent 2 15" xfId="6055"/>
    <cellStyle name="Percent 2 15 2" xfId="6056"/>
    <cellStyle name="Percent 2 15 2 2" xfId="6057"/>
    <cellStyle name="Percent 2 15 3" xfId="6058"/>
    <cellStyle name="Percent 2 150" xfId="6059"/>
    <cellStyle name="Percent 2 151" xfId="6060"/>
    <cellStyle name="Percent 2 152" xfId="6061"/>
    <cellStyle name="Percent 2 153" xfId="7424"/>
    <cellStyle name="Percent 2 155" xfId="7545"/>
    <cellStyle name="Percent 2 155 2" xfId="7552"/>
    <cellStyle name="Percent 2 16" xfId="6062"/>
    <cellStyle name="Percent 2 16 2" xfId="6063"/>
    <cellStyle name="Percent 2 16 2 2" xfId="6064"/>
    <cellStyle name="Percent 2 16 3" xfId="6065"/>
    <cellStyle name="Percent 2 17" xfId="6066"/>
    <cellStyle name="Percent 2 17 2" xfId="6067"/>
    <cellStyle name="Percent 2 17 2 2" xfId="6068"/>
    <cellStyle name="Percent 2 17 3" xfId="6069"/>
    <cellStyle name="Percent 2 18" xfId="6070"/>
    <cellStyle name="Percent 2 18 2" xfId="6071"/>
    <cellStyle name="Percent 2 18 2 2" xfId="6072"/>
    <cellStyle name="Percent 2 18 3" xfId="6073"/>
    <cellStyle name="Percent 2 19" xfId="6074"/>
    <cellStyle name="Percent 2 19 2" xfId="6075"/>
    <cellStyle name="Percent 2 19 2 2" xfId="6076"/>
    <cellStyle name="Percent 2 19 3" xfId="6077"/>
    <cellStyle name="Percent 2 2" xfId="6078"/>
    <cellStyle name="Percent 2 2 10" xfId="6079"/>
    <cellStyle name="Percent 2 2 11" xfId="6080"/>
    <cellStyle name="Percent 2 2 12" xfId="6081"/>
    <cellStyle name="Percent 2 2 12 2" xfId="6082"/>
    <cellStyle name="Percent 2 2 13" xfId="6083"/>
    <cellStyle name="Percent 2 2 13 2" xfId="6084"/>
    <cellStyle name="Percent 2 2 14" xfId="6085"/>
    <cellStyle name="Percent 2 2 14 2" xfId="6086"/>
    <cellStyle name="Percent 2 2 15" xfId="6087"/>
    <cellStyle name="Percent 2 2 15 2" xfId="6088"/>
    <cellStyle name="Percent 2 2 16" xfId="6089"/>
    <cellStyle name="Percent 2 2 16 2" xfId="6090"/>
    <cellStyle name="Percent 2 2 17" xfId="6091"/>
    <cellStyle name="Percent 2 2 17 2" xfId="6092"/>
    <cellStyle name="Percent 2 2 18" xfId="6093"/>
    <cellStyle name="Percent 2 2 18 2" xfId="6094"/>
    <cellStyle name="Percent 2 2 19" xfId="6095"/>
    <cellStyle name="Percent 2 2 19 2" xfId="6096"/>
    <cellStyle name="Percent 2 2 2" xfId="6097"/>
    <cellStyle name="Percent 2 2 2 10" xfId="6098"/>
    <cellStyle name="Percent 2 2 2 10 2" xfId="6099"/>
    <cellStyle name="Percent 2 2 2 11" xfId="6100"/>
    <cellStyle name="Percent 2 2 2 12" xfId="6101"/>
    <cellStyle name="Percent 2 2 2 13" xfId="6102"/>
    <cellStyle name="Percent 2 2 2 14" xfId="6103"/>
    <cellStyle name="Percent 2 2 2 15" xfId="6104"/>
    <cellStyle name="Percent 2 2 2 16" xfId="6105"/>
    <cellStyle name="Percent 2 2 2 17" xfId="6106"/>
    <cellStyle name="Percent 2 2 2 18" xfId="6107"/>
    <cellStyle name="Percent 2 2 2 19" xfId="6108"/>
    <cellStyle name="Percent 2 2 2 2" xfId="6109"/>
    <cellStyle name="Percent 2 2 2 2 10" xfId="6110"/>
    <cellStyle name="Percent 2 2 2 2 11" xfId="6111"/>
    <cellStyle name="Percent 2 2 2 2 11 2" xfId="6112"/>
    <cellStyle name="Percent 2 2 2 2 12" xfId="6113"/>
    <cellStyle name="Percent 2 2 2 2 12 2" xfId="6114"/>
    <cellStyle name="Percent 2 2 2 2 13" xfId="6115"/>
    <cellStyle name="Percent 2 2 2 2 13 2" xfId="6116"/>
    <cellStyle name="Percent 2 2 2 2 14" xfId="6117"/>
    <cellStyle name="Percent 2 2 2 2 14 2" xfId="6118"/>
    <cellStyle name="Percent 2 2 2 2 15" xfId="6119"/>
    <cellStyle name="Percent 2 2 2 2 15 2" xfId="6120"/>
    <cellStyle name="Percent 2 2 2 2 16" xfId="6121"/>
    <cellStyle name="Percent 2 2 2 2 16 2" xfId="6122"/>
    <cellStyle name="Percent 2 2 2 2 17" xfId="6123"/>
    <cellStyle name="Percent 2 2 2 2 17 2" xfId="6124"/>
    <cellStyle name="Percent 2 2 2 2 18" xfId="6125"/>
    <cellStyle name="Percent 2 2 2 2 18 2" xfId="6126"/>
    <cellStyle name="Percent 2 2 2 2 19" xfId="6127"/>
    <cellStyle name="Percent 2 2 2 2 19 2" xfId="6128"/>
    <cellStyle name="Percent 2 2 2 2 2" xfId="6129"/>
    <cellStyle name="Percent 2 2 2 2 2 10" xfId="6130"/>
    <cellStyle name="Percent 2 2 2 2 2 11" xfId="6131"/>
    <cellStyle name="Percent 2 2 2 2 2 12" xfId="6132"/>
    <cellStyle name="Percent 2 2 2 2 2 13" xfId="6133"/>
    <cellStyle name="Percent 2 2 2 2 2 14" xfId="6134"/>
    <cellStyle name="Percent 2 2 2 2 2 15" xfId="6135"/>
    <cellStyle name="Percent 2 2 2 2 2 16" xfId="6136"/>
    <cellStyle name="Percent 2 2 2 2 2 17" xfId="6137"/>
    <cellStyle name="Percent 2 2 2 2 2 18" xfId="6138"/>
    <cellStyle name="Percent 2 2 2 2 2 19" xfId="6139"/>
    <cellStyle name="Percent 2 2 2 2 2 2" xfId="6140"/>
    <cellStyle name="Percent 2 2 2 2 2 3" xfId="6141"/>
    <cellStyle name="Percent 2 2 2 2 2 4" xfId="6142"/>
    <cellStyle name="Percent 2 2 2 2 2 5" xfId="6143"/>
    <cellStyle name="Percent 2 2 2 2 2 6" xfId="6144"/>
    <cellStyle name="Percent 2 2 2 2 2 7" xfId="6145"/>
    <cellStyle name="Percent 2 2 2 2 2 8" xfId="6146"/>
    <cellStyle name="Percent 2 2 2 2 2 9" xfId="6147"/>
    <cellStyle name="Percent 2 2 2 2 20" xfId="6148"/>
    <cellStyle name="Percent 2 2 2 2 20 2" xfId="6149"/>
    <cellStyle name="Percent 2 2 2 2 21" xfId="6150"/>
    <cellStyle name="Percent 2 2 2 2 21 2" xfId="6151"/>
    <cellStyle name="Percent 2 2 2 2 22" xfId="6152"/>
    <cellStyle name="Percent 2 2 2 2 22 2" xfId="6153"/>
    <cellStyle name="Percent 2 2 2 2 23" xfId="6154"/>
    <cellStyle name="Percent 2 2 2 2 23 2" xfId="6155"/>
    <cellStyle name="Percent 2 2 2 2 24" xfId="6156"/>
    <cellStyle name="Percent 2 2 2 2 24 2" xfId="6157"/>
    <cellStyle name="Percent 2 2 2 2 25" xfId="6158"/>
    <cellStyle name="Percent 2 2 2 2 25 2" xfId="6159"/>
    <cellStyle name="Percent 2 2 2 2 26" xfId="6160"/>
    <cellStyle name="Percent 2 2 2 2 26 2" xfId="6161"/>
    <cellStyle name="Percent 2 2 2 2 3" xfId="6162"/>
    <cellStyle name="Percent 2 2 2 2 4" xfId="6163"/>
    <cellStyle name="Percent 2 2 2 2 5" xfId="6164"/>
    <cellStyle name="Percent 2 2 2 2 6" xfId="6165"/>
    <cellStyle name="Percent 2 2 2 2 7" xfId="6166"/>
    <cellStyle name="Percent 2 2 2 2 8" xfId="6167"/>
    <cellStyle name="Percent 2 2 2 2 9" xfId="6168"/>
    <cellStyle name="Percent 2 2 2 20" xfId="6169"/>
    <cellStyle name="Percent 2 2 2 21" xfId="6170"/>
    <cellStyle name="Percent 2 2 2 22" xfId="6171"/>
    <cellStyle name="Percent 2 2 2 23" xfId="6172"/>
    <cellStyle name="Percent 2 2 2 24" xfId="6173"/>
    <cellStyle name="Percent 2 2 2 25" xfId="6174"/>
    <cellStyle name="Percent 2 2 2 26" xfId="6175"/>
    <cellStyle name="Percent 2 2 2 27" xfId="6176"/>
    <cellStyle name="Percent 2 2 2 3" xfId="6177"/>
    <cellStyle name="Percent 2 2 2 3 2" xfId="6178"/>
    <cellStyle name="Percent 2 2 2 4" xfId="6179"/>
    <cellStyle name="Percent 2 2 2 4 2" xfId="6180"/>
    <cellStyle name="Percent 2 2 2 5" xfId="6181"/>
    <cellStyle name="Percent 2 2 2 5 2" xfId="6182"/>
    <cellStyle name="Percent 2 2 2 6" xfId="6183"/>
    <cellStyle name="Percent 2 2 2 6 2" xfId="6184"/>
    <cellStyle name="Percent 2 2 2 7" xfId="6185"/>
    <cellStyle name="Percent 2 2 2 7 2" xfId="6186"/>
    <cellStyle name="Percent 2 2 2 8" xfId="6187"/>
    <cellStyle name="Percent 2 2 2 8 2" xfId="6188"/>
    <cellStyle name="Percent 2 2 2 9" xfId="6189"/>
    <cellStyle name="Percent 2 2 2 9 2" xfId="6190"/>
    <cellStyle name="Percent 2 2 20" xfId="6191"/>
    <cellStyle name="Percent 2 2 20 2" xfId="6192"/>
    <cellStyle name="Percent 2 2 21" xfId="6193"/>
    <cellStyle name="Percent 2 2 21 2" xfId="6194"/>
    <cellStyle name="Percent 2 2 22" xfId="6195"/>
    <cellStyle name="Percent 2 2 22 2" xfId="6196"/>
    <cellStyle name="Percent 2 2 23" xfId="6197"/>
    <cellStyle name="Percent 2 2 23 2" xfId="6198"/>
    <cellStyle name="Percent 2 2 24" xfId="6199"/>
    <cellStyle name="Percent 2 2 24 2" xfId="6200"/>
    <cellStyle name="Percent 2 2 25" xfId="6201"/>
    <cellStyle name="Percent 2 2 25 2" xfId="6202"/>
    <cellStyle name="Percent 2 2 26" xfId="6203"/>
    <cellStyle name="Percent 2 2 26 2" xfId="6204"/>
    <cellStyle name="Percent 2 2 27" xfId="6205"/>
    <cellStyle name="Percent 2 2 27 2" xfId="6206"/>
    <cellStyle name="Percent 2 2 28" xfId="6207"/>
    <cellStyle name="Percent 2 2 28 2" xfId="6208"/>
    <cellStyle name="Percent 2 2 29" xfId="6209"/>
    <cellStyle name="Percent 2 2 3" xfId="6210"/>
    <cellStyle name="Percent 2 2 3 2" xfId="6211"/>
    <cellStyle name="Percent 2 2 3 2 2" xfId="6212"/>
    <cellStyle name="Percent 2 2 3 3" xfId="6213"/>
    <cellStyle name="Percent 2 2 4" xfId="6214"/>
    <cellStyle name="Percent 2 2 4 2" xfId="6215"/>
    <cellStyle name="Percent 2 2 4 2 2" xfId="6216"/>
    <cellStyle name="Percent 2 2 4 3" xfId="6217"/>
    <cellStyle name="Percent 2 2 5" xfId="6218"/>
    <cellStyle name="Percent 2 2 5 2" xfId="6219"/>
    <cellStyle name="Percent 2 2 5 2 2" xfId="6220"/>
    <cellStyle name="Percent 2 2 5 3" xfId="6221"/>
    <cellStyle name="Percent 2 2 6" xfId="6222"/>
    <cellStyle name="Percent 2 2 6 2" xfId="6223"/>
    <cellStyle name="Percent 2 2 6 2 2" xfId="6224"/>
    <cellStyle name="Percent 2 2 6 3" xfId="6225"/>
    <cellStyle name="Percent 2 2 7" xfId="6226"/>
    <cellStyle name="Percent 2 2 7 2" xfId="6227"/>
    <cellStyle name="Percent 2 2 7 2 2" xfId="6228"/>
    <cellStyle name="Percent 2 2 7 3" xfId="6229"/>
    <cellStyle name="Percent 2 2 8" xfId="6230"/>
    <cellStyle name="Percent 2 2 8 2" xfId="6231"/>
    <cellStyle name="Percent 2 2 8 2 2" xfId="6232"/>
    <cellStyle name="Percent 2 2 8 3" xfId="6233"/>
    <cellStyle name="Percent 2 2 9" xfId="6234"/>
    <cellStyle name="Percent 2 2 9 2" xfId="6235"/>
    <cellStyle name="Percent 2 20" xfId="6236"/>
    <cellStyle name="Percent 2 20 2" xfId="6237"/>
    <cellStyle name="Percent 2 20 2 2" xfId="6238"/>
    <cellStyle name="Percent 2 20 3" xfId="6239"/>
    <cellStyle name="Percent 2 21" xfId="6240"/>
    <cellStyle name="Percent 2 21 2" xfId="6241"/>
    <cellStyle name="Percent 2 21 2 2" xfId="6242"/>
    <cellStyle name="Percent 2 21 3" xfId="6243"/>
    <cellStyle name="Percent 2 22" xfId="6244"/>
    <cellStyle name="Percent 2 22 2" xfId="6245"/>
    <cellStyle name="Percent 2 22 2 2" xfId="6246"/>
    <cellStyle name="Percent 2 22 3" xfId="6247"/>
    <cellStyle name="Percent 2 23" xfId="6248"/>
    <cellStyle name="Percent 2 23 2" xfId="6249"/>
    <cellStyle name="Percent 2 23 2 2" xfId="6250"/>
    <cellStyle name="Percent 2 23 3" xfId="6251"/>
    <cellStyle name="Percent 2 24" xfId="6252"/>
    <cellStyle name="Percent 2 24 2" xfId="6253"/>
    <cellStyle name="Percent 2 24 2 2" xfId="6254"/>
    <cellStyle name="Percent 2 24 3" xfId="6255"/>
    <cellStyle name="Percent 2 25" xfId="6256"/>
    <cellStyle name="Percent 2 25 2" xfId="6257"/>
    <cellStyle name="Percent 2 25 2 2" xfId="6258"/>
    <cellStyle name="Percent 2 25 3" xfId="6259"/>
    <cellStyle name="Percent 2 26" xfId="6260"/>
    <cellStyle name="Percent 2 26 2" xfId="6261"/>
    <cellStyle name="Percent 2 26 2 2" xfId="6262"/>
    <cellStyle name="Percent 2 26 3" xfId="6263"/>
    <cellStyle name="Percent 2 27" xfId="6264"/>
    <cellStyle name="Percent 2 27 2" xfId="6265"/>
    <cellStyle name="Percent 2 27 2 2" xfId="6266"/>
    <cellStyle name="Percent 2 27 3" xfId="6267"/>
    <cellStyle name="Percent 2 28" xfId="6268"/>
    <cellStyle name="Percent 2 28 2" xfId="6269"/>
    <cellStyle name="Percent 2 28 3" xfId="6270"/>
    <cellStyle name="Percent 2 29" xfId="6271"/>
    <cellStyle name="Percent 2 29 2" xfId="6272"/>
    <cellStyle name="Percent 2 3" xfId="6273"/>
    <cellStyle name="Percent 2 3 10" xfId="6274"/>
    <cellStyle name="Percent 2 3 11" xfId="6275"/>
    <cellStyle name="Percent 2 3 12" xfId="6276"/>
    <cellStyle name="Percent 2 3 13" xfId="6277"/>
    <cellStyle name="Percent 2 3 14" xfId="6278"/>
    <cellStyle name="Percent 2 3 15" xfId="6279"/>
    <cellStyle name="Percent 2 3 16" xfId="6280"/>
    <cellStyle name="Percent 2 3 17" xfId="6281"/>
    <cellStyle name="Percent 2 3 18" xfId="6282"/>
    <cellStyle name="Percent 2 3 19" xfId="6283"/>
    <cellStyle name="Percent 2 3 2" xfId="6284"/>
    <cellStyle name="Percent 2 3 2 2" xfId="6285"/>
    <cellStyle name="Percent 2 3 2 2 2" xfId="6286"/>
    <cellStyle name="Percent 2 3 2 2 2 2" xfId="6287"/>
    <cellStyle name="Percent 2 3 2 2 2 2 2" xfId="6288"/>
    <cellStyle name="Percent 2 3 2 2 2 3" xfId="6289"/>
    <cellStyle name="Percent 2 3 2 2 3" xfId="6290"/>
    <cellStyle name="Percent 2 3 2 2 3 2" xfId="6291"/>
    <cellStyle name="Percent 2 3 2 2 3 2 2" xfId="6292"/>
    <cellStyle name="Percent 2 3 2 2 3 3" xfId="6293"/>
    <cellStyle name="Percent 2 3 2 2 4" xfId="6294"/>
    <cellStyle name="Percent 2 3 2 2 4 2" xfId="6295"/>
    <cellStyle name="Percent 2 3 2 2 4 2 2" xfId="6296"/>
    <cellStyle name="Percent 2 3 2 2 4 3" xfId="6297"/>
    <cellStyle name="Percent 2 3 2 2 5" xfId="6298"/>
    <cellStyle name="Percent 2 3 2 2 5 2" xfId="6299"/>
    <cellStyle name="Percent 2 3 2 2 5 2 2" xfId="6300"/>
    <cellStyle name="Percent 2 3 2 2 5 3" xfId="6301"/>
    <cellStyle name="Percent 2 3 2 3" xfId="6302"/>
    <cellStyle name="Percent 2 3 2 4" xfId="6303"/>
    <cellStyle name="Percent 2 3 2 4 2" xfId="6304"/>
    <cellStyle name="Percent 2 3 2 5" xfId="6305"/>
    <cellStyle name="Percent 2 3 2 6" xfId="6306"/>
    <cellStyle name="Percent 2 3 2 6 2" xfId="6307"/>
    <cellStyle name="Percent 2 3 2 6 3" xfId="6308"/>
    <cellStyle name="Percent 2 3 2 7" xfId="6309"/>
    <cellStyle name="Percent 2 3 2 8" xfId="6310"/>
    <cellStyle name="Percent 2 3 3" xfId="6311"/>
    <cellStyle name="Percent 2 3 3 2" xfId="6312"/>
    <cellStyle name="Percent 2 3 3 2 2" xfId="6313"/>
    <cellStyle name="Percent 2 3 3 3" xfId="6314"/>
    <cellStyle name="Percent 2 3 3 4" xfId="6315"/>
    <cellStyle name="Percent 2 3 4" xfId="6316"/>
    <cellStyle name="Percent 2 3 4 2" xfId="6317"/>
    <cellStyle name="Percent 2 3 4 2 2" xfId="6318"/>
    <cellStyle name="Percent 2 3 4 3" xfId="6319"/>
    <cellStyle name="Percent 2 3 4 4" xfId="6320"/>
    <cellStyle name="Percent 2 3 5" xfId="6321"/>
    <cellStyle name="Percent 2 3 5 2" xfId="6322"/>
    <cellStyle name="Percent 2 3 5 2 2" xfId="6323"/>
    <cellStyle name="Percent 2 3 5 3" xfId="6324"/>
    <cellStyle name="Percent 2 3 5 4" xfId="6325"/>
    <cellStyle name="Percent 2 3 6" xfId="6326"/>
    <cellStyle name="Percent 2 3 6 2" xfId="6327"/>
    <cellStyle name="Percent 2 3 6 2 2" xfId="6328"/>
    <cellStyle name="Percent 2 3 6 3" xfId="6329"/>
    <cellStyle name="Percent 2 3 6 4" xfId="6330"/>
    <cellStyle name="Percent 2 3 7" xfId="6331"/>
    <cellStyle name="Percent 2 3 8" xfId="6332"/>
    <cellStyle name="Percent 2 3 9" xfId="6333"/>
    <cellStyle name="Percent 2 30" xfId="6334"/>
    <cellStyle name="Percent 2 30 2" xfId="6335"/>
    <cellStyle name="Percent 2 31" xfId="6336"/>
    <cellStyle name="Percent 2 31 2" xfId="6337"/>
    <cellStyle name="Percent 2 32" xfId="6338"/>
    <cellStyle name="Percent 2 32 2" xfId="6339"/>
    <cellStyle name="Percent 2 33" xfId="6340"/>
    <cellStyle name="Percent 2 33 2" xfId="6341"/>
    <cellStyle name="Percent 2 34" xfId="6342"/>
    <cellStyle name="Percent 2 34 2" xfId="6343"/>
    <cellStyle name="Percent 2 35" xfId="6344"/>
    <cellStyle name="Percent 2 35 2" xfId="6345"/>
    <cellStyle name="Percent 2 36" xfId="6346"/>
    <cellStyle name="Percent 2 36 2" xfId="6347"/>
    <cellStyle name="Percent 2 37" xfId="6348"/>
    <cellStyle name="Percent 2 37 2" xfId="6349"/>
    <cellStyle name="Percent 2 38" xfId="6350"/>
    <cellStyle name="Percent 2 38 2" xfId="6351"/>
    <cellStyle name="Percent 2 39" xfId="6352"/>
    <cellStyle name="Percent 2 39 2" xfId="6353"/>
    <cellStyle name="Percent 2 4" xfId="6354"/>
    <cellStyle name="Percent 2 4 2" xfId="6355"/>
    <cellStyle name="Percent 2 4 2 2" xfId="6356"/>
    <cellStyle name="Percent 2 4 2 2 2" xfId="6357"/>
    <cellStyle name="Percent 2 4 2 3" xfId="6358"/>
    <cellStyle name="Percent 2 4 2 4" xfId="6359"/>
    <cellStyle name="Percent 2 4 2 5" xfId="6360"/>
    <cellStyle name="Percent 2 4 3" xfId="6361"/>
    <cellStyle name="Percent 2 4 4" xfId="6362"/>
    <cellStyle name="Percent 2 4 5" xfId="6363"/>
    <cellStyle name="Percent 2 4 6" xfId="6364"/>
    <cellStyle name="Percent 2 40" xfId="6365"/>
    <cellStyle name="Percent 2 40 2" xfId="6366"/>
    <cellStyle name="Percent 2 41" xfId="6367"/>
    <cellStyle name="Percent 2 41 2" xfId="6368"/>
    <cellStyle name="Percent 2 42" xfId="6369"/>
    <cellStyle name="Percent 2 42 2" xfId="6370"/>
    <cellStyle name="Percent 2 43" xfId="6371"/>
    <cellStyle name="Percent 2 43 2" xfId="6372"/>
    <cellStyle name="Percent 2 44" xfId="6373"/>
    <cellStyle name="Percent 2 44 2" xfId="6374"/>
    <cellStyle name="Percent 2 45" xfId="6375"/>
    <cellStyle name="Percent 2 45 2" xfId="6376"/>
    <cellStyle name="Percent 2 46" xfId="6377"/>
    <cellStyle name="Percent 2 46 2" xfId="6378"/>
    <cellStyle name="Percent 2 47" xfId="6379"/>
    <cellStyle name="Percent 2 47 2" xfId="6380"/>
    <cellStyle name="Percent 2 48" xfId="6381"/>
    <cellStyle name="Percent 2 48 2" xfId="6382"/>
    <cellStyle name="Percent 2 49" xfId="6383"/>
    <cellStyle name="Percent 2 49 2" xfId="6384"/>
    <cellStyle name="Percent 2 5" xfId="6385"/>
    <cellStyle name="Percent 2 5 2" xfId="6386"/>
    <cellStyle name="Percent 2 5 2 2" xfId="6387"/>
    <cellStyle name="Percent 2 5 3" xfId="6388"/>
    <cellStyle name="Percent 2 50" xfId="6389"/>
    <cellStyle name="Percent 2 50 2" xfId="6390"/>
    <cellStyle name="Percent 2 51" xfId="6391"/>
    <cellStyle name="Percent 2 51 2" xfId="6392"/>
    <cellStyle name="Percent 2 52" xfId="6393"/>
    <cellStyle name="Percent 2 52 2" xfId="6394"/>
    <cellStyle name="Percent 2 53" xfId="6395"/>
    <cellStyle name="Percent 2 53 2" xfId="6396"/>
    <cellStyle name="Percent 2 54" xfId="6397"/>
    <cellStyle name="Percent 2 54 2" xfId="6398"/>
    <cellStyle name="Percent 2 55" xfId="6399"/>
    <cellStyle name="Percent 2 56" xfId="6400"/>
    <cellStyle name="Percent 2 56 2" xfId="6401"/>
    <cellStyle name="Percent 2 57" xfId="6402"/>
    <cellStyle name="Percent 2 57 2" xfId="6403"/>
    <cellStyle name="Percent 2 58" xfId="6404"/>
    <cellStyle name="Percent 2 58 2" xfId="6405"/>
    <cellStyle name="Percent 2 59" xfId="6406"/>
    <cellStyle name="Percent 2 59 2" xfId="6407"/>
    <cellStyle name="Percent 2 6" xfId="6408"/>
    <cellStyle name="Percent 2 6 2" xfId="6409"/>
    <cellStyle name="Percent 2 6 2 2" xfId="6410"/>
    <cellStyle name="Percent 2 6 3" xfId="6411"/>
    <cellStyle name="Percent 2 60" xfId="6412"/>
    <cellStyle name="Percent 2 60 2" xfId="6413"/>
    <cellStyle name="Percent 2 61" xfId="6414"/>
    <cellStyle name="Percent 2 61 2" xfId="6415"/>
    <cellStyle name="Percent 2 62" xfId="6416"/>
    <cellStyle name="Percent 2 62 2" xfId="6417"/>
    <cellStyle name="Percent 2 63" xfId="6418"/>
    <cellStyle name="Percent 2 63 2" xfId="6419"/>
    <cellStyle name="Percent 2 63 2 2" xfId="6420"/>
    <cellStyle name="Percent 2 64" xfId="6421"/>
    <cellStyle name="Percent 2 65" xfId="6422"/>
    <cellStyle name="Percent 2 66" xfId="6423"/>
    <cellStyle name="Percent 2 67" xfId="6424"/>
    <cellStyle name="Percent 2 68" xfId="6425"/>
    <cellStyle name="Percent 2 69" xfId="6426"/>
    <cellStyle name="Percent 2 7" xfId="6427"/>
    <cellStyle name="Percent 2 7 2" xfId="6428"/>
    <cellStyle name="Percent 2 7 2 2" xfId="6429"/>
    <cellStyle name="Percent 2 7 3" xfId="6430"/>
    <cellStyle name="Percent 2 70" xfId="6431"/>
    <cellStyle name="Percent 2 71" xfId="6432"/>
    <cellStyle name="Percent 2 72" xfId="6433"/>
    <cellStyle name="Percent 2 73" xfId="6434"/>
    <cellStyle name="Percent 2 74" xfId="6435"/>
    <cellStyle name="Percent 2 75" xfId="6436"/>
    <cellStyle name="Percent 2 76" xfId="6437"/>
    <cellStyle name="Percent 2 77" xfId="6438"/>
    <cellStyle name="Percent 2 78" xfId="6439"/>
    <cellStyle name="Percent 2 79" xfId="6440"/>
    <cellStyle name="Percent 2 8" xfId="6441"/>
    <cellStyle name="Percent 2 8 2" xfId="6442"/>
    <cellStyle name="Percent 2 8 2 2" xfId="6443"/>
    <cellStyle name="Percent 2 8 3" xfId="6444"/>
    <cellStyle name="Percent 2 80" xfId="6445"/>
    <cellStyle name="Percent 2 81" xfId="6446"/>
    <cellStyle name="Percent 2 82" xfId="6447"/>
    <cellStyle name="Percent 2 83" xfId="6448"/>
    <cellStyle name="Percent 2 84" xfId="6449"/>
    <cellStyle name="Percent 2 85" xfId="6450"/>
    <cellStyle name="Percent 2 86" xfId="6451"/>
    <cellStyle name="Percent 2 87" xfId="6452"/>
    <cellStyle name="Percent 2 88" xfId="6453"/>
    <cellStyle name="Percent 2 89" xfId="6454"/>
    <cellStyle name="Percent 2 9" xfId="6455"/>
    <cellStyle name="Percent 2 9 2" xfId="6456"/>
    <cellStyle name="Percent 2 9 2 2" xfId="6457"/>
    <cellStyle name="Percent 2 9 3" xfId="6458"/>
    <cellStyle name="Percent 2 90" xfId="6459"/>
    <cellStyle name="Percent 2 91" xfId="6460"/>
    <cellStyle name="Percent 2 92" xfId="6461"/>
    <cellStyle name="Percent 2 93" xfId="6462"/>
    <cellStyle name="Percent 2 94" xfId="6463"/>
    <cellStyle name="Percent 2 95" xfId="6464"/>
    <cellStyle name="Percent 2 96" xfId="6465"/>
    <cellStyle name="Percent 2 97" xfId="6466"/>
    <cellStyle name="Percent 2 98" xfId="6467"/>
    <cellStyle name="Percent 2 99" xfId="6468"/>
    <cellStyle name="Percent 20" xfId="6469"/>
    <cellStyle name="Percent 20 2" xfId="6470"/>
    <cellStyle name="Percent 21" xfId="6471"/>
    <cellStyle name="Percent 21 2" xfId="6472"/>
    <cellStyle name="Percent 22" xfId="6473"/>
    <cellStyle name="Percent 23" xfId="6474"/>
    <cellStyle name="Percent 24" xfId="6475"/>
    <cellStyle name="Percent 25" xfId="6476"/>
    <cellStyle name="Percent 26" xfId="6477"/>
    <cellStyle name="Percent 26 2" xfId="6478"/>
    <cellStyle name="Percent 27" xfId="6479"/>
    <cellStyle name="Percent 28" xfId="6480"/>
    <cellStyle name="Percent 29" xfId="6481"/>
    <cellStyle name="Percent 3" xfId="40"/>
    <cellStyle name="Percent 3 10" xfId="6482"/>
    <cellStyle name="Percent 3 10 2" xfId="6483"/>
    <cellStyle name="Percent 3 10 2 2" xfId="6484"/>
    <cellStyle name="Percent 3 10 3" xfId="6485"/>
    <cellStyle name="Percent 3 100" xfId="6486"/>
    <cellStyle name="Percent 3 101" xfId="6487"/>
    <cellStyle name="Percent 3 102" xfId="6488"/>
    <cellStyle name="Percent 3 103" xfId="6489"/>
    <cellStyle name="Percent 3 104" xfId="6490"/>
    <cellStyle name="Percent 3 105" xfId="6491"/>
    <cellStyle name="Percent 3 106" xfId="6492"/>
    <cellStyle name="Percent 3 107" xfId="6493"/>
    <cellStyle name="Percent 3 108" xfId="6494"/>
    <cellStyle name="Percent 3 109" xfId="6495"/>
    <cellStyle name="Percent 3 11" xfId="6496"/>
    <cellStyle name="Percent 3 11 2" xfId="6497"/>
    <cellStyle name="Percent 3 11 2 2" xfId="6498"/>
    <cellStyle name="Percent 3 11 3" xfId="6499"/>
    <cellStyle name="Percent 3 110" xfId="6500"/>
    <cellStyle name="Percent 3 111" xfId="6501"/>
    <cellStyle name="Percent 3 112" xfId="6502"/>
    <cellStyle name="Percent 3 113" xfId="6503"/>
    <cellStyle name="Percent 3 114" xfId="6504"/>
    <cellStyle name="Percent 3 115" xfId="6505"/>
    <cellStyle name="Percent 3 116" xfId="6506"/>
    <cellStyle name="Percent 3 117" xfId="6507"/>
    <cellStyle name="Percent 3 118" xfId="6508"/>
    <cellStyle name="Percent 3 119" xfId="6509"/>
    <cellStyle name="Percent 3 12" xfId="6510"/>
    <cellStyle name="Percent 3 12 2" xfId="6511"/>
    <cellStyle name="Percent 3 12 2 2" xfId="6512"/>
    <cellStyle name="Percent 3 12 3" xfId="6513"/>
    <cellStyle name="Percent 3 120" xfId="6514"/>
    <cellStyle name="Percent 3 121" xfId="6515"/>
    <cellStyle name="Percent 3 122" xfId="6516"/>
    <cellStyle name="Percent 3 123" xfId="6517"/>
    <cellStyle name="Percent 3 124" xfId="6518"/>
    <cellStyle name="Percent 3 125" xfId="6519"/>
    <cellStyle name="Percent 3 126" xfId="6520"/>
    <cellStyle name="Percent 3 127" xfId="6521"/>
    <cellStyle name="Percent 3 128" xfId="6522"/>
    <cellStyle name="Percent 3 129" xfId="6523"/>
    <cellStyle name="Percent 3 13" xfId="6524"/>
    <cellStyle name="Percent 3 13 2" xfId="6525"/>
    <cellStyle name="Percent 3 13 2 2" xfId="6526"/>
    <cellStyle name="Percent 3 13 3" xfId="6527"/>
    <cellStyle name="Percent 3 130" xfId="6528"/>
    <cellStyle name="Percent 3 131" xfId="6529"/>
    <cellStyle name="Percent 3 132" xfId="6530"/>
    <cellStyle name="Percent 3 133" xfId="6531"/>
    <cellStyle name="Percent 3 134" xfId="6532"/>
    <cellStyle name="Percent 3 135" xfId="6533"/>
    <cellStyle name="Percent 3 136" xfId="6534"/>
    <cellStyle name="Percent 3 137" xfId="6535"/>
    <cellStyle name="Percent 3 138" xfId="6536"/>
    <cellStyle name="Percent 3 139" xfId="6537"/>
    <cellStyle name="Percent 3 14" xfId="6538"/>
    <cellStyle name="Percent 3 14 2" xfId="6539"/>
    <cellStyle name="Percent 3 14 2 2" xfId="6540"/>
    <cellStyle name="Percent 3 14 3" xfId="6541"/>
    <cellStyle name="Percent 3 140" xfId="6542"/>
    <cellStyle name="Percent 3 141" xfId="6543"/>
    <cellStyle name="Percent 3 142" xfId="6544"/>
    <cellStyle name="Percent 3 143" xfId="6545"/>
    <cellStyle name="Percent 3 144" xfId="6546"/>
    <cellStyle name="Percent 3 145" xfId="6547"/>
    <cellStyle name="Percent 3 146" xfId="6548"/>
    <cellStyle name="Percent 3 147" xfId="6549"/>
    <cellStyle name="Percent 3 148" xfId="6550"/>
    <cellStyle name="Percent 3 149" xfId="6551"/>
    <cellStyle name="Percent 3 15" xfId="6552"/>
    <cellStyle name="Percent 3 15 2" xfId="6553"/>
    <cellStyle name="Percent 3 15 2 2" xfId="6554"/>
    <cellStyle name="Percent 3 15 3" xfId="6555"/>
    <cellStyle name="Percent 3 150" xfId="6556"/>
    <cellStyle name="Percent 3 151" xfId="6557"/>
    <cellStyle name="Percent 3 152" xfId="6558"/>
    <cellStyle name="Percent 3 153" xfId="6559"/>
    <cellStyle name="Percent 3 154" xfId="7422"/>
    <cellStyle name="Percent 3 16" xfId="6560"/>
    <cellStyle name="Percent 3 16 2" xfId="6561"/>
    <cellStyle name="Percent 3 16 2 2" xfId="6562"/>
    <cellStyle name="Percent 3 16 3" xfId="6563"/>
    <cellStyle name="Percent 3 17" xfId="6564"/>
    <cellStyle name="Percent 3 17 2" xfId="6565"/>
    <cellStyle name="Percent 3 17 2 2" xfId="6566"/>
    <cellStyle name="Percent 3 17 3" xfId="6567"/>
    <cellStyle name="Percent 3 18" xfId="6568"/>
    <cellStyle name="Percent 3 18 2" xfId="6569"/>
    <cellStyle name="Percent 3 18 2 2" xfId="6570"/>
    <cellStyle name="Percent 3 18 3" xfId="6571"/>
    <cellStyle name="Percent 3 19" xfId="6572"/>
    <cellStyle name="Percent 3 19 2" xfId="6573"/>
    <cellStyle name="Percent 3 19 2 2" xfId="6574"/>
    <cellStyle name="Percent 3 19 3" xfId="6575"/>
    <cellStyle name="Percent 3 2" xfId="6576"/>
    <cellStyle name="Percent 3 2 10" xfId="6577"/>
    <cellStyle name="Percent 3 2 10 2" xfId="6578"/>
    <cellStyle name="Percent 3 2 11" xfId="6579"/>
    <cellStyle name="Percent 3 2 11 2" xfId="6580"/>
    <cellStyle name="Percent 3 2 12" xfId="6581"/>
    <cellStyle name="Percent 3 2 12 2" xfId="6582"/>
    <cellStyle name="Percent 3 2 12 2 2" xfId="6583"/>
    <cellStyle name="Percent 3 2 12 3" xfId="6584"/>
    <cellStyle name="Percent 3 2 13" xfId="6585"/>
    <cellStyle name="Percent 3 2 13 2" xfId="6586"/>
    <cellStyle name="Percent 3 2 14" xfId="6587"/>
    <cellStyle name="Percent 3 2 14 2" xfId="6588"/>
    <cellStyle name="Percent 3 2 14 2 2" xfId="6589"/>
    <cellStyle name="Percent 3 2 14 3" xfId="6590"/>
    <cellStyle name="Percent 3 2 15" xfId="6591"/>
    <cellStyle name="Percent 3 2 15 2" xfId="6592"/>
    <cellStyle name="Percent 3 2 15 2 2" xfId="6593"/>
    <cellStyle name="Percent 3 2 15 3" xfId="6594"/>
    <cellStyle name="Percent 3 2 16" xfId="6595"/>
    <cellStyle name="Percent 3 2 16 2" xfId="6596"/>
    <cellStyle name="Percent 3 2 16 2 2" xfId="6597"/>
    <cellStyle name="Percent 3 2 16 3" xfId="6598"/>
    <cellStyle name="Percent 3 2 17" xfId="6599"/>
    <cellStyle name="Percent 3 2 17 2" xfId="6600"/>
    <cellStyle name="Percent 3 2 17 2 2" xfId="6601"/>
    <cellStyle name="Percent 3 2 17 3" xfId="6602"/>
    <cellStyle name="Percent 3 2 18" xfId="6603"/>
    <cellStyle name="Percent 3 2 19" xfId="6604"/>
    <cellStyle name="Percent 3 2 2" xfId="6605"/>
    <cellStyle name="Percent 3 2 2 10" xfId="6606"/>
    <cellStyle name="Percent 3 2 2 10 2" xfId="6607"/>
    <cellStyle name="Percent 3 2 2 11" xfId="6608"/>
    <cellStyle name="Percent 3 2 2 11 2" xfId="6609"/>
    <cellStyle name="Percent 3 2 2 12" xfId="6610"/>
    <cellStyle name="Percent 3 2 2 12 2" xfId="6611"/>
    <cellStyle name="Percent 3 2 2 13" xfId="6612"/>
    <cellStyle name="Percent 3 2 2 13 2" xfId="6613"/>
    <cellStyle name="Percent 3 2 2 14" xfId="6614"/>
    <cellStyle name="Percent 3 2 2 14 2" xfId="6615"/>
    <cellStyle name="Percent 3 2 2 15" xfId="6616"/>
    <cellStyle name="Percent 3 2 2 15 2" xfId="6617"/>
    <cellStyle name="Percent 3 2 2 16" xfId="6618"/>
    <cellStyle name="Percent 3 2 2 17" xfId="6619"/>
    <cellStyle name="Percent 3 2 2 18" xfId="6620"/>
    <cellStyle name="Percent 3 2 2 18 2" xfId="6621"/>
    <cellStyle name="Percent 3 2 2 19" xfId="6622"/>
    <cellStyle name="Percent 3 2 2 2" xfId="6623"/>
    <cellStyle name="Percent 3 2 2 2 10" xfId="6624"/>
    <cellStyle name="Percent 3 2 2 2 10 2" xfId="6625"/>
    <cellStyle name="Percent 3 2 2 2 10 2 2" xfId="6626"/>
    <cellStyle name="Percent 3 2 2 2 10 3" xfId="6627"/>
    <cellStyle name="Percent 3 2 2 2 11" xfId="6628"/>
    <cellStyle name="Percent 3 2 2 2 11 2" xfId="6629"/>
    <cellStyle name="Percent 3 2 2 2 11 2 2" xfId="6630"/>
    <cellStyle name="Percent 3 2 2 2 11 3" xfId="6631"/>
    <cellStyle name="Percent 3 2 2 2 12" xfId="6632"/>
    <cellStyle name="Percent 3 2 2 2 12 2" xfId="6633"/>
    <cellStyle name="Percent 3 2 2 2 12 2 2" xfId="6634"/>
    <cellStyle name="Percent 3 2 2 2 12 3" xfId="6635"/>
    <cellStyle name="Percent 3 2 2 2 13" xfId="6636"/>
    <cellStyle name="Percent 3 2 2 2 13 2" xfId="6637"/>
    <cellStyle name="Percent 3 2 2 2 13 2 2" xfId="6638"/>
    <cellStyle name="Percent 3 2 2 2 13 3" xfId="6639"/>
    <cellStyle name="Percent 3 2 2 2 14" xfId="6640"/>
    <cellStyle name="Percent 3 2 2 2 14 2" xfId="6641"/>
    <cellStyle name="Percent 3 2 2 2 14 2 2" xfId="6642"/>
    <cellStyle name="Percent 3 2 2 2 14 3" xfId="6643"/>
    <cellStyle name="Percent 3 2 2 2 15" xfId="6644"/>
    <cellStyle name="Percent 3 2 2 2 15 2" xfId="6645"/>
    <cellStyle name="Percent 3 2 2 2 15 2 2" xfId="6646"/>
    <cellStyle name="Percent 3 2 2 2 15 3" xfId="6647"/>
    <cellStyle name="Percent 3 2 2 2 16" xfId="6648"/>
    <cellStyle name="Percent 3 2 2 2 16 2" xfId="6649"/>
    <cellStyle name="Percent 3 2 2 2 16 2 2" xfId="6650"/>
    <cellStyle name="Percent 3 2 2 2 16 3" xfId="6651"/>
    <cellStyle name="Percent 3 2 2 2 16 4" xfId="6652"/>
    <cellStyle name="Percent 3 2 2 2 17" xfId="6653"/>
    <cellStyle name="Percent 3 2 2 2 17 2" xfId="6654"/>
    <cellStyle name="Percent 3 2 2 2 17 2 2" xfId="6655"/>
    <cellStyle name="Percent 3 2 2 2 17 3" xfId="6656"/>
    <cellStyle name="Percent 3 2 2 2 2" xfId="6657"/>
    <cellStyle name="Percent 3 2 2 2 2 2" xfId="6658"/>
    <cellStyle name="Percent 3 2 2 2 2 2 2" xfId="6659"/>
    <cellStyle name="Percent 3 2 2 2 2 2 2 2" xfId="6660"/>
    <cellStyle name="Percent 3 2 2 2 2 2 2 2 2" xfId="6661"/>
    <cellStyle name="Percent 3 2 2 2 2 2 2 3" xfId="6662"/>
    <cellStyle name="Percent 3 2 2 2 2 2 3" xfId="6663"/>
    <cellStyle name="Percent 3 2 2 2 2 2 3 2" xfId="6664"/>
    <cellStyle name="Percent 3 2 2 2 2 2 3 2 2" xfId="6665"/>
    <cellStyle name="Percent 3 2 2 2 2 2 3 3" xfId="6666"/>
    <cellStyle name="Percent 3 2 2 2 2 2 4" xfId="6667"/>
    <cellStyle name="Percent 3 2 2 2 2 2 4 2" xfId="6668"/>
    <cellStyle name="Percent 3 2 2 2 2 2 4 2 2" xfId="6669"/>
    <cellStyle name="Percent 3 2 2 2 2 2 4 3" xfId="6670"/>
    <cellStyle name="Percent 3 2 2 2 2 2 5" xfId="6671"/>
    <cellStyle name="Percent 3 2 2 2 2 2 5 2" xfId="6672"/>
    <cellStyle name="Percent 3 2 2 2 2 2 5 2 2" xfId="6673"/>
    <cellStyle name="Percent 3 2 2 2 2 2 5 3" xfId="6674"/>
    <cellStyle name="Percent 3 2 2 2 2 2 6" xfId="6675"/>
    <cellStyle name="Percent 3 2 2 2 2 3" xfId="6676"/>
    <cellStyle name="Percent 3 2 2 2 2 3 2" xfId="6677"/>
    <cellStyle name="Percent 3 2 2 2 2 4" xfId="6678"/>
    <cellStyle name="Percent 3 2 2 2 2 4 2" xfId="6679"/>
    <cellStyle name="Percent 3 2 2 2 2 5" xfId="6680"/>
    <cellStyle name="Percent 3 2 2 2 2 5 2" xfId="6681"/>
    <cellStyle name="Percent 3 2 2 2 2 6" xfId="6682"/>
    <cellStyle name="Percent 3 2 2 2 2 6 2" xfId="6683"/>
    <cellStyle name="Percent 3 2 2 2 2 7" xfId="6684"/>
    <cellStyle name="Percent 3 2 2 2 3" xfId="6685"/>
    <cellStyle name="Percent 3 2 2 2 3 2" xfId="6686"/>
    <cellStyle name="Percent 3 2 2 2 3 2 2" xfId="6687"/>
    <cellStyle name="Percent 3 2 2 2 3 3" xfId="6688"/>
    <cellStyle name="Percent 3 2 2 2 4" xfId="6689"/>
    <cellStyle name="Percent 3 2 2 2 4 2" xfId="6690"/>
    <cellStyle name="Percent 3 2 2 2 4 2 2" xfId="6691"/>
    <cellStyle name="Percent 3 2 2 2 4 3" xfId="6692"/>
    <cellStyle name="Percent 3 2 2 2 5" xfId="6693"/>
    <cellStyle name="Percent 3 2 2 2 5 2" xfId="6694"/>
    <cellStyle name="Percent 3 2 2 2 5 2 2" xfId="6695"/>
    <cellStyle name="Percent 3 2 2 2 5 3" xfId="6696"/>
    <cellStyle name="Percent 3 2 2 2 6" xfId="6697"/>
    <cellStyle name="Percent 3 2 2 2 6 2" xfId="6698"/>
    <cellStyle name="Percent 3 2 2 2 6 2 2" xfId="6699"/>
    <cellStyle name="Percent 3 2 2 2 6 3" xfId="6700"/>
    <cellStyle name="Percent 3 2 2 2 7" xfId="6701"/>
    <cellStyle name="Percent 3 2 2 2 7 2" xfId="6702"/>
    <cellStyle name="Percent 3 2 2 2 7 2 2" xfId="6703"/>
    <cellStyle name="Percent 3 2 2 2 7 3" xfId="6704"/>
    <cellStyle name="Percent 3 2 2 2 8" xfId="6705"/>
    <cellStyle name="Percent 3 2 2 2 8 2" xfId="6706"/>
    <cellStyle name="Percent 3 2 2 2 8 2 2" xfId="6707"/>
    <cellStyle name="Percent 3 2 2 2 8 3" xfId="6708"/>
    <cellStyle name="Percent 3 2 2 2 9" xfId="6709"/>
    <cellStyle name="Percent 3 2 2 2 9 2" xfId="6710"/>
    <cellStyle name="Percent 3 2 2 2 9 2 2" xfId="6711"/>
    <cellStyle name="Percent 3 2 2 2 9 3" xfId="6712"/>
    <cellStyle name="Percent 3 2 2 3" xfId="6713"/>
    <cellStyle name="Percent 3 2 2 3 2" xfId="6714"/>
    <cellStyle name="Percent 3 2 2 4" xfId="6715"/>
    <cellStyle name="Percent 3 2 2 4 2" xfId="6716"/>
    <cellStyle name="Percent 3 2 2 5" xfId="6717"/>
    <cellStyle name="Percent 3 2 2 5 2" xfId="6718"/>
    <cellStyle name="Percent 3 2 2 6" xfId="6719"/>
    <cellStyle name="Percent 3 2 2 6 2" xfId="6720"/>
    <cellStyle name="Percent 3 2 2 7" xfId="6721"/>
    <cellStyle name="Percent 3 2 2 7 2" xfId="6722"/>
    <cellStyle name="Percent 3 2 2 8" xfId="6723"/>
    <cellStyle name="Percent 3 2 2 8 2" xfId="6724"/>
    <cellStyle name="Percent 3 2 2 9" xfId="6725"/>
    <cellStyle name="Percent 3 2 2 9 2" xfId="6726"/>
    <cellStyle name="Percent 3 2 20" xfId="6727"/>
    <cellStyle name="Percent 3 2 21" xfId="7505"/>
    <cellStyle name="Percent 3 2 3" xfId="6728"/>
    <cellStyle name="Percent 3 2 3 2" xfId="6729"/>
    <cellStyle name="Percent 3 2 4" xfId="6730"/>
    <cellStyle name="Percent 3 2 4 2" xfId="6731"/>
    <cellStyle name="Percent 3 2 5" xfId="6732"/>
    <cellStyle name="Percent 3 2 5 2" xfId="6733"/>
    <cellStyle name="Percent 3 2 6" xfId="6734"/>
    <cellStyle name="Percent 3 2 6 2" xfId="6735"/>
    <cellStyle name="Percent 3 2 7" xfId="6736"/>
    <cellStyle name="Percent 3 2 7 2" xfId="6737"/>
    <cellStyle name="Percent 3 2 8" xfId="6738"/>
    <cellStyle name="Percent 3 2 8 2" xfId="6739"/>
    <cellStyle name="Percent 3 2 9" xfId="6740"/>
    <cellStyle name="Percent 3 2 9 2" xfId="6741"/>
    <cellStyle name="Percent 3 20" xfId="6742"/>
    <cellStyle name="Percent 3 20 2" xfId="6743"/>
    <cellStyle name="Percent 3 20 3" xfId="6744"/>
    <cellStyle name="Percent 3 21" xfId="6745"/>
    <cellStyle name="Percent 3 21 2" xfId="6746"/>
    <cellStyle name="Percent 3 21 3" xfId="6747"/>
    <cellStyle name="Percent 3 22" xfId="6748"/>
    <cellStyle name="Percent 3 22 2" xfId="6749"/>
    <cellStyle name="Percent 3 23" xfId="6750"/>
    <cellStyle name="Percent 3 23 2" xfId="6751"/>
    <cellStyle name="Percent 3 24" xfId="6752"/>
    <cellStyle name="Percent 3 24 2" xfId="6753"/>
    <cellStyle name="Percent 3 25" xfId="6754"/>
    <cellStyle name="Percent 3 25 2" xfId="6755"/>
    <cellStyle name="Percent 3 26" xfId="6756"/>
    <cellStyle name="Percent 3 26 2" xfId="6757"/>
    <cellStyle name="Percent 3 27" xfId="6758"/>
    <cellStyle name="Percent 3 27 2" xfId="6759"/>
    <cellStyle name="Percent 3 28" xfId="6760"/>
    <cellStyle name="Percent 3 28 2" xfId="6761"/>
    <cellStyle name="Percent 3 29" xfId="6762"/>
    <cellStyle name="Percent 3 29 2" xfId="6763"/>
    <cellStyle name="Percent 3 3" xfId="6764"/>
    <cellStyle name="Percent 3 3 2" xfId="6765"/>
    <cellStyle name="Percent 3 3 2 2" xfId="6766"/>
    <cellStyle name="Percent 3 3 2 2 2" xfId="6767"/>
    <cellStyle name="Percent 3 3 2 3" xfId="6768"/>
    <cellStyle name="Percent 3 3 2 4" xfId="6769"/>
    <cellStyle name="Percent 3 3 2 5" xfId="6770"/>
    <cellStyle name="Percent 3 3 3" xfId="6771"/>
    <cellStyle name="Percent 3 3 4" xfId="6772"/>
    <cellStyle name="Percent 3 3 5" xfId="6773"/>
    <cellStyle name="Percent 3 3 6" xfId="6774"/>
    <cellStyle name="Percent 3 3 6 2" xfId="6775"/>
    <cellStyle name="Percent 3 3 7" xfId="6776"/>
    <cellStyle name="Percent 3 30" xfId="6777"/>
    <cellStyle name="Percent 3 30 2" xfId="6778"/>
    <cellStyle name="Percent 3 31" xfId="6779"/>
    <cellStyle name="Percent 3 31 2" xfId="6780"/>
    <cellStyle name="Percent 3 32" xfId="6781"/>
    <cellStyle name="Percent 3 32 2" xfId="6782"/>
    <cellStyle name="Percent 3 33" xfId="6783"/>
    <cellStyle name="Percent 3 33 2" xfId="6784"/>
    <cellStyle name="Percent 3 34" xfId="6785"/>
    <cellStyle name="Percent 3 34 2" xfId="6786"/>
    <cellStyle name="Percent 3 35" xfId="6787"/>
    <cellStyle name="Percent 3 35 2" xfId="6788"/>
    <cellStyle name="Percent 3 36" xfId="6789"/>
    <cellStyle name="Percent 3 36 2" xfId="6790"/>
    <cellStyle name="Percent 3 37" xfId="6791"/>
    <cellStyle name="Percent 3 37 2" xfId="6792"/>
    <cellStyle name="Percent 3 38" xfId="6793"/>
    <cellStyle name="Percent 3 38 2" xfId="6794"/>
    <cellStyle name="Percent 3 39" xfId="6795"/>
    <cellStyle name="Percent 3 39 2" xfId="6796"/>
    <cellStyle name="Percent 3 4" xfId="6797"/>
    <cellStyle name="Percent 3 4 2" xfId="6798"/>
    <cellStyle name="Percent 3 4 3" xfId="6799"/>
    <cellStyle name="Percent 3 4 3 2" xfId="6800"/>
    <cellStyle name="Percent 3 4 4" xfId="6801"/>
    <cellStyle name="Percent 3 4 4 2" xfId="6802"/>
    <cellStyle name="Percent 3 40" xfId="6803"/>
    <cellStyle name="Percent 3 40 2" xfId="6804"/>
    <cellStyle name="Percent 3 41" xfId="6805"/>
    <cellStyle name="Percent 3 41 2" xfId="6806"/>
    <cellStyle name="Percent 3 42" xfId="6807"/>
    <cellStyle name="Percent 3 42 2" xfId="6808"/>
    <cellStyle name="Percent 3 43" xfId="6809"/>
    <cellStyle name="Percent 3 43 2" xfId="6810"/>
    <cellStyle name="Percent 3 44" xfId="6811"/>
    <cellStyle name="Percent 3 44 2" xfId="6812"/>
    <cellStyle name="Percent 3 45" xfId="6813"/>
    <cellStyle name="Percent 3 45 2" xfId="6814"/>
    <cellStyle name="Percent 3 46" xfId="6815"/>
    <cellStyle name="Percent 3 46 2" xfId="6816"/>
    <cellStyle name="Percent 3 47" xfId="6817"/>
    <cellStyle name="Percent 3 47 2" xfId="6818"/>
    <cellStyle name="Percent 3 48" xfId="6819"/>
    <cellStyle name="Percent 3 48 2" xfId="6820"/>
    <cellStyle name="Percent 3 49" xfId="6821"/>
    <cellStyle name="Percent 3 49 2" xfId="6822"/>
    <cellStyle name="Percent 3 5" xfId="6823"/>
    <cellStyle name="Percent 3 5 2" xfId="6824"/>
    <cellStyle name="Percent 3 5 2 2" xfId="6825"/>
    <cellStyle name="Percent 3 5 3" xfId="6826"/>
    <cellStyle name="Percent 3 50" xfId="6827"/>
    <cellStyle name="Percent 3 50 2" xfId="6828"/>
    <cellStyle name="Percent 3 51" xfId="6829"/>
    <cellStyle name="Percent 3 51 2" xfId="6830"/>
    <cellStyle name="Percent 3 52" xfId="6831"/>
    <cellStyle name="Percent 3 52 2" xfId="6832"/>
    <cellStyle name="Percent 3 53" xfId="6833"/>
    <cellStyle name="Percent 3 53 2" xfId="6834"/>
    <cellStyle name="Percent 3 54" xfId="6835"/>
    <cellStyle name="Percent 3 54 2" xfId="6836"/>
    <cellStyle name="Percent 3 55" xfId="6837"/>
    <cellStyle name="Percent 3 55 2" xfId="6838"/>
    <cellStyle name="Percent 3 56" xfId="6839"/>
    <cellStyle name="Percent 3 56 2" xfId="6840"/>
    <cellStyle name="Percent 3 57" xfId="6841"/>
    <cellStyle name="Percent 3 57 2" xfId="6842"/>
    <cellStyle name="Percent 3 58" xfId="6843"/>
    <cellStyle name="Percent 3 58 2" xfId="6844"/>
    <cellStyle name="Percent 3 59" xfId="6845"/>
    <cellStyle name="Percent 3 59 2" xfId="6846"/>
    <cellStyle name="Percent 3 6" xfId="6847"/>
    <cellStyle name="Percent 3 6 2" xfId="6848"/>
    <cellStyle name="Percent 3 6 2 2" xfId="6849"/>
    <cellStyle name="Percent 3 6 3" xfId="6850"/>
    <cellStyle name="Percent 3 60" xfId="6851"/>
    <cellStyle name="Percent 3 60 2" xfId="6852"/>
    <cellStyle name="Percent 3 61" xfId="6853"/>
    <cellStyle name="Percent 3 61 2" xfId="6854"/>
    <cellStyle name="Percent 3 62" xfId="6855"/>
    <cellStyle name="Percent 3 63" xfId="6856"/>
    <cellStyle name="Percent 3 64" xfId="6857"/>
    <cellStyle name="Percent 3 65" xfId="6858"/>
    <cellStyle name="Percent 3 66" xfId="6859"/>
    <cellStyle name="Percent 3 67" xfId="6860"/>
    <cellStyle name="Percent 3 68" xfId="6861"/>
    <cellStyle name="Percent 3 69" xfId="6862"/>
    <cellStyle name="Percent 3 7" xfId="6863"/>
    <cellStyle name="Percent 3 7 2" xfId="6864"/>
    <cellStyle name="Percent 3 7 2 2" xfId="6865"/>
    <cellStyle name="Percent 3 7 3" xfId="6866"/>
    <cellStyle name="Percent 3 70" xfId="6867"/>
    <cellStyle name="Percent 3 71" xfId="6868"/>
    <cellStyle name="Percent 3 72" xfId="6869"/>
    <cellStyle name="Percent 3 73" xfId="6870"/>
    <cellStyle name="Percent 3 74" xfId="6871"/>
    <cellStyle name="Percent 3 75" xfId="6872"/>
    <cellStyle name="Percent 3 76" xfId="6873"/>
    <cellStyle name="Percent 3 77" xfId="6874"/>
    <cellStyle name="Percent 3 78" xfId="6875"/>
    <cellStyle name="Percent 3 79" xfId="6876"/>
    <cellStyle name="Percent 3 8" xfId="6877"/>
    <cellStyle name="Percent 3 8 2" xfId="6878"/>
    <cellStyle name="Percent 3 8 2 2" xfId="6879"/>
    <cellStyle name="Percent 3 8 3" xfId="6880"/>
    <cellStyle name="Percent 3 80" xfId="6881"/>
    <cellStyle name="Percent 3 81" xfId="6882"/>
    <cellStyle name="Percent 3 82" xfId="6883"/>
    <cellStyle name="Percent 3 83" xfId="6884"/>
    <cellStyle name="Percent 3 84" xfId="6885"/>
    <cellStyle name="Percent 3 85" xfId="6886"/>
    <cellStyle name="Percent 3 86" xfId="6887"/>
    <cellStyle name="Percent 3 87" xfId="6888"/>
    <cellStyle name="Percent 3 88" xfId="6889"/>
    <cellStyle name="Percent 3 89" xfId="6890"/>
    <cellStyle name="Percent 3 9" xfId="6891"/>
    <cellStyle name="Percent 3 9 2" xfId="6892"/>
    <cellStyle name="Percent 3 9 2 2" xfId="6893"/>
    <cellStyle name="Percent 3 9 3" xfId="6894"/>
    <cellStyle name="Percent 3 90" xfId="6895"/>
    <cellStyle name="Percent 3 91" xfId="6896"/>
    <cellStyle name="Percent 3 92" xfId="6897"/>
    <cellStyle name="Percent 3 93" xfId="6898"/>
    <cellStyle name="Percent 3 94" xfId="6899"/>
    <cellStyle name="Percent 3 95" xfId="6900"/>
    <cellStyle name="Percent 3 96" xfId="6901"/>
    <cellStyle name="Percent 3 97" xfId="6902"/>
    <cellStyle name="Percent 3 98" xfId="6903"/>
    <cellStyle name="Percent 3 99" xfId="6904"/>
    <cellStyle name="Percent 30" xfId="6905"/>
    <cellStyle name="Percent 31" xfId="6906"/>
    <cellStyle name="Percent 32" xfId="6907"/>
    <cellStyle name="Percent 33" xfId="6908"/>
    <cellStyle name="Percent 34" xfId="6909"/>
    <cellStyle name="Percent 35" xfId="6910"/>
    <cellStyle name="Percent 36" xfId="6911"/>
    <cellStyle name="Percent 37" xfId="6912"/>
    <cellStyle name="Percent 38" xfId="6913"/>
    <cellStyle name="Percent 39" xfId="6914"/>
    <cellStyle name="Percent 4" xfId="6915"/>
    <cellStyle name="Percent 4 10" xfId="6916"/>
    <cellStyle name="Percent 4 11" xfId="6917"/>
    <cellStyle name="Percent 4 12" xfId="6918"/>
    <cellStyle name="Percent 4 13" xfId="6919"/>
    <cellStyle name="Percent 4 14" xfId="6920"/>
    <cellStyle name="Percent 4 15" xfId="6921"/>
    <cellStyle name="Percent 4 16" xfId="6922"/>
    <cellStyle name="Percent 4 17" xfId="6923"/>
    <cellStyle name="Percent 4 18" xfId="6924"/>
    <cellStyle name="Percent 4 19" xfId="6925"/>
    <cellStyle name="Percent 4 2" xfId="6926"/>
    <cellStyle name="Percent 4 2 2" xfId="6927"/>
    <cellStyle name="Percent 4 2 2 2" xfId="6928"/>
    <cellStyle name="Percent 4 2 3" xfId="6929"/>
    <cellStyle name="Percent 4 2 4" xfId="6930"/>
    <cellStyle name="Percent 4 20" xfId="6931"/>
    <cellStyle name="Percent 4 21" xfId="6932"/>
    <cellStyle name="Percent 4 22" xfId="6933"/>
    <cellStyle name="Percent 4 23" xfId="6934"/>
    <cellStyle name="Percent 4 24" xfId="6935"/>
    <cellStyle name="Percent 4 25" xfId="6936"/>
    <cellStyle name="Percent 4 26" xfId="6937"/>
    <cellStyle name="Percent 4 27" xfId="6938"/>
    <cellStyle name="Percent 4 28" xfId="6939"/>
    <cellStyle name="Percent 4 29" xfId="6940"/>
    <cellStyle name="Percent 4 3" xfId="6941"/>
    <cellStyle name="Percent 4 3 2" xfId="6942"/>
    <cellStyle name="Percent 4 30" xfId="6943"/>
    <cellStyle name="Percent 4 31" xfId="6944"/>
    <cellStyle name="Percent 4 32" xfId="6945"/>
    <cellStyle name="Percent 4 33" xfId="6946"/>
    <cellStyle name="Percent 4 34" xfId="6947"/>
    <cellStyle name="Percent 4 35" xfId="6948"/>
    <cellStyle name="Percent 4 36" xfId="6949"/>
    <cellStyle name="Percent 4 37" xfId="6950"/>
    <cellStyle name="Percent 4 38" xfId="6951"/>
    <cellStyle name="Percent 4 39" xfId="6952"/>
    <cellStyle name="Percent 4 4" xfId="6953"/>
    <cellStyle name="Percent 4 40" xfId="6954"/>
    <cellStyle name="Percent 4 41" xfId="6955"/>
    <cellStyle name="Percent 4 42" xfId="6956"/>
    <cellStyle name="Percent 4 43" xfId="6957"/>
    <cellStyle name="Percent 4 44" xfId="6958"/>
    <cellStyle name="Percent 4 45" xfId="6959"/>
    <cellStyle name="Percent 4 46" xfId="6960"/>
    <cellStyle name="Percent 4 47" xfId="6961"/>
    <cellStyle name="Percent 4 48" xfId="6962"/>
    <cellStyle name="Percent 4 49" xfId="6963"/>
    <cellStyle name="Percent 4 5" xfId="6964"/>
    <cellStyle name="Percent 4 50" xfId="6965"/>
    <cellStyle name="Percent 4 51" xfId="6966"/>
    <cellStyle name="Percent 4 52" xfId="6967"/>
    <cellStyle name="Percent 4 53" xfId="6968"/>
    <cellStyle name="Percent 4 54" xfId="6969"/>
    <cellStyle name="Percent 4 55" xfId="6970"/>
    <cellStyle name="Percent 4 56" xfId="6971"/>
    <cellStyle name="Percent 4 57" xfId="6972"/>
    <cellStyle name="Percent 4 58" xfId="6973"/>
    <cellStyle name="Percent 4 59" xfId="6974"/>
    <cellStyle name="Percent 4 6" xfId="6975"/>
    <cellStyle name="Percent 4 60" xfId="6976"/>
    <cellStyle name="Percent 4 61" xfId="6977"/>
    <cellStyle name="Percent 4 7" xfId="6978"/>
    <cellStyle name="Percent 4 8" xfId="6979"/>
    <cellStyle name="Percent 4 9" xfId="6980"/>
    <cellStyle name="Percent 40" xfId="6981"/>
    <cellStyle name="Percent 41" xfId="6982"/>
    <cellStyle name="Percent 42" xfId="6983"/>
    <cellStyle name="Percent 43" xfId="6984"/>
    <cellStyle name="Percent 44" xfId="6985"/>
    <cellStyle name="Percent 44 2" xfId="6986"/>
    <cellStyle name="Percent 45" xfId="6987"/>
    <cellStyle name="Percent 46" xfId="6988"/>
    <cellStyle name="Percent 47" xfId="6989"/>
    <cellStyle name="Percent 48" xfId="6990"/>
    <cellStyle name="Percent 49" xfId="6991"/>
    <cellStyle name="Percent 49 2" xfId="6992"/>
    <cellStyle name="Percent 5" xfId="6993"/>
    <cellStyle name="Percent 5 10" xfId="6994"/>
    <cellStyle name="Percent 5 11" xfId="6995"/>
    <cellStyle name="Percent 5 12" xfId="6996"/>
    <cellStyle name="Percent 5 13" xfId="6997"/>
    <cellStyle name="Percent 5 14" xfId="6998"/>
    <cellStyle name="Percent 5 15" xfId="6999"/>
    <cellStyle name="Percent 5 16" xfId="7000"/>
    <cellStyle name="Percent 5 17" xfId="7001"/>
    <cellStyle name="Percent 5 18" xfId="7002"/>
    <cellStyle name="Percent 5 19" xfId="7003"/>
    <cellStyle name="Percent 5 2" xfId="7004"/>
    <cellStyle name="Percent 5 2 10" xfId="7005"/>
    <cellStyle name="Percent 5 2 11" xfId="7006"/>
    <cellStyle name="Percent 5 2 12" xfId="7007"/>
    <cellStyle name="Percent 5 2 13" xfId="7008"/>
    <cellStyle name="Percent 5 2 14" xfId="7009"/>
    <cellStyle name="Percent 5 2 15" xfId="7010"/>
    <cellStyle name="Percent 5 2 15 2" xfId="7011"/>
    <cellStyle name="Percent 5 2 16" xfId="7012"/>
    <cellStyle name="Percent 5 2 17" xfId="7013"/>
    <cellStyle name="Percent 5 2 18" xfId="7506"/>
    <cellStyle name="Percent 5 2 2" xfId="7014"/>
    <cellStyle name="Percent 5 2 2 10" xfId="7015"/>
    <cellStyle name="Percent 5 2 2 11" xfId="7016"/>
    <cellStyle name="Percent 5 2 2 12" xfId="7017"/>
    <cellStyle name="Percent 5 2 2 12 2" xfId="7018"/>
    <cellStyle name="Percent 5 2 2 13" xfId="7019"/>
    <cellStyle name="Percent 5 2 2 14" xfId="7507"/>
    <cellStyle name="Percent 5 2 2 2" xfId="7020"/>
    <cellStyle name="Percent 5 2 2 2 10" xfId="7021"/>
    <cellStyle name="Percent 5 2 2 2 10 2" xfId="7022"/>
    <cellStyle name="Percent 5 2 2 2 11" xfId="7023"/>
    <cellStyle name="Percent 5 2 2 2 11 2" xfId="7024"/>
    <cellStyle name="Percent 5 2 2 2 12" xfId="7025"/>
    <cellStyle name="Percent 5 2 2 2 13" xfId="7026"/>
    <cellStyle name="Percent 5 2 2 2 14" xfId="7027"/>
    <cellStyle name="Percent 5 2 2 2 2" xfId="7028"/>
    <cellStyle name="Percent 5 2 2 2 2 2" xfId="7029"/>
    <cellStyle name="Percent 5 2 2 2 3" xfId="7030"/>
    <cellStyle name="Percent 5 2 2 2 3 2" xfId="7031"/>
    <cellStyle name="Percent 5 2 2 2 4" xfId="7032"/>
    <cellStyle name="Percent 5 2 2 2 4 2" xfId="7033"/>
    <cellStyle name="Percent 5 2 2 2 5" xfId="7034"/>
    <cellStyle name="Percent 5 2 2 2 5 2" xfId="7035"/>
    <cellStyle name="Percent 5 2 2 2 6" xfId="7036"/>
    <cellStyle name="Percent 5 2 2 2 6 2" xfId="7037"/>
    <cellStyle name="Percent 5 2 2 2 7" xfId="7038"/>
    <cellStyle name="Percent 5 2 2 2 7 2" xfId="7039"/>
    <cellStyle name="Percent 5 2 2 2 8" xfId="7040"/>
    <cellStyle name="Percent 5 2 2 2 8 2" xfId="7041"/>
    <cellStyle name="Percent 5 2 2 2 9" xfId="7042"/>
    <cellStyle name="Percent 5 2 2 2 9 2" xfId="7043"/>
    <cellStyle name="Percent 5 2 2 3" xfId="7044"/>
    <cellStyle name="Percent 5 2 2 4" xfId="7045"/>
    <cellStyle name="Percent 5 2 2 5" xfId="7046"/>
    <cellStyle name="Percent 5 2 2 6" xfId="7047"/>
    <cellStyle name="Percent 5 2 2 7" xfId="7048"/>
    <cellStyle name="Percent 5 2 2 8" xfId="7049"/>
    <cellStyle name="Percent 5 2 2 9" xfId="7050"/>
    <cellStyle name="Percent 5 2 3" xfId="7051"/>
    <cellStyle name="Percent 5 2 3 2" xfId="7052"/>
    <cellStyle name="Percent 5 2 3 2 2" xfId="7053"/>
    <cellStyle name="Percent 5 2 3 2 3" xfId="7054"/>
    <cellStyle name="Percent 5 2 3 3" xfId="7055"/>
    <cellStyle name="Percent 5 2 4" xfId="7056"/>
    <cellStyle name="Percent 5 2 4 2" xfId="7057"/>
    <cellStyle name="Percent 5 2 5" xfId="7058"/>
    <cellStyle name="Percent 5 2 5 2" xfId="7059"/>
    <cellStyle name="Percent 5 2 6" xfId="7060"/>
    <cellStyle name="Percent 5 2 7" xfId="7061"/>
    <cellStyle name="Percent 5 2 8" xfId="7062"/>
    <cellStyle name="Percent 5 2 9" xfId="7063"/>
    <cellStyle name="Percent 5 20" xfId="7064"/>
    <cellStyle name="Percent 5 21" xfId="7065"/>
    <cellStyle name="Percent 5 22" xfId="7066"/>
    <cellStyle name="Percent 5 23" xfId="7067"/>
    <cellStyle name="Percent 5 24" xfId="7068"/>
    <cellStyle name="Percent 5 25" xfId="7069"/>
    <cellStyle name="Percent 5 26" xfId="7070"/>
    <cellStyle name="Percent 5 27" xfId="7071"/>
    <cellStyle name="Percent 5 28" xfId="7072"/>
    <cellStyle name="Percent 5 29" xfId="7073"/>
    <cellStyle name="Percent 5 3" xfId="7074"/>
    <cellStyle name="Percent 5 3 2" xfId="7075"/>
    <cellStyle name="Percent 5 3 2 2" xfId="7076"/>
    <cellStyle name="Percent 5 3 3" xfId="7077"/>
    <cellStyle name="Percent 5 3 4" xfId="7078"/>
    <cellStyle name="Percent 5 3 5" xfId="7079"/>
    <cellStyle name="Percent 5 30" xfId="7080"/>
    <cellStyle name="Percent 5 31" xfId="7081"/>
    <cellStyle name="Percent 5 32" xfId="7082"/>
    <cellStyle name="Percent 5 33" xfId="7083"/>
    <cellStyle name="Percent 5 34" xfId="7084"/>
    <cellStyle name="Percent 5 35" xfId="7085"/>
    <cellStyle name="Percent 5 36" xfId="7086"/>
    <cellStyle name="Percent 5 37" xfId="7087"/>
    <cellStyle name="Percent 5 38" xfId="7088"/>
    <cellStyle name="Percent 5 39" xfId="7089"/>
    <cellStyle name="Percent 5 4" xfId="7090"/>
    <cellStyle name="Percent 5 4 2" xfId="7091"/>
    <cellStyle name="Percent 5 40" xfId="7092"/>
    <cellStyle name="Percent 5 41" xfId="7093"/>
    <cellStyle name="Percent 5 42" xfId="7094"/>
    <cellStyle name="Percent 5 43" xfId="7095"/>
    <cellStyle name="Percent 5 44" xfId="7096"/>
    <cellStyle name="Percent 5 45" xfId="7097"/>
    <cellStyle name="Percent 5 46" xfId="7098"/>
    <cellStyle name="Percent 5 47" xfId="7099"/>
    <cellStyle name="Percent 5 48" xfId="7100"/>
    <cellStyle name="Percent 5 49" xfId="7101"/>
    <cellStyle name="Percent 5 5" xfId="7102"/>
    <cellStyle name="Percent 5 5 2" xfId="7103"/>
    <cellStyle name="Percent 5 5 3" xfId="7104"/>
    <cellStyle name="Percent 5 50" xfId="7105"/>
    <cellStyle name="Percent 5 51" xfId="7106"/>
    <cellStyle name="Percent 5 52" xfId="7107"/>
    <cellStyle name="Percent 5 53" xfId="7108"/>
    <cellStyle name="Percent 5 54" xfId="7109"/>
    <cellStyle name="Percent 5 55" xfId="7110"/>
    <cellStyle name="Percent 5 56" xfId="7111"/>
    <cellStyle name="Percent 5 57" xfId="7112"/>
    <cellStyle name="Percent 5 58" xfId="7113"/>
    <cellStyle name="Percent 5 59" xfId="7114"/>
    <cellStyle name="Percent 5 6" xfId="7115"/>
    <cellStyle name="Percent 5 60" xfId="7116"/>
    <cellStyle name="Percent 5 61" xfId="7117"/>
    <cellStyle name="Percent 5 62" xfId="7118"/>
    <cellStyle name="Percent 5 63" xfId="7119"/>
    <cellStyle name="Percent 5 7" xfId="7120"/>
    <cellStyle name="Percent 5 8" xfId="7121"/>
    <cellStyle name="Percent 5 9" xfId="7122"/>
    <cellStyle name="Percent 50" xfId="7123"/>
    <cellStyle name="Percent 51" xfId="7124"/>
    <cellStyle name="Percent 52" xfId="7125"/>
    <cellStyle name="Percent 53" xfId="7126"/>
    <cellStyle name="Percent 54" xfId="7127"/>
    <cellStyle name="Percent 55" xfId="7128"/>
    <cellStyle name="Percent 56" xfId="7129"/>
    <cellStyle name="Percent 57" xfId="7130"/>
    <cellStyle name="Percent 58" xfId="7131"/>
    <cellStyle name="Percent 59" xfId="7132"/>
    <cellStyle name="Percent 6" xfId="7133"/>
    <cellStyle name="Percent 6 2" xfId="7134"/>
    <cellStyle name="Percent 6 3" xfId="7135"/>
    <cellStyle name="Percent 6 4" xfId="7540"/>
    <cellStyle name="Percent 60" xfId="7136"/>
    <cellStyle name="Percent 61" xfId="7137"/>
    <cellStyle name="Percent 62" xfId="7138"/>
    <cellStyle name="Percent 63" xfId="7139"/>
    <cellStyle name="Percent 64" xfId="7140"/>
    <cellStyle name="Percent 64 2" xfId="7141"/>
    <cellStyle name="Percent 65" xfId="7142"/>
    <cellStyle name="Percent 65 2" xfId="7143"/>
    <cellStyle name="Percent 65 3" xfId="7144"/>
    <cellStyle name="Percent 66" xfId="7145"/>
    <cellStyle name="Percent 67" xfId="7146"/>
    <cellStyle name="Percent 68" xfId="7147"/>
    <cellStyle name="Percent 69" xfId="7148"/>
    <cellStyle name="Percent 7" xfId="7149"/>
    <cellStyle name="Percent 7 10" xfId="7150"/>
    <cellStyle name="Percent 7 11" xfId="7151"/>
    <cellStyle name="Percent 7 12" xfId="7152"/>
    <cellStyle name="Percent 7 12 2" xfId="7153"/>
    <cellStyle name="Percent 7 13" xfId="7154"/>
    <cellStyle name="Percent 7 14" xfId="7155"/>
    <cellStyle name="Percent 7 15" xfId="7508"/>
    <cellStyle name="Percent 7 2" xfId="7156"/>
    <cellStyle name="Percent 7 2 10" xfId="7157"/>
    <cellStyle name="Percent 7 2 10 2" xfId="7158"/>
    <cellStyle name="Percent 7 2 11" xfId="7159"/>
    <cellStyle name="Percent 7 2 11 2" xfId="7160"/>
    <cellStyle name="Percent 7 2 12" xfId="7161"/>
    <cellStyle name="Percent 7 2 12 2" xfId="7162"/>
    <cellStyle name="Percent 7 2 13" xfId="7163"/>
    <cellStyle name="Percent 7 2 13 2" xfId="7164"/>
    <cellStyle name="Percent 7 2 14" xfId="7165"/>
    <cellStyle name="Percent 7 2 2" xfId="7166"/>
    <cellStyle name="Percent 7 2 2 2" xfId="7167"/>
    <cellStyle name="Percent 7 2 3" xfId="7168"/>
    <cellStyle name="Percent 7 2 3 2" xfId="7169"/>
    <cellStyle name="Percent 7 2 4" xfId="7170"/>
    <cellStyle name="Percent 7 2 4 2" xfId="7171"/>
    <cellStyle name="Percent 7 2 5" xfId="7172"/>
    <cellStyle name="Percent 7 2 5 2" xfId="7173"/>
    <cellStyle name="Percent 7 2 6" xfId="7174"/>
    <cellStyle name="Percent 7 2 6 2" xfId="7175"/>
    <cellStyle name="Percent 7 2 7" xfId="7176"/>
    <cellStyle name="Percent 7 2 7 2" xfId="7177"/>
    <cellStyle name="Percent 7 2 8" xfId="7178"/>
    <cellStyle name="Percent 7 2 8 2" xfId="7179"/>
    <cellStyle name="Percent 7 2 9" xfId="7180"/>
    <cellStyle name="Percent 7 2 9 2" xfId="7181"/>
    <cellStyle name="Percent 7 3" xfId="7182"/>
    <cellStyle name="Percent 7 4" xfId="7183"/>
    <cellStyle name="Percent 7 5" xfId="7184"/>
    <cellStyle name="Percent 7 6" xfId="7185"/>
    <cellStyle name="Percent 7 7" xfId="7186"/>
    <cellStyle name="Percent 7 8" xfId="7187"/>
    <cellStyle name="Percent 7 9" xfId="7188"/>
    <cellStyle name="Percent 70" xfId="7189"/>
    <cellStyle name="Percent 71" xfId="7190"/>
    <cellStyle name="Percent 72" xfId="7191"/>
    <cellStyle name="Percent 73" xfId="7192"/>
    <cellStyle name="Percent 73 2" xfId="7417"/>
    <cellStyle name="Percent 73 2 2" xfId="7519"/>
    <cellStyle name="Percent 74" xfId="7414"/>
    <cellStyle name="Percent 75" xfId="7426"/>
    <cellStyle name="Percent 76" xfId="7511"/>
    <cellStyle name="Percent 77" xfId="7529"/>
    <cellStyle name="Percent 78" xfId="7534"/>
    <cellStyle name="Percent 78 2" xfId="7544"/>
    <cellStyle name="Percent 79" xfId="7538"/>
    <cellStyle name="Percent 8" xfId="7193"/>
    <cellStyle name="Percent 8 2" xfId="7194"/>
    <cellStyle name="Percent 8 2 2" xfId="7195"/>
    <cellStyle name="Percent 8 2 2 2" xfId="7196"/>
    <cellStyle name="Percent 8 2 2 2 2" xfId="7197"/>
    <cellStyle name="Percent 8 2 2 3" xfId="7198"/>
    <cellStyle name="Percent 8 2 2 3 2" xfId="7199"/>
    <cellStyle name="Percent 8 2 2 4" xfId="7200"/>
    <cellStyle name="Percent 8 2 2 4 2" xfId="7201"/>
    <cellStyle name="Percent 8 2 2 5" xfId="7202"/>
    <cellStyle name="Percent 8 2 2 5 2" xfId="7203"/>
    <cellStyle name="Percent 8 2 3" xfId="7204"/>
    <cellStyle name="Percent 8 2 4" xfId="7205"/>
    <cellStyle name="Percent 8 2 5" xfId="7206"/>
    <cellStyle name="Percent 8 2 6" xfId="7207"/>
    <cellStyle name="Percent 8 3" xfId="7208"/>
    <cellStyle name="Percent 8 3 2" xfId="7209"/>
    <cellStyle name="Percent 8 4" xfId="7210"/>
    <cellStyle name="Percent 8 4 2" xfId="7211"/>
    <cellStyle name="Percent 8 5" xfId="7212"/>
    <cellStyle name="Percent 8 5 2" xfId="7213"/>
    <cellStyle name="Percent 8 6" xfId="7214"/>
    <cellStyle name="Percent 8 6 2" xfId="7215"/>
    <cellStyle name="Percent 8 7" xfId="7216"/>
    <cellStyle name="Percent 8 7 2" xfId="7217"/>
    <cellStyle name="Percent 8 8" xfId="7509"/>
    <cellStyle name="Percent 80" xfId="7547"/>
    <cellStyle name="Percent 80 2" xfId="7551"/>
    <cellStyle name="Percent 81" xfId="7554"/>
    <cellStyle name="Percent 82" xfId="7558"/>
    <cellStyle name="Percent 88" xfId="7531"/>
    <cellStyle name="Percent 88 2" xfId="7532"/>
    <cellStyle name="Percent 88 3" xfId="7542"/>
    <cellStyle name="Percent 9" xfId="7218"/>
    <cellStyle name="Percent 9 2" xfId="7219"/>
    <cellStyle name="Percent 9 3" xfId="7220"/>
    <cellStyle name="Percent 94" xfId="7528"/>
    <cellStyle name="Percent 94 2" xfId="7556"/>
    <cellStyle name="PRINTFONT" xfId="7221"/>
    <cellStyle name="PSChar" xfId="7222"/>
    <cellStyle name="PSDate" xfId="7223"/>
    <cellStyle name="PSDec" xfId="7224"/>
    <cellStyle name="PSHeading" xfId="7225"/>
    <cellStyle name="PSInt" xfId="7226"/>
    <cellStyle name="PSSpacer" xfId="7227"/>
    <cellStyle name="Reset  - Style4" xfId="7228"/>
    <cellStyle name="Reset  - Style7" xfId="7229"/>
    <cellStyle name="STD" xfId="7230"/>
    <cellStyle name="Style 21" xfId="4"/>
    <cellStyle name="Style 21 2" xfId="7231"/>
    <cellStyle name="Style 21 3" xfId="7232"/>
    <cellStyle name="Style 21 4" xfId="7233"/>
    <cellStyle name="Style 21 5" xfId="7234"/>
    <cellStyle name="Style 22" xfId="5"/>
    <cellStyle name="Style 22 2" xfId="7235"/>
    <cellStyle name="Style 22 3" xfId="7236"/>
    <cellStyle name="Style 22 4" xfId="7237"/>
    <cellStyle name="Style 22 5" xfId="7238"/>
    <cellStyle name="Style 23" xfId="6"/>
    <cellStyle name="Style 23 2" xfId="7239"/>
    <cellStyle name="Style 23 3" xfId="7240"/>
    <cellStyle name="Style 23 4" xfId="7241"/>
    <cellStyle name="Style 23 5" xfId="7242"/>
    <cellStyle name="Style 24" xfId="7"/>
    <cellStyle name="Style 24 2" xfId="7243"/>
    <cellStyle name="Style 24 3" xfId="7244"/>
    <cellStyle name="Style 24 4" xfId="7245"/>
    <cellStyle name="Style 24 5" xfId="7246"/>
    <cellStyle name="Style 25" xfId="8"/>
    <cellStyle name="Style 25 10" xfId="7247"/>
    <cellStyle name="Style 25 2" xfId="30"/>
    <cellStyle name="Style 25 3" xfId="7248"/>
    <cellStyle name="Style 25 4" xfId="7249"/>
    <cellStyle name="Style 25 5" xfId="7250"/>
    <cellStyle name="Style 25 6" xfId="7251"/>
    <cellStyle name="Style 25 7" xfId="7252"/>
    <cellStyle name="Style 25 8" xfId="7253"/>
    <cellStyle name="Style 25 9" xfId="7254"/>
    <cellStyle name="Style 26" xfId="9"/>
    <cellStyle name="Style 26 2" xfId="7255"/>
    <cellStyle name="Style 26 2 2" xfId="7256"/>
    <cellStyle name="Style 26 3" xfId="7257"/>
    <cellStyle name="Style 26 3 2" xfId="7258"/>
    <cellStyle name="Style 26 4" xfId="7259"/>
    <cellStyle name="Style 26 5" xfId="7260"/>
    <cellStyle name="Style 27" xfId="10"/>
    <cellStyle name="Style 27 2" xfId="7261"/>
    <cellStyle name="Style 27 3" xfId="7262"/>
    <cellStyle name="Style 27 4" xfId="7263"/>
    <cellStyle name="Style 27 5" xfId="7264"/>
    <cellStyle name="Style 28" xfId="11"/>
    <cellStyle name="Style 28 2" xfId="7265"/>
    <cellStyle name="Style 28 3" xfId="7266"/>
    <cellStyle name="Style 28 4" xfId="7267"/>
    <cellStyle name="Style 28 5" xfId="7268"/>
    <cellStyle name="Style 29" xfId="12"/>
    <cellStyle name="Style 29 10" xfId="7269"/>
    <cellStyle name="Style 29 11" xfId="7270"/>
    <cellStyle name="Style 29 12" xfId="7271"/>
    <cellStyle name="Style 29 13" xfId="7272"/>
    <cellStyle name="Style 29 14" xfId="7273"/>
    <cellStyle name="Style 29 15" xfId="7274"/>
    <cellStyle name="Style 29 16" xfId="7275"/>
    <cellStyle name="Style 29 2" xfId="7276"/>
    <cellStyle name="Style 29 3" xfId="7277"/>
    <cellStyle name="Style 29 4" xfId="7278"/>
    <cellStyle name="Style 29 5" xfId="7279"/>
    <cellStyle name="Style 29 6" xfId="7280"/>
    <cellStyle name="Style 29 7" xfId="7281"/>
    <cellStyle name="Style 29 8" xfId="7282"/>
    <cellStyle name="Style 29 9" xfId="7283"/>
    <cellStyle name="Style 30" xfId="13"/>
    <cellStyle name="Style 30 10" xfId="7284"/>
    <cellStyle name="Style 30 11" xfId="7285"/>
    <cellStyle name="Style 30 12" xfId="7286"/>
    <cellStyle name="Style 30 13" xfId="7287"/>
    <cellStyle name="Style 30 14" xfId="7288"/>
    <cellStyle name="Style 30 15" xfId="7289"/>
    <cellStyle name="Style 30 16" xfId="7290"/>
    <cellStyle name="Style 30 2" xfId="7291"/>
    <cellStyle name="Style 30 3" xfId="7292"/>
    <cellStyle name="Style 30 4" xfId="7293"/>
    <cellStyle name="Style 30 5" xfId="7294"/>
    <cellStyle name="Style 30 6" xfId="7295"/>
    <cellStyle name="Style 30 7" xfId="7296"/>
    <cellStyle name="Style 30 8" xfId="7297"/>
    <cellStyle name="Style 30 9" xfId="7298"/>
    <cellStyle name="Style 31" xfId="14"/>
    <cellStyle name="Style 31 2" xfId="7299"/>
    <cellStyle name="Style 31 3" xfId="7300"/>
    <cellStyle name="Style 31 4" xfId="7301"/>
    <cellStyle name="Style 31 5" xfId="7302"/>
    <cellStyle name="Style 32" xfId="15"/>
    <cellStyle name="Style 32 2" xfId="31"/>
    <cellStyle name="Style 32 3" xfId="7303"/>
    <cellStyle name="Style 32 4" xfId="7304"/>
    <cellStyle name="Style 32 5" xfId="7305"/>
    <cellStyle name="Style 32 6" xfId="7306"/>
    <cellStyle name="Style 32 7" xfId="7307"/>
    <cellStyle name="Style 33" xfId="16"/>
    <cellStyle name="Style 33 10" xfId="7308"/>
    <cellStyle name="Style 33 11" xfId="7309"/>
    <cellStyle name="Style 33 12" xfId="7310"/>
    <cellStyle name="Style 33 13" xfId="7311"/>
    <cellStyle name="Style 33 14" xfId="7312"/>
    <cellStyle name="Style 33 15" xfId="7313"/>
    <cellStyle name="Style 33 16" xfId="7314"/>
    <cellStyle name="Style 33 2" xfId="7315"/>
    <cellStyle name="Style 33 3" xfId="7316"/>
    <cellStyle name="Style 33 4" xfId="7317"/>
    <cellStyle name="Style 33 5" xfId="7318"/>
    <cellStyle name="Style 33 6" xfId="7319"/>
    <cellStyle name="Style 33 7" xfId="7320"/>
    <cellStyle name="Style 33 8" xfId="7321"/>
    <cellStyle name="Style 33 9" xfId="7322"/>
    <cellStyle name="Style 34" xfId="17"/>
    <cellStyle name="Style 34 10" xfId="7323"/>
    <cellStyle name="Style 34 11" xfId="7324"/>
    <cellStyle name="Style 34 12" xfId="7325"/>
    <cellStyle name="Style 34 13" xfId="7326"/>
    <cellStyle name="Style 34 14" xfId="7327"/>
    <cellStyle name="Style 34 15" xfId="7328"/>
    <cellStyle name="Style 34 16" xfId="7329"/>
    <cellStyle name="Style 34 2" xfId="7330"/>
    <cellStyle name="Style 34 3" xfId="7331"/>
    <cellStyle name="Style 34 4" xfId="7332"/>
    <cellStyle name="Style 34 5" xfId="7333"/>
    <cellStyle name="Style 34 6" xfId="7334"/>
    <cellStyle name="Style 34 7" xfId="7335"/>
    <cellStyle name="Style 34 8" xfId="7336"/>
    <cellStyle name="Style 34 9" xfId="7337"/>
    <cellStyle name="Style 35" xfId="18"/>
    <cellStyle name="Style 35 10" xfId="7338"/>
    <cellStyle name="Style 35 11" xfId="7339"/>
    <cellStyle name="Style 35 12" xfId="7340"/>
    <cellStyle name="Style 35 13" xfId="7341"/>
    <cellStyle name="Style 35 14" xfId="7342"/>
    <cellStyle name="Style 35 15" xfId="7343"/>
    <cellStyle name="Style 35 16" xfId="7344"/>
    <cellStyle name="Style 35 2" xfId="7345"/>
    <cellStyle name="Style 35 3" xfId="7346"/>
    <cellStyle name="Style 35 4" xfId="7347"/>
    <cellStyle name="Style 35 5" xfId="7348"/>
    <cellStyle name="Style 35 6" xfId="7349"/>
    <cellStyle name="Style 35 7" xfId="7350"/>
    <cellStyle name="Style 35 8" xfId="7351"/>
    <cellStyle name="Style 35 9" xfId="7352"/>
    <cellStyle name="Style 36" xfId="19"/>
    <cellStyle name="Style 36 10" xfId="7353"/>
    <cellStyle name="Style 36 11" xfId="7354"/>
    <cellStyle name="Style 36 12" xfId="7355"/>
    <cellStyle name="Style 36 13" xfId="7356"/>
    <cellStyle name="Style 36 14" xfId="7357"/>
    <cellStyle name="Style 36 15" xfId="7358"/>
    <cellStyle name="Style 36 16" xfId="7359"/>
    <cellStyle name="Style 36 2" xfId="7360"/>
    <cellStyle name="Style 36 3" xfId="7361"/>
    <cellStyle name="Style 36 4" xfId="7362"/>
    <cellStyle name="Style 36 5" xfId="7363"/>
    <cellStyle name="Style 36 6" xfId="7364"/>
    <cellStyle name="Style 36 7" xfId="7365"/>
    <cellStyle name="Style 36 8" xfId="7366"/>
    <cellStyle name="Style 36 9" xfId="7367"/>
    <cellStyle name="Style 39" xfId="20"/>
    <cellStyle name="Style 39 10" xfId="7368"/>
    <cellStyle name="Style 39 11" xfId="7369"/>
    <cellStyle name="Style 39 12" xfId="7370"/>
    <cellStyle name="Style 39 13" xfId="7371"/>
    <cellStyle name="Style 39 14" xfId="7372"/>
    <cellStyle name="Style 39 15" xfId="7373"/>
    <cellStyle name="Style 39 16" xfId="7374"/>
    <cellStyle name="Style 39 2" xfId="7375"/>
    <cellStyle name="Style 39 3" xfId="7376"/>
    <cellStyle name="Style 39 4" xfId="7377"/>
    <cellStyle name="Style 39 5" xfId="7378"/>
    <cellStyle name="Style 39 6" xfId="7379"/>
    <cellStyle name="Style 39 7" xfId="7380"/>
    <cellStyle name="Style 39 8" xfId="7381"/>
    <cellStyle name="Style 39 9" xfId="7382"/>
    <cellStyle name="Table  - Style5" xfId="7383"/>
    <cellStyle name="Table  - Style6" xfId="7384"/>
    <cellStyle name="Text B &amp; U" xfId="7385"/>
    <cellStyle name="Text STD 1" xfId="7386"/>
    <cellStyle name="Text STD 2" xfId="7387"/>
    <cellStyle name="Text STD 3" xfId="7388"/>
    <cellStyle name="Text Under 0" xfId="7389"/>
    <cellStyle name="Text Under 1" xfId="7390"/>
    <cellStyle name="Text Wrap" xfId="7391"/>
    <cellStyle name="Title  - Style1" xfId="7392"/>
    <cellStyle name="Title  - Style6" xfId="7393"/>
    <cellStyle name="Title 2" xfId="7394"/>
    <cellStyle name="Title 3" xfId="7395"/>
    <cellStyle name="Title 4" xfId="7396"/>
    <cellStyle name="Total 2" xfId="7397"/>
    <cellStyle name="Total 3" xfId="7398"/>
    <cellStyle name="Total 4" xfId="7399"/>
    <cellStyle name="Total 5" xfId="7400"/>
    <cellStyle name="Total 6" xfId="7401"/>
    <cellStyle name="TotCol - Style5" xfId="7402"/>
    <cellStyle name="TotCol - Style7" xfId="7403"/>
    <cellStyle name="TotRow - Style4" xfId="7404"/>
    <cellStyle name="TotRow - Style8" xfId="7405"/>
    <cellStyle name="Undefined" xfId="7406"/>
    <cellStyle name="UnDERLINED" xfId="7407"/>
    <cellStyle name="Warning Text 2" xfId="7408"/>
    <cellStyle name="Warning Text 3" xfId="7409"/>
    <cellStyle name="Warning Text 4" xfId="7410"/>
    <cellStyle name="Warning Text 5" xfId="7411"/>
    <cellStyle name="Warning Text 6" xfId="7412"/>
  </cellStyles>
  <dxfs count="25">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ont>
        <b/>
        <i val="0"/>
      </font>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s>
  <tableStyles count="0" defaultTableStyle="TableStyleMedium9"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28314494664388E-2"/>
          <c:y val="5.3153344680676583E-2"/>
          <c:w val="0.90801958413493755"/>
          <c:h val="0.89534282300833379"/>
        </c:manualLayout>
      </c:layout>
      <c:scatterChart>
        <c:scatterStyle val="lineMarker"/>
        <c:varyColors val="0"/>
        <c:ser>
          <c:idx val="1"/>
          <c:order val="0"/>
          <c:tx>
            <c:strRef>
              <c:f>'Exhibit AEB-4 Summary'!$I$3</c:f>
              <c:strCache>
                <c:ptCount val="1"/>
                <c:pt idx="0">
                  <c:v>Constant Growth DCF</c:v>
                </c:pt>
              </c:strCache>
            </c:strRef>
          </c:tx>
          <c:spPr>
            <a:ln w="25400" cap="rnd">
              <a:solidFill>
                <a:schemeClr val="tx1"/>
              </a:solidFill>
              <a:round/>
            </a:ln>
            <a:effectLst/>
          </c:spPr>
          <c:marker>
            <c:symbol val="circle"/>
            <c:size val="10"/>
            <c:spPr>
              <a:noFill/>
              <a:ln w="9525">
                <a:solidFill>
                  <a:schemeClr val="tx1"/>
                </a:solidFill>
              </a:ln>
              <a:effectLst/>
            </c:spPr>
          </c:marker>
          <c:xVal>
            <c:numRef>
              <c:f>'Exhibit AEB-4 Summary'!$J$3:$J$4</c:f>
              <c:numCache>
                <c:formatCode>0.00%</c:formatCode>
                <c:ptCount val="2"/>
                <c:pt idx="0">
                  <c:v>8.4918226595393123E-2</c:v>
                </c:pt>
                <c:pt idx="1">
                  <c:v>0.10150946748633484</c:v>
                </c:pt>
              </c:numCache>
            </c:numRef>
          </c:xVal>
          <c:yVal>
            <c:numRef>
              <c:f>'Exhibit AEB-4 Summary'!$K$3:$K$4</c:f>
              <c:numCache>
                <c:formatCode>0.0</c:formatCode>
                <c:ptCount val="2"/>
                <c:pt idx="0">
                  <c:v>5</c:v>
                </c:pt>
                <c:pt idx="1">
                  <c:v>5</c:v>
                </c:pt>
              </c:numCache>
            </c:numRef>
          </c:yVal>
          <c:smooth val="0"/>
          <c:extLst xmlns:c16r2="http://schemas.microsoft.com/office/drawing/2015/06/chart">
            <c:ext xmlns:c16="http://schemas.microsoft.com/office/drawing/2014/chart" uri="{C3380CC4-5D6E-409C-BE32-E72D297353CC}">
              <c16:uniqueId val="{00000000-14FD-432B-9E54-D6F5017E2237}"/>
            </c:ext>
          </c:extLst>
        </c:ser>
        <c:ser>
          <c:idx val="2"/>
          <c:order val="1"/>
          <c:tx>
            <c:strRef>
              <c:f>'Exhibit AEB-4 Summary'!$I$5</c:f>
              <c:strCache>
                <c:ptCount val="1"/>
                <c:pt idx="0">
                  <c:v>Projected DCF</c:v>
                </c:pt>
              </c:strCache>
            </c:strRef>
          </c:tx>
          <c:spPr>
            <a:ln w="25400" cap="rnd">
              <a:solidFill>
                <a:schemeClr val="tx1"/>
              </a:solidFill>
              <a:round/>
            </a:ln>
            <a:effectLst/>
          </c:spPr>
          <c:marker>
            <c:symbol val="square"/>
            <c:size val="10"/>
            <c:spPr>
              <a:noFill/>
              <a:ln w="9525">
                <a:solidFill>
                  <a:schemeClr val="tx1"/>
                </a:solidFill>
              </a:ln>
              <a:effectLst/>
            </c:spPr>
          </c:marker>
          <c:xVal>
            <c:numRef>
              <c:f>'Exhibit AEB-4 Summary'!$J$5:$J$6</c:f>
              <c:numCache>
                <c:formatCode>0.00%</c:formatCode>
                <c:ptCount val="2"/>
                <c:pt idx="0">
                  <c:v>9.0356659825855959E-2</c:v>
                </c:pt>
                <c:pt idx="1">
                  <c:v>0.10451107632997268</c:v>
                </c:pt>
              </c:numCache>
            </c:numRef>
          </c:xVal>
          <c:yVal>
            <c:numRef>
              <c:f>'Exhibit AEB-4 Summary'!$K$5:$K$6</c:f>
              <c:numCache>
                <c:formatCode>0.0</c:formatCode>
                <c:ptCount val="2"/>
                <c:pt idx="0">
                  <c:v>4</c:v>
                </c:pt>
                <c:pt idx="1">
                  <c:v>4</c:v>
                </c:pt>
              </c:numCache>
            </c:numRef>
          </c:yVal>
          <c:smooth val="0"/>
          <c:extLst xmlns:c16r2="http://schemas.microsoft.com/office/drawing/2015/06/chart">
            <c:ext xmlns:c16="http://schemas.microsoft.com/office/drawing/2014/chart" uri="{C3380CC4-5D6E-409C-BE32-E72D297353CC}">
              <c16:uniqueId val="{00000000-E30E-480B-849F-4039A79D7A2F}"/>
            </c:ext>
          </c:extLst>
        </c:ser>
        <c:ser>
          <c:idx val="4"/>
          <c:order val="2"/>
          <c:tx>
            <c:strRef>
              <c:f>'Exhibit AEB-4 Summary'!$I$7</c:f>
              <c:strCache>
                <c:ptCount val="1"/>
                <c:pt idx="0">
                  <c:v>CAPM</c:v>
                </c:pt>
              </c:strCache>
            </c:strRef>
          </c:tx>
          <c:spPr>
            <a:ln w="25400" cap="rnd">
              <a:solidFill>
                <a:schemeClr val="tx1"/>
              </a:solidFill>
              <a:prstDash val="solid"/>
              <a:round/>
            </a:ln>
            <a:effectLst/>
          </c:spPr>
          <c:marker>
            <c:symbol val="diamond"/>
            <c:size val="10"/>
            <c:spPr>
              <a:noFill/>
              <a:ln w="9525">
                <a:solidFill>
                  <a:schemeClr val="tx1"/>
                </a:solidFill>
              </a:ln>
              <a:effectLst/>
            </c:spPr>
          </c:marker>
          <c:xVal>
            <c:numRef>
              <c:f>'Exhibit AEB-4 Summary'!$J$7:$J$8</c:f>
              <c:numCache>
                <c:formatCode>0.00%</c:formatCode>
                <c:ptCount val="2"/>
                <c:pt idx="0">
                  <c:v>9.0634336373886862E-2</c:v>
                </c:pt>
                <c:pt idx="1">
                  <c:v>0.10366426506677943</c:v>
                </c:pt>
              </c:numCache>
            </c:numRef>
          </c:xVal>
          <c:yVal>
            <c:numRef>
              <c:f>'Exhibit AEB-4 Summary'!$K$7:$K$8</c:f>
              <c:numCache>
                <c:formatCode>0.0</c:formatCode>
                <c:ptCount val="2"/>
                <c:pt idx="0">
                  <c:v>3</c:v>
                </c:pt>
                <c:pt idx="1">
                  <c:v>3</c:v>
                </c:pt>
              </c:numCache>
            </c:numRef>
          </c:yVal>
          <c:smooth val="0"/>
          <c:extLst xmlns:c16r2="http://schemas.microsoft.com/office/drawing/2015/06/chart">
            <c:ext xmlns:c16="http://schemas.microsoft.com/office/drawing/2014/chart" uri="{C3380CC4-5D6E-409C-BE32-E72D297353CC}">
              <c16:uniqueId val="{00000003-14FD-432B-9E54-D6F5017E2237}"/>
            </c:ext>
          </c:extLst>
        </c:ser>
        <c:ser>
          <c:idx val="5"/>
          <c:order val="3"/>
          <c:tx>
            <c:strRef>
              <c:f>'Exhibit AEB-4 Summary'!$I$9</c:f>
              <c:strCache>
                <c:ptCount val="1"/>
                <c:pt idx="0">
                  <c:v>Risk Premium</c:v>
                </c:pt>
              </c:strCache>
            </c:strRef>
          </c:tx>
          <c:spPr>
            <a:ln w="25400" cap="rnd">
              <a:solidFill>
                <a:schemeClr val="tx1"/>
              </a:solidFill>
              <a:round/>
            </a:ln>
            <a:effectLst/>
          </c:spPr>
          <c:marker>
            <c:symbol val="triangle"/>
            <c:size val="10"/>
            <c:spPr>
              <a:noFill/>
              <a:ln w="9525">
                <a:solidFill>
                  <a:schemeClr val="tx1"/>
                </a:solidFill>
              </a:ln>
              <a:effectLst/>
            </c:spPr>
          </c:marker>
          <c:xVal>
            <c:numRef>
              <c:f>'Exhibit AEB-4 Summary'!$J$9:$J$10</c:f>
              <c:numCache>
                <c:formatCode>0.00%</c:formatCode>
                <c:ptCount val="2"/>
                <c:pt idx="0">
                  <c:v>9.5666808809562243E-2</c:v>
                </c:pt>
                <c:pt idx="1">
                  <c:v>0.10208935620311699</c:v>
                </c:pt>
              </c:numCache>
            </c:numRef>
          </c:xVal>
          <c:yVal>
            <c:numRef>
              <c:f>'Exhibit AEB-4 Summary'!$K$9:$K$10</c:f>
              <c:numCache>
                <c:formatCode>0.0</c:formatCode>
                <c:ptCount val="2"/>
                <c:pt idx="0">
                  <c:v>2</c:v>
                </c:pt>
                <c:pt idx="1">
                  <c:v>2</c:v>
                </c:pt>
              </c:numCache>
            </c:numRef>
          </c:yVal>
          <c:smooth val="0"/>
          <c:extLst xmlns:c16r2="http://schemas.microsoft.com/office/drawing/2015/06/chart">
            <c:ext xmlns:c16="http://schemas.microsoft.com/office/drawing/2014/chart" uri="{C3380CC4-5D6E-409C-BE32-E72D297353CC}">
              <c16:uniqueId val="{00000004-14FD-432B-9E54-D6F5017E2237}"/>
            </c:ext>
          </c:extLst>
        </c:ser>
        <c:ser>
          <c:idx val="0"/>
          <c:order val="4"/>
          <c:tx>
            <c:v>Expected Earnings</c:v>
          </c:tx>
          <c:spPr>
            <a:ln w="19050" cap="rnd">
              <a:solidFill>
                <a:schemeClr val="tx1"/>
              </a:solidFill>
              <a:round/>
            </a:ln>
            <a:effectLst/>
          </c:spPr>
          <c:marker>
            <c:symbol val="x"/>
            <c:size val="10"/>
            <c:spPr>
              <a:noFill/>
              <a:ln w="9525">
                <a:solidFill>
                  <a:schemeClr val="tx1"/>
                </a:solidFill>
              </a:ln>
              <a:effectLst/>
            </c:spPr>
          </c:marker>
          <c:xVal>
            <c:numRef>
              <c:f>'Exhibit AEB-4 Summary'!$J$11:$J$12</c:f>
              <c:numCache>
                <c:formatCode>0.00%</c:formatCode>
                <c:ptCount val="2"/>
                <c:pt idx="0">
                  <c:v>0.1077104788126285</c:v>
                </c:pt>
                <c:pt idx="1">
                  <c:v>0.11166968007363484</c:v>
                </c:pt>
              </c:numCache>
            </c:numRef>
          </c:xVal>
          <c:yVal>
            <c:numRef>
              <c:f>'Exhibit AEB-4 Summary'!$K$11:$K$12</c:f>
              <c:numCache>
                <c:formatCode>0.0</c:formatCode>
                <c:ptCount val="2"/>
                <c:pt idx="0">
                  <c:v>1</c:v>
                </c:pt>
                <c:pt idx="1">
                  <c:v>1</c:v>
                </c:pt>
              </c:numCache>
            </c:numRef>
          </c:yVal>
          <c:smooth val="0"/>
          <c:extLst xmlns:c16r2="http://schemas.microsoft.com/office/drawing/2015/06/chart">
            <c:ext xmlns:c16="http://schemas.microsoft.com/office/drawing/2014/chart" uri="{C3380CC4-5D6E-409C-BE32-E72D297353CC}">
              <c16:uniqueId val="{00000000-7252-42AB-80B8-5469E756F8FD}"/>
            </c:ext>
          </c:extLst>
        </c:ser>
        <c:ser>
          <c:idx val="6"/>
          <c:order val="5"/>
          <c:tx>
            <c:strRef>
              <c:f>'Exhibit AEB-4 Summary'!$I$13</c:f>
              <c:strCache>
                <c:ptCount val="1"/>
                <c:pt idx="0">
                  <c:v>Lower End ROE Recommendation</c:v>
                </c:pt>
              </c:strCache>
            </c:strRef>
          </c:tx>
          <c:spPr>
            <a:ln w="25400" cap="rnd">
              <a:solidFill>
                <a:schemeClr val="tx1"/>
              </a:solidFill>
              <a:prstDash val="sysDot"/>
              <a:round/>
            </a:ln>
            <a:effectLst/>
          </c:spPr>
          <c:marker>
            <c:symbol val="none"/>
          </c:marker>
          <c:xVal>
            <c:numRef>
              <c:f>'Exhibit AEB-4 Summary'!$J$13:$J$14</c:f>
              <c:numCache>
                <c:formatCode>0.00%</c:formatCode>
                <c:ptCount val="2"/>
                <c:pt idx="0">
                  <c:v>9.7500000000000003E-2</c:v>
                </c:pt>
                <c:pt idx="1">
                  <c:v>9.7500000000000003E-2</c:v>
                </c:pt>
              </c:numCache>
            </c:numRef>
          </c:xVal>
          <c:yVal>
            <c:numRef>
              <c:f>'Exhibit AEB-4 Summary'!$K$13:$K$14</c:f>
              <c:numCache>
                <c:formatCode>0.0</c:formatCode>
                <c:ptCount val="2"/>
                <c:pt idx="0">
                  <c:v>0</c:v>
                </c:pt>
                <c:pt idx="1">
                  <c:v>7</c:v>
                </c:pt>
              </c:numCache>
            </c:numRef>
          </c:yVal>
          <c:smooth val="0"/>
          <c:extLst xmlns:c16r2="http://schemas.microsoft.com/office/drawing/2015/06/chart">
            <c:ext xmlns:c16="http://schemas.microsoft.com/office/drawing/2014/chart" uri="{C3380CC4-5D6E-409C-BE32-E72D297353CC}">
              <c16:uniqueId val="{00000005-14FD-432B-9E54-D6F5017E2237}"/>
            </c:ext>
          </c:extLst>
        </c:ser>
        <c:ser>
          <c:idx val="7"/>
          <c:order val="6"/>
          <c:tx>
            <c:strRef>
              <c:f>'Exhibit AEB-4 Summary'!$I$15</c:f>
              <c:strCache>
                <c:ptCount val="1"/>
                <c:pt idx="0">
                  <c:v>Higher End ROE Recommendation</c:v>
                </c:pt>
              </c:strCache>
            </c:strRef>
          </c:tx>
          <c:spPr>
            <a:ln w="25400" cap="rnd">
              <a:solidFill>
                <a:schemeClr val="tx1"/>
              </a:solidFill>
              <a:prstDash val="sysDot"/>
              <a:round/>
            </a:ln>
            <a:effectLst/>
          </c:spPr>
          <c:marker>
            <c:symbol val="none"/>
          </c:marker>
          <c:xVal>
            <c:numRef>
              <c:f>'Exhibit AEB-4 Summary'!$J$15:$J$16</c:f>
              <c:numCache>
                <c:formatCode>0.00%</c:formatCode>
                <c:ptCount val="2"/>
                <c:pt idx="0">
                  <c:v>0.10249999999999999</c:v>
                </c:pt>
                <c:pt idx="1">
                  <c:v>0.10249999999999999</c:v>
                </c:pt>
              </c:numCache>
            </c:numRef>
          </c:xVal>
          <c:yVal>
            <c:numRef>
              <c:f>'Exhibit AEB-4 Summary'!$K$15:$K$16</c:f>
              <c:numCache>
                <c:formatCode>0.0</c:formatCode>
                <c:ptCount val="2"/>
                <c:pt idx="0">
                  <c:v>0</c:v>
                </c:pt>
                <c:pt idx="1">
                  <c:v>7</c:v>
                </c:pt>
              </c:numCache>
            </c:numRef>
          </c:yVal>
          <c:smooth val="0"/>
          <c:extLst xmlns:c16r2="http://schemas.microsoft.com/office/drawing/2015/06/chart">
            <c:ext xmlns:c16="http://schemas.microsoft.com/office/drawing/2014/chart" uri="{C3380CC4-5D6E-409C-BE32-E72D297353CC}">
              <c16:uniqueId val="{00000006-14FD-432B-9E54-D6F5017E2237}"/>
            </c:ext>
          </c:extLst>
        </c:ser>
        <c:dLbls>
          <c:showLegendKey val="0"/>
          <c:showVal val="0"/>
          <c:showCatName val="0"/>
          <c:showSerName val="0"/>
          <c:showPercent val="0"/>
          <c:showBubbleSize val="0"/>
        </c:dLbls>
        <c:axId val="484611680"/>
        <c:axId val="484608544"/>
      </c:scatterChart>
      <c:valAx>
        <c:axId val="484611680"/>
        <c:scaling>
          <c:orientation val="minMax"/>
          <c:max val="0.14000000000000001"/>
          <c:min val="6.0000000000000012E-2"/>
        </c:scaling>
        <c:delete val="0"/>
        <c:axPos val="b"/>
        <c:numFmt formatCode="0.00%" sourceLinked="1"/>
        <c:majorTickMark val="in"/>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84608544"/>
        <c:crosses val="autoZero"/>
        <c:crossBetween val="midCat"/>
        <c:majorUnit val="5.0000000000000027E-3"/>
      </c:valAx>
      <c:valAx>
        <c:axId val="484608544"/>
        <c:scaling>
          <c:orientation val="minMax"/>
          <c:max val="6"/>
        </c:scaling>
        <c:delete val="1"/>
        <c:axPos val="l"/>
        <c:majorGridlines>
          <c:spPr>
            <a:ln w="9525" cap="flat" cmpd="sng" algn="ctr">
              <a:noFill/>
              <a:round/>
            </a:ln>
            <a:effectLst/>
          </c:spPr>
        </c:majorGridlines>
        <c:numFmt formatCode="0.0" sourceLinked="1"/>
        <c:majorTickMark val="out"/>
        <c:minorTickMark val="none"/>
        <c:tickLblPos val="nextTo"/>
        <c:crossAx val="484611680"/>
        <c:crossesAt val="0.1"/>
        <c:crossBetween val="midCat"/>
        <c:majorUnit val="1"/>
      </c:valAx>
      <c:spPr>
        <a:noFill/>
        <a:ln>
          <a:solidFill>
            <a:sysClr val="windowText" lastClr="000000"/>
          </a:solidFill>
        </a:ln>
        <a:effectLst/>
      </c:spPr>
    </c:plotArea>
    <c:legend>
      <c:legendPos val="r"/>
      <c:layout>
        <c:manualLayout>
          <c:xMode val="edge"/>
          <c:yMode val="edge"/>
          <c:x val="5.3141645038224342E-2"/>
          <c:y val="0.54599914731877741"/>
          <c:w val="0.36800438502075883"/>
          <c:h val="0.38487790565466962"/>
        </c:manualLayout>
      </c:layout>
      <c:overlay val="0"/>
      <c:spPr>
        <a:noFill/>
        <a:ln>
          <a:solidFill>
            <a:sysClr val="windowText" lastClr="000000"/>
          </a:solid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7022112410076"/>
          <c:y val="6.2769226713879966E-2"/>
          <c:w val="0.85642007779622897"/>
          <c:h val="0.82753564611116359"/>
        </c:manualLayout>
      </c:layout>
      <c:scatterChart>
        <c:scatterStyle val="lineMarker"/>
        <c:varyColors val="0"/>
        <c:ser>
          <c:idx val="0"/>
          <c:order val="0"/>
          <c:spPr>
            <a:ln w="28575">
              <a:noFill/>
            </a:ln>
          </c:spPr>
          <c:marker>
            <c:spPr>
              <a:solidFill>
                <a:schemeClr val="tx1"/>
              </a:solidFill>
              <a:ln>
                <a:solidFill>
                  <a:schemeClr val="tx1"/>
                </a:solidFill>
              </a:ln>
            </c:spPr>
          </c:marker>
          <c:trendline>
            <c:trendlineType val="linear"/>
            <c:dispRSqr val="0"/>
            <c:dispEq val="0"/>
          </c:trendline>
          <c:trendline>
            <c:trendlineType val="linear"/>
            <c:dispRSqr val="0"/>
            <c:dispEq val="0"/>
          </c:trendline>
          <c:trendline>
            <c:trendlineType val="linear"/>
            <c:dispRSqr val="1"/>
            <c:dispEq val="1"/>
            <c:trendlineLbl>
              <c:layout>
                <c:manualLayout>
                  <c:x val="-0.60407051791864974"/>
                  <c:y val="7.4952113065884077E-2"/>
                </c:manualLayout>
              </c:layout>
              <c:numFmt formatCode="General" sourceLinked="0"/>
              <c:spPr>
                <a:ln>
                  <a:solidFill>
                    <a:sysClr val="windowText" lastClr="000000"/>
                  </a:solidFill>
                </a:ln>
              </c:spPr>
            </c:trendlineLbl>
          </c:trendline>
          <c:xVal>
            <c:numRef>
              <c:f>'Exhibit AEB-9 Risk Premium'!$D$6:$D$116</c:f>
              <c:numCache>
                <c:formatCode>0.00%</c:formatCode>
                <c:ptCount val="111"/>
                <c:pt idx="0">
                  <c:v>7.8020624999999968E-2</c:v>
                </c:pt>
                <c:pt idx="1">
                  <c:v>7.8934374999999987E-2</c:v>
                </c:pt>
                <c:pt idx="2">
                  <c:v>7.4454461538461553E-2</c:v>
                </c:pt>
                <c:pt idx="3">
                  <c:v>7.5184696969696943E-2</c:v>
                </c:pt>
                <c:pt idx="4">
                  <c:v>7.0683968253968263E-2</c:v>
                </c:pt>
                <c:pt idx="5">
                  <c:v>6.8553230769230741E-2</c:v>
                </c:pt>
                <c:pt idx="6">
                  <c:v>6.3142727272727309E-2</c:v>
                </c:pt>
                <c:pt idx="7">
                  <c:v>6.1389999999999986E-2</c:v>
                </c:pt>
                <c:pt idx="8">
                  <c:v>6.5745156249999992E-2</c:v>
                </c:pt>
                <c:pt idx="9">
                  <c:v>7.3526307692307669E-2</c:v>
                </c:pt>
                <c:pt idx="10">
                  <c:v>7.5847727272727289E-2</c:v>
                </c:pt>
                <c:pt idx="11">
                  <c:v>7.9568461538461532E-2</c:v>
                </c:pt>
                <c:pt idx="12">
                  <c:v>7.6257230769230799E-2</c:v>
                </c:pt>
                <c:pt idx="13">
                  <c:v>6.9425846153846171E-2</c:v>
                </c:pt>
                <c:pt idx="14">
                  <c:v>6.7118615384615374E-2</c:v>
                </c:pt>
                <c:pt idx="15">
                  <c:v>6.2348153846153817E-2</c:v>
                </c:pt>
                <c:pt idx="16">
                  <c:v>6.2925692307692321E-2</c:v>
                </c:pt>
                <c:pt idx="17">
                  <c:v>6.9183230769230789E-2</c:v>
                </c:pt>
                <c:pt idx="18">
                  <c:v>6.9644696969696968E-2</c:v>
                </c:pt>
                <c:pt idx="19">
                  <c:v>6.6189999999999999E-2</c:v>
                </c:pt>
                <c:pt idx="20">
                  <c:v>6.8133281250000011E-2</c:v>
                </c:pt>
                <c:pt idx="21">
                  <c:v>6.9324153846153841E-2</c:v>
                </c:pt>
                <c:pt idx="22">
                  <c:v>6.5281666666666668E-2</c:v>
                </c:pt>
                <c:pt idx="23">
                  <c:v>6.1372272727272741E-2</c:v>
                </c:pt>
                <c:pt idx="24">
                  <c:v>5.8820156250000019E-2</c:v>
                </c:pt>
                <c:pt idx="25">
                  <c:v>5.8462461538461553E-2</c:v>
                </c:pt>
                <c:pt idx="26">
                  <c:v>5.4731969696969689E-2</c:v>
                </c:pt>
                <c:pt idx="27">
                  <c:v>5.1047272727272747E-2</c:v>
                </c:pt>
                <c:pt idx="28">
                  <c:v>5.3729687500000019E-2</c:v>
                </c:pt>
                <c:pt idx="29">
                  <c:v>5.794030769230768E-2</c:v>
                </c:pt>
                <c:pt idx="30">
                  <c:v>6.0375606060606074E-2</c:v>
                </c:pt>
                <c:pt idx="31">
                  <c:v>6.2528484848484861E-2</c:v>
                </c:pt>
                <c:pt idx="32">
                  <c:v>6.2912615384615386E-2</c:v>
                </c:pt>
                <c:pt idx="33">
                  <c:v>5.9723230769230765E-2</c:v>
                </c:pt>
                <c:pt idx="34">
                  <c:v>5.7871875000000017E-2</c:v>
                </c:pt>
                <c:pt idx="35">
                  <c:v>5.686107692307691E-2</c:v>
                </c:pt>
                <c:pt idx="36">
                  <c:v>5.4425937500000014E-2</c:v>
                </c:pt>
                <c:pt idx="37">
                  <c:v>5.699338461538464E-2</c:v>
                </c:pt>
                <c:pt idx="38">
                  <c:v>5.5225625000000021E-2</c:v>
                </c:pt>
                <c:pt idx="39">
                  <c:v>5.2970909090909089E-2</c:v>
                </c:pt>
                <c:pt idx="40">
                  <c:v>5.5132187499999999E-2</c:v>
                </c:pt>
                <c:pt idx="41">
                  <c:v>5.6129153846153849E-2</c:v>
                </c:pt>
                <c:pt idx="42">
                  <c:v>5.0848590909090899E-2</c:v>
                </c:pt>
                <c:pt idx="43">
                  <c:v>4.9307318181818195E-2</c:v>
                </c:pt>
                <c:pt idx="44">
                  <c:v>4.8490953125E-2</c:v>
                </c:pt>
                <c:pt idx="45">
                  <c:v>4.5979046153846168E-2</c:v>
                </c:pt>
                <c:pt idx="46">
                  <c:v>5.1104863636363636E-2</c:v>
                </c:pt>
                <c:pt idx="47">
                  <c:v>5.1142196969696983E-2</c:v>
                </c:pt>
                <c:pt idx="48">
                  <c:v>4.8753138461538476E-2</c:v>
                </c:pt>
                <c:pt idx="49">
                  <c:v>5.3192861538461533E-2</c:v>
                </c:pt>
                <c:pt idx="50">
                  <c:v>5.0588015151515148E-2</c:v>
                </c:pt>
                <c:pt idx="51">
                  <c:v>4.864845454545455E-2</c:v>
                </c:pt>
                <c:pt idx="52">
                  <c:v>4.6927312499999985E-2</c:v>
                </c:pt>
                <c:pt idx="53">
                  <c:v>4.4650938461538468E-2</c:v>
                </c:pt>
                <c:pt idx="54">
                  <c:v>4.4381742424242414E-2</c:v>
                </c:pt>
                <c:pt idx="55">
                  <c:v>4.6829078125E-2</c:v>
                </c:pt>
                <c:pt idx="56">
                  <c:v>4.633183076923076E-2</c:v>
                </c:pt>
                <c:pt idx="57">
                  <c:v>5.1406507692307687E-2</c:v>
                </c:pt>
                <c:pt idx="58">
                  <c:v>4.9925692307692303E-2</c:v>
                </c:pt>
                <c:pt idx="59">
                  <c:v>4.739560000000001E-2</c:v>
                </c:pt>
                <c:pt idx="60">
                  <c:v>4.7964107692307696E-2</c:v>
                </c:pt>
                <c:pt idx="61">
                  <c:v>4.9891384615384615E-2</c:v>
                </c:pt>
                <c:pt idx="62">
                  <c:v>4.9470430769230793E-2</c:v>
                </c:pt>
                <c:pt idx="63">
                  <c:v>4.6137848484848476E-2</c:v>
                </c:pt>
                <c:pt idx="64">
                  <c:v>4.4057984615384606E-2</c:v>
                </c:pt>
                <c:pt idx="65">
                  <c:v>4.5697861538461525E-2</c:v>
                </c:pt>
                <c:pt idx="66">
                  <c:v>4.4448575757575763E-2</c:v>
                </c:pt>
                <c:pt idx="67">
                  <c:v>3.648545454545455E-2</c:v>
                </c:pt>
                <c:pt idx="68">
                  <c:v>3.4371828125000004E-2</c:v>
                </c:pt>
                <c:pt idx="69">
                  <c:v>4.1675338461538453E-2</c:v>
                </c:pt>
                <c:pt idx="70">
                  <c:v>4.3207924242424235E-2</c:v>
                </c:pt>
                <c:pt idx="71">
                  <c:v>4.3369015151515151E-2</c:v>
                </c:pt>
                <c:pt idx="72">
                  <c:v>4.6233281250000008E-2</c:v>
                </c:pt>
                <c:pt idx="73">
                  <c:v>4.3635553846153849E-2</c:v>
                </c:pt>
                <c:pt idx="74">
                  <c:v>3.855463636363636E-2</c:v>
                </c:pt>
                <c:pt idx="75">
                  <c:v>4.1662787878787896E-2</c:v>
                </c:pt>
                <c:pt idx="76">
                  <c:v>4.5583796874999978E-2</c:v>
                </c:pt>
                <c:pt idx="77">
                  <c:v>4.3380446153846154E-2</c:v>
                </c:pt>
                <c:pt idx="78">
                  <c:v>3.692825757575758E-2</c:v>
                </c:pt>
                <c:pt idx="79">
                  <c:v>3.0392815384615392E-2</c:v>
                </c:pt>
                <c:pt idx="80">
                  <c:v>3.1351338461538467E-2</c:v>
                </c:pt>
                <c:pt idx="81">
                  <c:v>2.9340830769230764E-2</c:v>
                </c:pt>
                <c:pt idx="82">
                  <c:v>2.7412938461538462E-2</c:v>
                </c:pt>
                <c:pt idx="83">
                  <c:v>2.8642166666666666E-2</c:v>
                </c:pt>
                <c:pt idx="84">
                  <c:v>3.1295609374999998E-2</c:v>
                </c:pt>
                <c:pt idx="85">
                  <c:v>3.1398800000000004E-2</c:v>
                </c:pt>
                <c:pt idx="86">
                  <c:v>3.7113621212121202E-2</c:v>
                </c:pt>
                <c:pt idx="87">
                  <c:v>3.7872272727272713E-2</c:v>
                </c:pt>
                <c:pt idx="88">
                  <c:v>3.6892906249999989E-2</c:v>
                </c:pt>
                <c:pt idx="89">
                  <c:v>3.4420169230769224E-2</c:v>
                </c:pt>
                <c:pt idx="90">
                  <c:v>3.2637651515151515E-2</c:v>
                </c:pt>
                <c:pt idx="91">
                  <c:v>2.9634439393939404E-2</c:v>
                </c:pt>
                <c:pt idx="92">
                  <c:v>2.5536187500000005E-2</c:v>
                </c:pt>
                <c:pt idx="93">
                  <c:v>2.8846923076923076E-2</c:v>
                </c:pt>
                <c:pt idx="94">
                  <c:v>2.9591227272727273E-2</c:v>
                </c:pt>
                <c:pt idx="95">
                  <c:v>2.9592590909090898E-2</c:v>
                </c:pt>
                <c:pt idx="96">
                  <c:v>2.7197200000000001E-2</c:v>
                </c:pt>
                <c:pt idx="97">
                  <c:v>2.5666046153846152E-2</c:v>
                </c:pt>
                <c:pt idx="98">
                  <c:v>2.2773333333333333E-2</c:v>
                </c:pt>
                <c:pt idx="99">
                  <c:v>2.8326507692307684E-2</c:v>
                </c:pt>
                <c:pt idx="100">
                  <c:v>3.0435492307692304E-2</c:v>
                </c:pt>
                <c:pt idx="101">
                  <c:v>2.8955353846153841E-2</c:v>
                </c:pt>
                <c:pt idx="102">
                  <c:v>2.8157476923076918E-2</c:v>
                </c:pt>
                <c:pt idx="103">
                  <c:v>2.8170630769230768E-2</c:v>
                </c:pt>
                <c:pt idx="104">
                  <c:v>3.0233969230769233E-2</c:v>
                </c:pt>
                <c:pt idx="105">
                  <c:v>3.0863630769230772E-2</c:v>
                </c:pt>
                <c:pt idx="106">
                  <c:v>3.0584523076923074E-2</c:v>
                </c:pt>
                <c:pt idx="107">
                  <c:v>3.270189393939394E-2</c:v>
                </c:pt>
                <c:pt idx="108">
                  <c:v>3.0102703124999998E-2</c:v>
                </c:pt>
                <c:pt idx="109">
                  <c:v>2.7823599999999997E-2</c:v>
                </c:pt>
                <c:pt idx="110">
                  <c:v>2.2855318181818182E-2</c:v>
                </c:pt>
              </c:numCache>
            </c:numRef>
          </c:xVal>
          <c:yVal>
            <c:numRef>
              <c:f>'Exhibit AEB-9 Risk Premium'!$E$6:$E$116</c:f>
              <c:numCache>
                <c:formatCode>0.00%</c:formatCode>
                <c:ptCount val="111"/>
                <c:pt idx="0">
                  <c:v>4.5789375000000007E-2</c:v>
                </c:pt>
                <c:pt idx="1">
                  <c:v>3.9340625000000032E-2</c:v>
                </c:pt>
                <c:pt idx="2">
                  <c:v>4.585803846153845E-2</c:v>
                </c:pt>
                <c:pt idx="3">
                  <c:v>4.622196969696972E-2</c:v>
                </c:pt>
                <c:pt idx="4">
                  <c:v>4.7673174603174592E-2</c:v>
                </c:pt>
                <c:pt idx="5">
                  <c:v>4.7857880341880349E-2</c:v>
                </c:pt>
                <c:pt idx="6">
                  <c:v>4.8373939393939358E-2</c:v>
                </c:pt>
                <c:pt idx="7">
                  <c:v>4.9026666666666677E-2</c:v>
                </c:pt>
                <c:pt idx="8">
                  <c:v>4.4924843750000013E-2</c:v>
                </c:pt>
                <c:pt idx="9">
                  <c:v>3.7773692307692328E-2</c:v>
                </c:pt>
                <c:pt idx="10">
                  <c:v>5.1652272727272713E-2</c:v>
                </c:pt>
                <c:pt idx="11">
                  <c:v>3.2814871794871817E-2</c:v>
                </c:pt>
                <c:pt idx="12">
                  <c:v>4.3355269230769197E-2</c:v>
                </c:pt>
                <c:pt idx="13">
                  <c:v>4.3736653846153828E-2</c:v>
                </c:pt>
                <c:pt idx="14">
                  <c:v>4.6581384615384622E-2</c:v>
                </c:pt>
                <c:pt idx="15">
                  <c:v>5.3494703296703333E-2</c:v>
                </c:pt>
                <c:pt idx="16">
                  <c:v>5.1674307692307686E-2</c:v>
                </c:pt>
                <c:pt idx="17">
                  <c:v>4.5405658119658118E-2</c:v>
                </c:pt>
                <c:pt idx="18">
                  <c:v>3.7355303030303044E-2</c:v>
                </c:pt>
                <c:pt idx="19">
                  <c:v>4.9409999999999996E-2</c:v>
                </c:pt>
                <c:pt idx="20">
                  <c:v>4.2666718749999985E-2</c:v>
                </c:pt>
                <c:pt idx="21">
                  <c:v>4.6842512820512813E-2</c:v>
                </c:pt>
                <c:pt idx="22">
                  <c:v>5.4718333333333327E-2</c:v>
                </c:pt>
                <c:pt idx="23">
                  <c:v>4.9227727272727263E-2</c:v>
                </c:pt>
                <c:pt idx="24">
                  <c:v>5.4304843749999984E-2</c:v>
                </c:pt>
                <c:pt idx="25">
                  <c:v>6.3537538461538451E-2</c:v>
                </c:pt>
                <c:pt idx="26">
                  <c:v>6.1768030303030318E-2</c:v>
                </c:pt>
                <c:pt idx="27">
                  <c:v>7.1952727272727252E-2</c:v>
                </c:pt>
                <c:pt idx="28">
                  <c:v>5.027031249999999E-2</c:v>
                </c:pt>
                <c:pt idx="29">
                  <c:v>5.1459692307692317E-2</c:v>
                </c:pt>
                <c:pt idx="30">
                  <c:v>4.7124393939393924E-2</c:v>
                </c:pt>
                <c:pt idx="31">
                  <c:v>4.847151515151514E-2</c:v>
                </c:pt>
                <c:pt idx="32">
                  <c:v>4.9212384615384616E-2</c:v>
                </c:pt>
                <c:pt idx="33">
                  <c:v>5.0276769230769236E-2</c:v>
                </c:pt>
                <c:pt idx="34">
                  <c:v>5.8928124999999984E-2</c:v>
                </c:pt>
                <c:pt idx="35">
                  <c:v>6.8138923076923097E-2</c:v>
                </c:pt>
                <c:pt idx="36">
                  <c:v>5.932406249999999E-2</c:v>
                </c:pt>
                <c:pt idx="37">
                  <c:v>5.300661538461536E-2</c:v>
                </c:pt>
                <c:pt idx="38">
                  <c:v>5.2331517857142816E-2</c:v>
                </c:pt>
                <c:pt idx="39">
                  <c:v>6.696242424242424E-2</c:v>
                </c:pt>
                <c:pt idx="40">
                  <c:v>4.5367812500000007E-2</c:v>
                </c:pt>
                <c:pt idx="41">
                  <c:v>5.7920846153846149E-2</c:v>
                </c:pt>
                <c:pt idx="42">
                  <c:v>6.5651409090909107E-2</c:v>
                </c:pt>
                <c:pt idx="43">
                  <c:v>6.6359348484848452E-2</c:v>
                </c:pt>
                <c:pt idx="44">
                  <c:v>6.8709046874999999E-2</c:v>
                </c:pt>
                <c:pt idx="45">
                  <c:v>6.5645953846153834E-2</c:v>
                </c:pt>
                <c:pt idx="46">
                  <c:v>5.389513636363636E-2</c:v>
                </c:pt>
                <c:pt idx="47">
                  <c:v>6.2257803030303004E-2</c:v>
                </c:pt>
                <c:pt idx="48">
                  <c:v>6.1246861538461511E-2</c:v>
                </c:pt>
                <c:pt idx="49">
                  <c:v>5.3192852747252758E-2</c:v>
                </c:pt>
                <c:pt idx="50">
                  <c:v>5.6911984848484851E-2</c:v>
                </c:pt>
                <c:pt idx="51">
                  <c:v>6.3791545454545462E-2</c:v>
                </c:pt>
                <c:pt idx="52">
                  <c:v>5.9322687500000013E-2</c:v>
                </c:pt>
                <c:pt idx="53">
                  <c:v>5.8474061538461526E-2</c:v>
                </c:pt>
                <c:pt idx="54">
                  <c:v>6.6451590909090918E-2</c:v>
                </c:pt>
                <c:pt idx="55">
                  <c:v>5.9483421875000005E-2</c:v>
                </c:pt>
                <c:pt idx="56">
                  <c:v>6.0618169230769244E-2</c:v>
                </c:pt>
                <c:pt idx="57">
                  <c:v>5.6468492307692297E-2</c:v>
                </c:pt>
                <c:pt idx="58">
                  <c:v>5.3540974358974362E-2</c:v>
                </c:pt>
                <c:pt idx="59">
                  <c:v>5.9104399999999988E-2</c:v>
                </c:pt>
                <c:pt idx="60">
                  <c:v>5.7952558974358963E-2</c:v>
                </c:pt>
                <c:pt idx="61">
                  <c:v>5.3358615384615379E-2</c:v>
                </c:pt>
                <c:pt idx="62">
                  <c:v>5.4529569230769216E-2</c:v>
                </c:pt>
                <c:pt idx="63">
                  <c:v>6.0362151515151521E-2</c:v>
                </c:pt>
                <c:pt idx="64">
                  <c:v>6.2092015384615389E-2</c:v>
                </c:pt>
                <c:pt idx="65">
                  <c:v>5.9664638461538473E-2</c:v>
                </c:pt>
                <c:pt idx="66">
                  <c:v>5.9818090909090897E-2</c:v>
                </c:pt>
                <c:pt idx="67">
                  <c:v>6.7389545454545452E-2</c:v>
                </c:pt>
                <c:pt idx="68">
                  <c:v>7.3148171874999987E-2</c:v>
                </c:pt>
                <c:pt idx="69">
                  <c:v>6.5824661538461546E-2</c:v>
                </c:pt>
                <c:pt idx="70">
                  <c:v>6.1792075757575761E-2</c:v>
                </c:pt>
                <c:pt idx="71">
                  <c:v>6.2550984848484842E-2</c:v>
                </c:pt>
                <c:pt idx="72">
                  <c:v>5.9691718749999997E-2</c:v>
                </c:pt>
                <c:pt idx="73">
                  <c:v>5.8164446153846153E-2</c:v>
                </c:pt>
                <c:pt idx="74">
                  <c:v>6.5478696969696965E-2</c:v>
                </c:pt>
                <c:pt idx="75">
                  <c:v>6.2123878787878756E-2</c:v>
                </c:pt>
                <c:pt idx="76">
                  <c:v>5.533286979166669E-2</c:v>
                </c:pt>
                <c:pt idx="77">
                  <c:v>5.9248125274725276E-2</c:v>
                </c:pt>
                <c:pt idx="78">
                  <c:v>6.8788409090909081E-2</c:v>
                </c:pt>
                <c:pt idx="79">
                  <c:v>7.3484962393162379E-2</c:v>
                </c:pt>
                <c:pt idx="80">
                  <c:v>7.1677232967032961E-2</c:v>
                </c:pt>
                <c:pt idx="81">
                  <c:v>7.0159169230769217E-2</c:v>
                </c:pt>
                <c:pt idx="82">
                  <c:v>7.1587061538461547E-2</c:v>
                </c:pt>
                <c:pt idx="83">
                  <c:v>7.2993127450980411E-2</c:v>
                </c:pt>
                <c:pt idx="84">
                  <c:v>6.7204390624999999E-2</c:v>
                </c:pt>
                <c:pt idx="85">
                  <c:v>6.7201199999999989E-2</c:v>
                </c:pt>
                <c:pt idx="86">
                  <c:v>6.4086378787878789E-2</c:v>
                </c:pt>
                <c:pt idx="87">
                  <c:v>6.1796477272727302E-2</c:v>
                </c:pt>
                <c:pt idx="88">
                  <c:v>6.165709375000001E-2</c:v>
                </c:pt>
                <c:pt idx="89">
                  <c:v>6.6579830769230783E-2</c:v>
                </c:pt>
                <c:pt idx="90">
                  <c:v>6.6362348484848482E-2</c:v>
                </c:pt>
                <c:pt idx="91">
                  <c:v>6.9805560606060593E-2</c:v>
                </c:pt>
                <c:pt idx="92">
                  <c:v>7.0838812499999987E-2</c:v>
                </c:pt>
                <c:pt idx="93">
                  <c:v>6.9419743589743593E-2</c:v>
                </c:pt>
                <c:pt idx="94">
                  <c:v>6.4408772727272731E-2</c:v>
                </c:pt>
                <c:pt idx="95">
                  <c:v>6.9032409090909089E-2</c:v>
                </c:pt>
                <c:pt idx="96">
                  <c:v>6.9802800000000012E-2</c:v>
                </c:pt>
                <c:pt idx="97">
                  <c:v>6.9133953846153853E-2</c:v>
                </c:pt>
                <c:pt idx="98">
                  <c:v>7.457666666666668E-2</c:v>
                </c:pt>
                <c:pt idx="99">
                  <c:v>6.9993492307692307E-2</c:v>
                </c:pt>
                <c:pt idx="100">
                  <c:v>6.6747841025641019E-2</c:v>
                </c:pt>
                <c:pt idx="101">
                  <c:v>6.7473217582417575E-2</c:v>
                </c:pt>
                <c:pt idx="102">
                  <c:v>7.1842523076923084E-2</c:v>
                </c:pt>
                <c:pt idx="103">
                  <c:v>7.0893654945054951E-2</c:v>
                </c:pt>
                <c:pt idx="104">
                  <c:v>6.6649364102564099E-2</c:v>
                </c:pt>
                <c:pt idx="105">
                  <c:v>6.6611369230769241E-2</c:v>
                </c:pt>
                <c:pt idx="106">
                  <c:v>6.6275476923076948E-2</c:v>
                </c:pt>
                <c:pt idx="107">
                  <c:v>6.3264772727272711E-2</c:v>
                </c:pt>
                <c:pt idx="108">
                  <c:v>6.706396354166666E-2</c:v>
                </c:pt>
                <c:pt idx="109">
                  <c:v>6.7938899999999969E-2</c:v>
                </c:pt>
                <c:pt idx="110">
                  <c:v>7.7144681818181821E-2</c:v>
                </c:pt>
              </c:numCache>
            </c:numRef>
          </c:yVal>
          <c:smooth val="0"/>
          <c:extLst xmlns:c16r2="http://schemas.microsoft.com/office/drawing/2015/06/chart">
            <c:ext xmlns:c16="http://schemas.microsoft.com/office/drawing/2014/chart" uri="{C3380CC4-5D6E-409C-BE32-E72D297353CC}">
              <c16:uniqueId val="{00000003-EAC6-43F7-BD52-A66E6A2C2B01}"/>
            </c:ext>
          </c:extLst>
        </c:ser>
        <c:dLbls>
          <c:showLegendKey val="0"/>
          <c:showVal val="0"/>
          <c:showCatName val="0"/>
          <c:showSerName val="0"/>
          <c:showPercent val="0"/>
          <c:showBubbleSize val="0"/>
        </c:dLbls>
        <c:axId val="484604232"/>
        <c:axId val="484612464"/>
      </c:scatterChart>
      <c:valAx>
        <c:axId val="484604232"/>
        <c:scaling>
          <c:orientation val="minMax"/>
          <c:max val="8.0000000000000016E-2"/>
          <c:min val="2.0000000000000004E-2"/>
        </c:scaling>
        <c:delete val="0"/>
        <c:axPos val="b"/>
        <c:title>
          <c:tx>
            <c:rich>
              <a:bodyPr/>
              <a:lstStyle/>
              <a:p>
                <a:pPr>
                  <a:defRPr/>
                </a:pPr>
                <a:r>
                  <a:rPr lang="en-US"/>
                  <a:t>U.S. Government 30-year Treasury Yield</a:t>
                </a:r>
              </a:p>
            </c:rich>
          </c:tx>
          <c:layout/>
          <c:overlay val="0"/>
        </c:title>
        <c:numFmt formatCode="0.00%" sourceLinked="1"/>
        <c:majorTickMark val="out"/>
        <c:minorTickMark val="none"/>
        <c:tickLblPos val="nextTo"/>
        <c:crossAx val="484612464"/>
        <c:crosses val="autoZero"/>
        <c:crossBetween val="midCat"/>
      </c:valAx>
      <c:valAx>
        <c:axId val="484612464"/>
        <c:scaling>
          <c:orientation val="minMax"/>
          <c:max val="8.0000000000000043E-2"/>
          <c:min val="2.0000000000000011E-2"/>
        </c:scaling>
        <c:delete val="0"/>
        <c:axPos val="l"/>
        <c:majorGridlines/>
        <c:title>
          <c:tx>
            <c:rich>
              <a:bodyPr rot="-5400000" vert="horz"/>
              <a:lstStyle/>
              <a:p>
                <a:pPr>
                  <a:defRPr/>
                </a:pPr>
                <a:r>
                  <a:rPr lang="en-US"/>
                  <a:t>Risk Premium</a:t>
                </a:r>
              </a:p>
            </c:rich>
          </c:tx>
          <c:layout>
            <c:manualLayout>
              <c:xMode val="edge"/>
              <c:yMode val="edge"/>
              <c:x val="1.6867310930061753E-2"/>
              <c:y val="0.37302878268338169"/>
            </c:manualLayout>
          </c:layout>
          <c:overlay val="0"/>
        </c:title>
        <c:numFmt formatCode="0.00%" sourceLinked="1"/>
        <c:majorTickMark val="out"/>
        <c:minorTickMark val="none"/>
        <c:tickLblPos val="nextTo"/>
        <c:crossAx val="484604232"/>
        <c:crosses val="autoZero"/>
        <c:crossBetween val="midCat"/>
      </c:valAx>
    </c:plotArea>
    <c:plotVisOnly val="1"/>
    <c:dispBlanksAs val="gap"/>
    <c:showDLblsOverMax val="0"/>
  </c:chart>
  <c:txPr>
    <a:bodyPr/>
    <a:lstStyle/>
    <a:p>
      <a:pPr>
        <a:defRPr sz="800" baseline="0">
          <a:latin typeface="Arial" pitchFamily="34" charset="0"/>
        </a:defRPr>
      </a:pPr>
      <a:endParaRPr lang="en-US"/>
    </a:p>
  </c:txPr>
  <c:printSettings>
    <c:headerFooter/>
    <c:pageMargins b="0.75000000000000422" l="0.70000000000000062" r="0.70000000000000062" t="0.750000000000004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'Exhibit AEB-11 CapEx 2'!$E$27</c:f>
              <c:strCache>
                <c:ptCount val="1"/>
                <c:pt idx="0">
                  <c:v>2020-2024</c:v>
                </c:pt>
              </c:strCache>
            </c:strRef>
          </c:tx>
          <c:spPr>
            <a:solidFill>
              <a:schemeClr val="tx1"/>
            </a:solidFill>
            <a:ln>
              <a:solidFill>
                <a:sysClr val="windowText" lastClr="000000"/>
              </a:solidFill>
            </a:ln>
          </c:spPr>
          <c:invertIfNegative val="0"/>
          <c:dPt>
            <c:idx val="3"/>
            <c:invertIfNegative val="0"/>
            <c:bubble3D val="0"/>
            <c:extLst xmlns:c16r2="http://schemas.microsoft.com/office/drawing/2015/06/chart">
              <c:ext xmlns:c16="http://schemas.microsoft.com/office/drawing/2014/chart" uri="{C3380CC4-5D6E-409C-BE32-E72D297353CC}">
                <c16:uniqueId val="{00000000-52DA-47FE-89A5-1D6D1C33E35E}"/>
              </c:ext>
            </c:extLst>
          </c:dPt>
          <c:dPt>
            <c:idx val="4"/>
            <c:invertIfNegative val="0"/>
            <c:bubble3D val="0"/>
            <c:extLst xmlns:c16r2="http://schemas.microsoft.com/office/drawing/2015/06/chart">
              <c:ext xmlns:c16="http://schemas.microsoft.com/office/drawing/2014/chart" uri="{C3380CC4-5D6E-409C-BE32-E72D297353CC}">
                <c16:uniqueId val="{00000001-52DA-47FE-89A5-1D6D1C33E35E}"/>
              </c:ext>
            </c:extLst>
          </c:dPt>
          <c:dPt>
            <c:idx val="6"/>
            <c:invertIfNegative val="0"/>
            <c:bubble3D val="0"/>
            <c:extLst xmlns:c16r2="http://schemas.microsoft.com/office/drawing/2015/06/chart">
              <c:ext xmlns:c16="http://schemas.microsoft.com/office/drawing/2014/chart" uri="{C3380CC4-5D6E-409C-BE32-E72D297353CC}">
                <c16:uniqueId val="{00000002-52DA-47FE-89A5-1D6D1C33E35E}"/>
              </c:ext>
            </c:extLst>
          </c:dPt>
          <c:dPt>
            <c:idx val="8"/>
            <c:invertIfNegative val="0"/>
            <c:bubble3D val="0"/>
            <c:extLst xmlns:c16r2="http://schemas.microsoft.com/office/drawing/2015/06/chart">
              <c:ext xmlns:c16="http://schemas.microsoft.com/office/drawing/2014/chart" uri="{C3380CC4-5D6E-409C-BE32-E72D297353CC}">
                <c16:uniqueId val="{00000003-52DA-47FE-89A5-1D6D1C33E35E}"/>
              </c:ext>
            </c:extLst>
          </c:dPt>
          <c:dPt>
            <c:idx val="11"/>
            <c:invertIfNegative val="0"/>
            <c:bubble3D val="0"/>
            <c:extLst xmlns:c16r2="http://schemas.microsoft.com/office/drawing/2015/06/chart">
              <c:ext xmlns:c16="http://schemas.microsoft.com/office/drawing/2014/chart" uri="{C3380CC4-5D6E-409C-BE32-E72D297353CC}">
                <c16:uniqueId val="{00000004-52DA-47FE-89A5-1D6D1C33E35E}"/>
              </c:ext>
            </c:extLst>
          </c:dPt>
          <c:dPt>
            <c:idx val="14"/>
            <c:invertIfNegative val="0"/>
            <c:bubble3D val="0"/>
            <c:extLst xmlns:c16r2="http://schemas.microsoft.com/office/drawing/2015/06/chart">
              <c:ext xmlns:c16="http://schemas.microsoft.com/office/drawing/2014/chart" uri="{C3380CC4-5D6E-409C-BE32-E72D297353CC}">
                <c16:uniqueId val="{00000006-52DA-47FE-89A5-1D6D1C33E35E}"/>
              </c:ext>
            </c:extLst>
          </c:dPt>
          <c:dPt>
            <c:idx val="16"/>
            <c:invertIfNegative val="0"/>
            <c:bubble3D val="0"/>
            <c:spPr>
              <a:pattFill prst="dkUpDiag">
                <a:fgClr>
                  <a:schemeClr val="tx1"/>
                </a:fgClr>
                <a:bgClr>
                  <a:schemeClr val="bg1"/>
                </a:bgClr>
              </a:pattFill>
              <a:ln>
                <a:solidFill>
                  <a:sysClr val="windowText" lastClr="000000"/>
                </a:solidFill>
              </a:ln>
            </c:spPr>
            <c:extLst xmlns:c16r2="http://schemas.microsoft.com/office/drawing/2015/06/chart">
              <c:ext xmlns:c16="http://schemas.microsoft.com/office/drawing/2014/chart" uri="{C3380CC4-5D6E-409C-BE32-E72D297353CC}">
                <c16:uniqueId val="{00000007-52DA-47FE-89A5-1D6D1C33E35E}"/>
              </c:ext>
            </c:extLst>
          </c:dPt>
          <c:dPt>
            <c:idx val="23"/>
            <c:invertIfNegative val="0"/>
            <c:bubble3D val="0"/>
            <c:spPr>
              <a:solidFill>
                <a:schemeClr val="tx1"/>
              </a:solidFill>
              <a:ln w="22225">
                <a:solidFill>
                  <a:sysClr val="windowText" lastClr="000000"/>
                </a:solidFill>
              </a:ln>
            </c:spPr>
            <c:extLst xmlns:c16r2="http://schemas.microsoft.com/office/drawing/2015/06/chart">
              <c:ext xmlns:c16="http://schemas.microsoft.com/office/drawing/2014/chart" uri="{C3380CC4-5D6E-409C-BE32-E72D297353CC}">
                <c16:uniqueId val="{00000009-52DA-47FE-89A5-1D6D1C33E35E}"/>
              </c:ext>
            </c:extLst>
          </c:dPt>
          <c:cat>
            <c:strRef>
              <c:f>'Exhibit AEB-11 CapEx 2'!$D$29:$D$52</c:f>
              <c:strCache>
                <c:ptCount val="24"/>
                <c:pt idx="0">
                  <c:v>XEL</c:v>
                </c:pt>
                <c:pt idx="1">
                  <c:v>CMS</c:v>
                </c:pt>
                <c:pt idx="2">
                  <c:v>EVRG</c:v>
                </c:pt>
                <c:pt idx="3">
                  <c:v>OGE</c:v>
                </c:pt>
                <c:pt idx="4">
                  <c:v>NWE</c:v>
                </c:pt>
                <c:pt idx="5">
                  <c:v>SO</c:v>
                </c:pt>
                <c:pt idx="6">
                  <c:v>ALE</c:v>
                </c:pt>
                <c:pt idx="7">
                  <c:v>POR</c:v>
                </c:pt>
                <c:pt idx="8">
                  <c:v>PPL</c:v>
                </c:pt>
                <c:pt idx="9">
                  <c:v>IDA</c:v>
                </c:pt>
                <c:pt idx="10">
                  <c:v>AVA</c:v>
                </c:pt>
                <c:pt idx="11">
                  <c:v>PNW</c:v>
                </c:pt>
                <c:pt idx="12">
                  <c:v>FE</c:v>
                </c:pt>
                <c:pt idx="13">
                  <c:v>DUK</c:v>
                </c:pt>
                <c:pt idx="14">
                  <c:v>AEP</c:v>
                </c:pt>
                <c:pt idx="15">
                  <c:v>DTE</c:v>
                </c:pt>
                <c:pt idx="16">
                  <c:v>PacifiCorp</c:v>
                </c:pt>
                <c:pt idx="17">
                  <c:v>D</c:v>
                </c:pt>
                <c:pt idx="18">
                  <c:v>AEE</c:v>
                </c:pt>
                <c:pt idx="19">
                  <c:v>LNT</c:v>
                </c:pt>
                <c:pt idx="20">
                  <c:v>PNM</c:v>
                </c:pt>
                <c:pt idx="21">
                  <c:v>ETR</c:v>
                </c:pt>
                <c:pt idx="22">
                  <c:v>NEE</c:v>
                </c:pt>
                <c:pt idx="23">
                  <c:v>CNP</c:v>
                </c:pt>
              </c:strCache>
            </c:strRef>
          </c:cat>
          <c:val>
            <c:numRef>
              <c:f>'Exhibit AEB-11 CapEx 2'!$E$29:$E$52</c:f>
              <c:numCache>
                <c:formatCode>0.00%</c:formatCode>
                <c:ptCount val="24"/>
                <c:pt idx="0">
                  <c:v>0.16742502165439585</c:v>
                </c:pt>
                <c:pt idx="1">
                  <c:v>0.23139861249034532</c:v>
                </c:pt>
                <c:pt idx="2">
                  <c:v>0.33083051920641621</c:v>
                </c:pt>
                <c:pt idx="3">
                  <c:v>0.34359888012216849</c:v>
                </c:pt>
                <c:pt idx="4">
                  <c:v>0.34742178687545622</c:v>
                </c:pt>
                <c:pt idx="5">
                  <c:v>0.3739417923932819</c:v>
                </c:pt>
                <c:pt idx="6">
                  <c:v>0.38569946726769799</c:v>
                </c:pt>
                <c:pt idx="7">
                  <c:v>0.39104245317264413</c:v>
                </c:pt>
                <c:pt idx="8">
                  <c:v>0.39380912995530792</c:v>
                </c:pt>
                <c:pt idx="9">
                  <c:v>0.40359442182132538</c:v>
                </c:pt>
                <c:pt idx="10">
                  <c:v>0.45347017574049775</c:v>
                </c:pt>
                <c:pt idx="11">
                  <c:v>0.46994387027797574</c:v>
                </c:pt>
                <c:pt idx="12">
                  <c:v>0.48220345357895089</c:v>
                </c:pt>
                <c:pt idx="13">
                  <c:v>0.53969111937531355</c:v>
                </c:pt>
                <c:pt idx="14">
                  <c:v>0.58213261583694798</c:v>
                </c:pt>
                <c:pt idx="15">
                  <c:v>0.59345265588914553</c:v>
                </c:pt>
                <c:pt idx="16">
                  <c:v>0.6</c:v>
                </c:pt>
                <c:pt idx="17">
                  <c:v>0.61726539589442819</c:v>
                </c:pt>
                <c:pt idx="18">
                  <c:v>0.61987889083735204</c:v>
                </c:pt>
                <c:pt idx="19">
                  <c:v>0.62120446156315201</c:v>
                </c:pt>
                <c:pt idx="20">
                  <c:v>0.64023516601077446</c:v>
                </c:pt>
                <c:pt idx="21">
                  <c:v>0.64887095765309311</c:v>
                </c:pt>
                <c:pt idx="22">
                  <c:v>0.71254478630534313</c:v>
                </c:pt>
                <c:pt idx="23">
                  <c:v>0.93931572201651947</c:v>
                </c:pt>
              </c:numCache>
            </c:numRef>
          </c:val>
          <c:extLst xmlns:c16r2="http://schemas.microsoft.com/office/drawing/2015/06/chart">
            <c:ext xmlns:c16="http://schemas.microsoft.com/office/drawing/2014/chart" uri="{C3380CC4-5D6E-409C-BE32-E72D297353CC}">
              <c16:uniqueId val="{0000000A-52DA-47FE-89A5-1D6D1C33E35E}"/>
            </c:ext>
          </c:extLst>
        </c:ser>
        <c:dLbls>
          <c:showLegendKey val="0"/>
          <c:showVal val="0"/>
          <c:showCatName val="0"/>
          <c:showSerName val="0"/>
          <c:showPercent val="0"/>
          <c:showBubbleSize val="0"/>
        </c:dLbls>
        <c:gapWidth val="150"/>
        <c:axId val="484605800"/>
        <c:axId val="484606976"/>
      </c:barChart>
      <c:scatterChart>
        <c:scatterStyle val="smoothMarker"/>
        <c:varyColors val="0"/>
        <c:ser>
          <c:idx val="1"/>
          <c:order val="1"/>
          <c:tx>
            <c:v>Median</c:v>
          </c:tx>
          <c:spPr>
            <a:ln>
              <a:solidFill>
                <a:schemeClr val="tx1"/>
              </a:solidFill>
              <a:prstDash val="dash"/>
            </a:ln>
          </c:spPr>
          <c:marker>
            <c:symbol val="none"/>
          </c:marker>
          <c:xVal>
            <c:numRef>
              <c:f>'Exhibit AEB-11 CapEx 2'!$H$29:$H$30</c:f>
              <c:numCache>
                <c:formatCode>General</c:formatCode>
                <c:ptCount val="2"/>
                <c:pt idx="0">
                  <c:v>0</c:v>
                </c:pt>
                <c:pt idx="1">
                  <c:v>10</c:v>
                </c:pt>
              </c:numCache>
            </c:numRef>
          </c:xVal>
          <c:yVal>
            <c:numRef>
              <c:f>'Exhibit AEB-11 CapEx 2'!$I$29:$I$30</c:f>
              <c:numCache>
                <c:formatCode>0.00%</c:formatCode>
                <c:ptCount val="2"/>
                <c:pt idx="0">
                  <c:v>0.46994387027797574</c:v>
                </c:pt>
                <c:pt idx="1">
                  <c:v>0.46994387027797574</c:v>
                </c:pt>
              </c:numCache>
            </c:numRef>
          </c:yVal>
          <c:smooth val="1"/>
          <c:extLst xmlns:c16r2="http://schemas.microsoft.com/office/drawing/2015/06/chart">
            <c:ext xmlns:c16="http://schemas.microsoft.com/office/drawing/2014/chart" uri="{C3380CC4-5D6E-409C-BE32-E72D297353CC}">
              <c16:uniqueId val="{0000000B-52DA-47FE-89A5-1D6D1C33E35E}"/>
            </c:ext>
          </c:extLst>
        </c:ser>
        <c:dLbls>
          <c:showLegendKey val="0"/>
          <c:showVal val="0"/>
          <c:showCatName val="0"/>
          <c:showSerName val="0"/>
          <c:showPercent val="0"/>
          <c:showBubbleSize val="0"/>
        </c:dLbls>
        <c:axId val="484608936"/>
        <c:axId val="484608152"/>
      </c:scatterChart>
      <c:catAx>
        <c:axId val="484605800"/>
        <c:scaling>
          <c:orientation val="minMax"/>
        </c:scaling>
        <c:delete val="0"/>
        <c:axPos val="b"/>
        <c:numFmt formatCode="General" sourceLinked="0"/>
        <c:majorTickMark val="out"/>
        <c:minorTickMark val="none"/>
        <c:tickLblPos val="nextTo"/>
        <c:crossAx val="484606976"/>
        <c:crosses val="autoZero"/>
        <c:auto val="1"/>
        <c:lblAlgn val="ctr"/>
        <c:lblOffset val="100"/>
        <c:noMultiLvlLbl val="0"/>
      </c:catAx>
      <c:valAx>
        <c:axId val="484606976"/>
        <c:scaling>
          <c:orientation val="minMax"/>
        </c:scaling>
        <c:delete val="0"/>
        <c:axPos val="l"/>
        <c:majorGridlines/>
        <c:numFmt formatCode="0.00%" sourceLinked="1"/>
        <c:majorTickMark val="out"/>
        <c:minorTickMark val="none"/>
        <c:tickLblPos val="nextTo"/>
        <c:crossAx val="484605800"/>
        <c:crosses val="autoZero"/>
        <c:crossBetween val="between"/>
      </c:valAx>
      <c:valAx>
        <c:axId val="484608152"/>
        <c:scaling>
          <c:orientation val="minMax"/>
        </c:scaling>
        <c:delete val="1"/>
        <c:axPos val="r"/>
        <c:numFmt formatCode="0.00%" sourceLinked="1"/>
        <c:majorTickMark val="out"/>
        <c:minorTickMark val="none"/>
        <c:tickLblPos val="none"/>
        <c:crossAx val="484608936"/>
        <c:crosses val="max"/>
        <c:crossBetween val="midCat"/>
      </c:valAx>
      <c:valAx>
        <c:axId val="484608936"/>
        <c:scaling>
          <c:orientation val="minMax"/>
          <c:max val="10"/>
        </c:scaling>
        <c:delete val="0"/>
        <c:axPos val="t"/>
        <c:numFmt formatCode="General" sourceLinked="1"/>
        <c:majorTickMark val="none"/>
        <c:minorTickMark val="none"/>
        <c:tickLblPos val="none"/>
        <c:crossAx val="484608152"/>
        <c:crosses val="max"/>
        <c:crossBetween val="midCat"/>
      </c:valAx>
    </c:plotArea>
    <c:plotVisOnly val="1"/>
    <c:dispBlanksAs val="gap"/>
    <c:showDLblsOverMax val="0"/>
  </c:chart>
  <c:txPr>
    <a:bodyPr/>
    <a:lstStyle/>
    <a:p>
      <a:pPr>
        <a:defRPr sz="800" baseline="0">
          <a:latin typeface="Arial" pitchFamily="34" charset="0"/>
        </a:defRPr>
      </a:pPr>
      <a:endParaRPr lang="en-US"/>
    </a:p>
  </c:txPr>
  <c:printSettings>
    <c:headerFooter/>
    <c:pageMargins b="0.75000000000000311" l="0.70000000000000062" r="0.70000000000000062" t="0.75000000000000311"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11</xdr:col>
      <xdr:colOff>158683</xdr:colOff>
      <xdr:row>1</xdr:row>
      <xdr:rowOff>94132</xdr:rowOff>
    </xdr:from>
    <xdr:to>
      <xdr:col>24</xdr:col>
      <xdr:colOff>97468</xdr:colOff>
      <xdr:row>21</xdr:row>
      <xdr:rowOff>402167</xdr:rowOff>
    </xdr:to>
    <xdr:graphicFrame macro="">
      <xdr:nvGraphicFramePr>
        <xdr:cNvPr id="8" name="Chart 1">
          <a:extLst>
            <a:ext uri="{FF2B5EF4-FFF2-40B4-BE49-F238E27FC236}">
              <a16:creationId xmlns:a16="http://schemas.microsoft.com/office/drawing/2014/main" xmlns="" id="{C3ACFE90-C519-4227-BCB1-AD5CEC559FC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11205</xdr:colOff>
      <xdr:row>1</xdr:row>
      <xdr:rowOff>347381</xdr:rowOff>
    </xdr:from>
    <xdr:to>
      <xdr:col>11</xdr:col>
      <xdr:colOff>669215</xdr:colOff>
      <xdr:row>23</xdr:row>
      <xdr:rowOff>8604</xdr:rowOff>
    </xdr:to>
    <xdr:graphicFrame macro="">
      <xdr:nvGraphicFramePr>
        <xdr:cNvPr id="2" name="Chart 1">
          <a:extLst>
            <a:ext uri="{FF2B5EF4-FFF2-40B4-BE49-F238E27FC236}">
              <a16:creationId xmlns:a16="http://schemas.microsoft.com/office/drawing/2014/main" xmlns="" id="{A1E2CF6A-E186-4E1E-9FBC-8388E2CC5A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160734</xdr:colOff>
      <xdr:row>4</xdr:row>
      <xdr:rowOff>40820</xdr:rowOff>
    </xdr:from>
    <xdr:to>
      <xdr:col>5</xdr:col>
      <xdr:colOff>707572</xdr:colOff>
      <xdr:row>23</xdr:row>
      <xdr:rowOff>85723</xdr:rowOff>
    </xdr:to>
    <xdr:graphicFrame macro="">
      <xdr:nvGraphicFramePr>
        <xdr:cNvPr id="2" name="Chart 1">
          <a:extLst>
            <a:ext uri="{FF2B5EF4-FFF2-40B4-BE49-F238E27FC236}">
              <a16:creationId xmlns:a16="http://schemas.microsoft.com/office/drawing/2014/main" xmlns="" id="{E7DA8C22-4B07-4368-97D8-103E3B2CD4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180975</xdr:colOff>
      <xdr:row>6</xdr:row>
      <xdr:rowOff>104775</xdr:rowOff>
    </xdr:from>
    <xdr:to>
      <xdr:col>2</xdr:col>
      <xdr:colOff>1437256</xdr:colOff>
      <xdr:row>8</xdr:row>
      <xdr:rowOff>29935</xdr:rowOff>
    </xdr:to>
    <xdr:sp macro="" textlink="">
      <xdr:nvSpPr>
        <xdr:cNvPr id="3" name="TextBox 1">
          <a:extLst>
            <a:ext uri="{FF2B5EF4-FFF2-40B4-BE49-F238E27FC236}">
              <a16:creationId xmlns:a16="http://schemas.microsoft.com/office/drawing/2014/main" xmlns="" id="{9F23AF93-C7CA-44E5-88AC-B220321C0EF1}"/>
            </a:ext>
          </a:extLst>
        </xdr:cNvPr>
        <xdr:cNvSpPr txBox="1"/>
      </xdr:nvSpPr>
      <xdr:spPr>
        <a:xfrm>
          <a:off x="1085850" y="1076325"/>
          <a:ext cx="1637281" cy="249010"/>
        </a:xfrm>
        <a:prstGeom prst="rect">
          <a:avLst/>
        </a:prstGeom>
        <a:solidFill>
          <a:schemeClr val="bg1"/>
        </a:solidFill>
        <a:ln>
          <a:solidFill>
            <a:sysClr val="windowText" lastClr="000000"/>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800" b="1"/>
            <a:t>Proxy Group Median = 46.99%</a:t>
          </a:r>
        </a:p>
      </xdr:txBody>
    </xdr:sp>
    <xdr:clientData/>
  </xdr:twoCellAnchor>
  <xdr:twoCellAnchor>
    <xdr:from>
      <xdr:col>2</xdr:col>
      <xdr:colOff>457200</xdr:colOff>
      <xdr:row>8</xdr:row>
      <xdr:rowOff>66675</xdr:rowOff>
    </xdr:from>
    <xdr:to>
      <xdr:col>2</xdr:col>
      <xdr:colOff>600075</xdr:colOff>
      <xdr:row>12</xdr:row>
      <xdr:rowOff>57150</xdr:rowOff>
    </xdr:to>
    <xdr:cxnSp macro="">
      <xdr:nvCxnSpPr>
        <xdr:cNvPr id="4" name="Straight Arrow Connector 3">
          <a:extLst>
            <a:ext uri="{FF2B5EF4-FFF2-40B4-BE49-F238E27FC236}">
              <a16:creationId xmlns:a16="http://schemas.microsoft.com/office/drawing/2014/main" xmlns="" id="{A612DCD8-0678-4265-B399-8595771F2FBB}"/>
            </a:ext>
          </a:extLst>
        </xdr:cNvPr>
        <xdr:cNvCxnSpPr/>
      </xdr:nvCxnSpPr>
      <xdr:spPr>
        <a:xfrm flipH="1">
          <a:off x="1743075" y="1362075"/>
          <a:ext cx="142875" cy="6381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K36"/>
  <sheetViews>
    <sheetView tabSelected="1" zoomScale="90" zoomScaleNormal="90" zoomScaleSheetLayoutView="90" workbookViewId="0"/>
  </sheetViews>
  <sheetFormatPr defaultColWidth="9" defaultRowHeight="14.25"/>
  <cols>
    <col min="1" max="1" width="9.140625" style="69" customWidth="1"/>
    <col min="2" max="2" width="28.85546875" style="69" customWidth="1"/>
    <col min="3" max="3" width="17.42578125" style="69" customWidth="1"/>
    <col min="4" max="4" width="16.5703125" style="69" customWidth="1"/>
    <col min="5" max="5" width="17.7109375" style="69" customWidth="1"/>
    <col min="6" max="6" width="13" style="69" customWidth="1"/>
    <col min="7" max="7" width="16.42578125" style="69" customWidth="1"/>
    <col min="8" max="8" width="9.85546875" style="69" customWidth="1"/>
    <col min="9" max="11" width="10.5703125" style="69" customWidth="1"/>
    <col min="12" max="16384" width="9" style="69"/>
  </cols>
  <sheetData>
    <row r="1" spans="2:11" s="50" customFormat="1">
      <c r="B1" s="49"/>
      <c r="C1" s="49"/>
      <c r="D1" s="49"/>
      <c r="E1" s="49"/>
    </row>
    <row r="2" spans="2:11" s="50" customFormat="1">
      <c r="B2" s="364" t="s">
        <v>1194</v>
      </c>
      <c r="C2" s="364"/>
      <c r="D2" s="364"/>
      <c r="E2" s="364"/>
      <c r="I2" s="51"/>
      <c r="J2" s="51" t="s">
        <v>85</v>
      </c>
      <c r="K2" s="51" t="s">
        <v>1195</v>
      </c>
    </row>
    <row r="3" spans="2:11" s="50" customFormat="1" ht="15" thickBot="1">
      <c r="B3" s="49"/>
      <c r="C3" s="49"/>
      <c r="D3" s="49"/>
      <c r="E3" s="49"/>
      <c r="I3" s="52" t="s">
        <v>1257</v>
      </c>
      <c r="J3" s="124">
        <f>C9</f>
        <v>8.4918226595393123E-2</v>
      </c>
      <c r="K3" s="54">
        <v>5</v>
      </c>
    </row>
    <row r="4" spans="2:11" s="51" customFormat="1" ht="16.5" customHeight="1">
      <c r="B4" s="365" t="s">
        <v>1257</v>
      </c>
      <c r="C4" s="366"/>
      <c r="D4" s="366"/>
      <c r="E4" s="367"/>
      <c r="F4" s="53"/>
      <c r="I4" s="52"/>
      <c r="J4" s="53">
        <f>E9</f>
        <v>0.10150946748633484</v>
      </c>
      <c r="K4" s="54">
        <v>5</v>
      </c>
    </row>
    <row r="5" spans="2:11" s="51" customFormat="1" ht="15">
      <c r="B5" s="55"/>
      <c r="C5" s="56" t="s">
        <v>1301</v>
      </c>
      <c r="D5" s="56" t="s">
        <v>1258</v>
      </c>
      <c r="E5" s="57" t="s">
        <v>1302</v>
      </c>
      <c r="I5" s="52" t="s">
        <v>1517</v>
      </c>
      <c r="J5" s="53">
        <f>C12</f>
        <v>9.0356659825855959E-2</v>
      </c>
      <c r="K5" s="54">
        <v>4</v>
      </c>
    </row>
    <row r="6" spans="2:11" s="51" customFormat="1">
      <c r="B6" s="58" t="s">
        <v>26</v>
      </c>
      <c r="C6" s="59">
        <f>'Exhibit AEB-6 Constant DCF'!O31</f>
        <v>8.46721951415767E-2</v>
      </c>
      <c r="D6" s="59">
        <f>'Exhibit AEB-6 Constant DCF'!P31</f>
        <v>8.9275018215011062E-2</v>
      </c>
      <c r="E6" s="60">
        <f>'Exhibit AEB-6 Constant DCF'!Q31</f>
        <v>0.10104414096684762</v>
      </c>
      <c r="I6" s="52"/>
      <c r="J6" s="53">
        <f>E12</f>
        <v>0.10451107632997268</v>
      </c>
      <c r="K6" s="54">
        <v>4</v>
      </c>
    </row>
    <row r="7" spans="2:11" s="51" customFormat="1">
      <c r="B7" s="58" t="s">
        <v>27</v>
      </c>
      <c r="C7" s="59">
        <f>'Exhibit AEB-6 Constant DCF'!O79</f>
        <v>8.4540229794913144E-2</v>
      </c>
      <c r="D7" s="59">
        <f>'Exhibit AEB-6 Constant DCF'!P79</f>
        <v>9.0193385510202506E-2</v>
      </c>
      <c r="E7" s="60">
        <f>'Exhibit AEB-6 Constant DCF'!Q79</f>
        <v>0.10196786296462299</v>
      </c>
      <c r="I7" s="61" t="s">
        <v>20</v>
      </c>
      <c r="J7" s="53">
        <f>MIN(C16:E17,C19:E20)</f>
        <v>9.0634336373886862E-2</v>
      </c>
      <c r="K7" s="54">
        <v>3</v>
      </c>
    </row>
    <row r="8" spans="2:11" s="51" customFormat="1">
      <c r="B8" s="58" t="s">
        <v>83</v>
      </c>
      <c r="C8" s="59">
        <f>'Exhibit AEB-6 Constant DCF'!O127</f>
        <v>8.5542254849689525E-2</v>
      </c>
      <c r="D8" s="59">
        <f>'Exhibit AEB-6 Constant DCF'!P127</f>
        <v>9.0274955973816545E-2</v>
      </c>
      <c r="E8" s="60">
        <f>'Exhibit AEB-6 Constant DCF'!Q127</f>
        <v>0.10151639852753391</v>
      </c>
      <c r="I8" s="61"/>
      <c r="J8" s="53">
        <f>MAX(C16:E17,C19:E20)</f>
        <v>0.10366426506677943</v>
      </c>
      <c r="K8" s="54">
        <v>3</v>
      </c>
    </row>
    <row r="9" spans="2:11" s="51" customFormat="1">
      <c r="B9" s="58" t="s">
        <v>1196</v>
      </c>
      <c r="C9" s="59">
        <f>AVERAGE(C6:C8)</f>
        <v>8.4918226595393123E-2</v>
      </c>
      <c r="D9" s="59">
        <f>AVERAGE(D6:D8)</f>
        <v>8.9914453233010019E-2</v>
      </c>
      <c r="E9" s="60">
        <f>AVERAGE(E6:E8)</f>
        <v>0.10150946748633484</v>
      </c>
      <c r="G9" s="52"/>
      <c r="H9" s="52"/>
      <c r="I9" s="61" t="s">
        <v>28</v>
      </c>
      <c r="J9" s="53">
        <f>C23</f>
        <v>9.5666808809562243E-2</v>
      </c>
      <c r="K9" s="54">
        <v>2</v>
      </c>
    </row>
    <row r="10" spans="2:11" s="51" customFormat="1">
      <c r="B10" s="378" t="s">
        <v>1517</v>
      </c>
      <c r="C10" s="379"/>
      <c r="D10" s="379"/>
      <c r="E10" s="380"/>
      <c r="G10" s="52"/>
      <c r="H10" s="52"/>
      <c r="I10" s="61"/>
      <c r="J10" s="53">
        <f>E23</f>
        <v>0.10208935620311699</v>
      </c>
      <c r="K10" s="54">
        <v>2</v>
      </c>
    </row>
    <row r="11" spans="2:11" s="51" customFormat="1">
      <c r="B11" s="58"/>
      <c r="C11" s="59" t="s">
        <v>1301</v>
      </c>
      <c r="D11" s="59" t="s">
        <v>1258</v>
      </c>
      <c r="E11" s="60" t="s">
        <v>1302</v>
      </c>
      <c r="I11" s="52" t="s">
        <v>1247</v>
      </c>
      <c r="J11" s="53">
        <f>E27</f>
        <v>0.1077104788126285</v>
      </c>
      <c r="K11" s="54">
        <v>1</v>
      </c>
    </row>
    <row r="12" spans="2:11" s="51" customFormat="1">
      <c r="B12" s="58" t="s">
        <v>1518</v>
      </c>
      <c r="C12" s="59">
        <f>'Exhibit AEB-7 Projected DCF'!Q32</f>
        <v>9.0356659825855959E-2</v>
      </c>
      <c r="D12" s="59">
        <f>'Exhibit AEB-7 Projected DCF'!R32</f>
        <v>9.6452714084354824E-2</v>
      </c>
      <c r="E12" s="60">
        <f>'Exhibit AEB-7 Projected DCF'!S32</f>
        <v>0.10451107632997268</v>
      </c>
      <c r="F12" s="53"/>
      <c r="J12" s="53">
        <f>C27</f>
        <v>0.11166968007363484</v>
      </c>
      <c r="K12" s="54">
        <v>1</v>
      </c>
    </row>
    <row r="13" spans="2:11" s="51" customFormat="1">
      <c r="B13" s="368" t="s">
        <v>20</v>
      </c>
      <c r="C13" s="369"/>
      <c r="D13" s="369"/>
      <c r="E13" s="370"/>
      <c r="F13" s="53"/>
      <c r="I13" s="61" t="s">
        <v>1197</v>
      </c>
      <c r="J13" s="53">
        <v>9.7500000000000003E-2</v>
      </c>
      <c r="K13" s="54">
        <v>0</v>
      </c>
    </row>
    <row r="14" spans="2:11" s="51" customFormat="1" ht="46.5" customHeight="1">
      <c r="B14" s="55"/>
      <c r="C14" s="56" t="s">
        <v>1199</v>
      </c>
      <c r="D14" s="56" t="s">
        <v>1200</v>
      </c>
      <c r="E14" s="57" t="s">
        <v>1201</v>
      </c>
      <c r="I14" s="61"/>
      <c r="J14" s="53">
        <v>9.7500000000000003E-2</v>
      </c>
      <c r="K14" s="54">
        <v>7</v>
      </c>
    </row>
    <row r="15" spans="2:11" s="51" customFormat="1" ht="15">
      <c r="B15" s="381" t="s">
        <v>1557</v>
      </c>
      <c r="C15" s="382"/>
      <c r="D15" s="382"/>
      <c r="E15" s="383"/>
      <c r="I15" s="61" t="s">
        <v>1198</v>
      </c>
      <c r="J15" s="53">
        <v>0.10249999999999999</v>
      </c>
      <c r="K15" s="54">
        <v>0</v>
      </c>
    </row>
    <row r="16" spans="2:11" s="51" customFormat="1">
      <c r="B16" s="58" t="s">
        <v>1261</v>
      </c>
      <c r="C16" s="59">
        <f>'Exhibit AEB-8 CAPM 1'!H32</f>
        <v>9.0634336373886862E-2</v>
      </c>
      <c r="D16" s="59">
        <f>'Exhibit AEB-8 CAPM 1'!H72</f>
        <v>9.1480518192068677E-2</v>
      </c>
      <c r="E16" s="60">
        <f>'Exhibit AEB-8 CAPM 1'!H112</f>
        <v>9.6687790919341404E-2</v>
      </c>
      <c r="J16" s="53">
        <v>0.10249999999999999</v>
      </c>
      <c r="K16" s="54">
        <v>7</v>
      </c>
    </row>
    <row r="17" spans="2:11" s="51" customFormat="1">
      <c r="B17" s="58" t="s">
        <v>1260</v>
      </c>
      <c r="C17" s="59">
        <f>'Exhibit AEB-8 CAPM 1'!H153</f>
        <v>9.8428861304328943E-2</v>
      </c>
      <c r="D17" s="59">
        <f>'Exhibit AEB-8 CAPM 1'!H193</f>
        <v>9.9136697177206898E-2</v>
      </c>
      <c r="E17" s="60">
        <f>'Exhibit AEB-8 CAPM 1'!H233</f>
        <v>0.10349261024107138</v>
      </c>
    </row>
    <row r="18" spans="2:11" s="51" customFormat="1" ht="15">
      <c r="B18" s="381" t="s">
        <v>1558</v>
      </c>
      <c r="C18" s="382"/>
      <c r="D18" s="382"/>
      <c r="E18" s="383"/>
    </row>
    <row r="19" spans="2:11" s="51" customFormat="1">
      <c r="B19" s="58" t="s">
        <v>1261</v>
      </c>
      <c r="C19" s="59">
        <f>'Exhibit AEB-8 CAPM 2'!H32</f>
        <v>9.078868441488952E-2</v>
      </c>
      <c r="D19" s="59">
        <f>'Exhibit AEB-8 CAPM 2'!H72</f>
        <v>9.1634866233071363E-2</v>
      </c>
      <c r="E19" s="60">
        <f>'Exhibit AEB-8 CAPM 2'!H112</f>
        <v>9.684213896034409E-2</v>
      </c>
      <c r="G19" s="52"/>
      <c r="J19" s="53"/>
      <c r="K19" s="54"/>
    </row>
    <row r="20" spans="2:11" s="51" customFormat="1">
      <c r="B20" s="58" t="s">
        <v>1260</v>
      </c>
      <c r="C20" s="59">
        <f>'Exhibit AEB-8 CAPM 2'!H153</f>
        <v>9.8600516130036994E-2</v>
      </c>
      <c r="D20" s="59">
        <f>'Exhibit AEB-8 CAPM 2'!H193</f>
        <v>9.9308352002914976E-2</v>
      </c>
      <c r="E20" s="60">
        <f>'Exhibit AEB-8 CAPM 2'!H233</f>
        <v>0.10366426506677943</v>
      </c>
      <c r="G20" s="52"/>
      <c r="J20" s="53"/>
      <c r="K20" s="54"/>
    </row>
    <row r="21" spans="2:11" s="51" customFormat="1">
      <c r="B21" s="357" t="s">
        <v>84</v>
      </c>
      <c r="C21" s="358"/>
      <c r="D21" s="358"/>
      <c r="E21" s="359"/>
      <c r="G21" s="52"/>
      <c r="J21" s="53"/>
      <c r="K21" s="54"/>
    </row>
    <row r="22" spans="2:11" s="51" customFormat="1" ht="57">
      <c r="B22" s="62"/>
      <c r="C22" s="56" t="s">
        <v>1199</v>
      </c>
      <c r="D22" s="56" t="s">
        <v>1200</v>
      </c>
      <c r="E22" s="63" t="s">
        <v>1201</v>
      </c>
      <c r="G22" s="52"/>
      <c r="J22" s="53"/>
      <c r="K22" s="54"/>
    </row>
    <row r="23" spans="2:11" s="51" customFormat="1">
      <c r="B23" s="62" t="s">
        <v>55</v>
      </c>
      <c r="C23" s="64">
        <f>'Exhibit AEB-9 Risk Premium'!L51</f>
        <v>9.5666808809562243E-2</v>
      </c>
      <c r="D23" s="64">
        <f>'Exhibit AEB-9 Risk Premium'!L52</f>
        <v>9.6564584251672039E-2</v>
      </c>
      <c r="E23" s="65">
        <f>'Exhibit AEB-9 Risk Premium'!L53</f>
        <v>0.10208935620311699</v>
      </c>
      <c r="G23" s="52"/>
      <c r="J23" s="53"/>
      <c r="K23" s="54"/>
    </row>
    <row r="24" spans="2:11" s="51" customFormat="1">
      <c r="B24" s="153" t="s">
        <v>1202</v>
      </c>
      <c r="C24" s="360">
        <f>AVERAGE(C23:E23)</f>
        <v>9.8106916421450419E-2</v>
      </c>
      <c r="D24" s="361"/>
      <c r="E24" s="362"/>
      <c r="G24" s="52"/>
      <c r="J24" s="53"/>
      <c r="K24" s="54"/>
    </row>
    <row r="25" spans="2:11" s="51" customFormat="1">
      <c r="B25" s="371" t="s">
        <v>1244</v>
      </c>
      <c r="C25" s="372"/>
      <c r="D25" s="372"/>
      <c r="E25" s="373"/>
      <c r="G25" s="52"/>
      <c r="J25" s="53"/>
      <c r="K25" s="54"/>
    </row>
    <row r="26" spans="2:11" s="51" customFormat="1">
      <c r="B26" s="58"/>
      <c r="C26" s="374" t="s">
        <v>1258</v>
      </c>
      <c r="D26" s="375"/>
      <c r="E26" s="57" t="s">
        <v>1203</v>
      </c>
      <c r="G26" s="52"/>
      <c r="H26" s="156"/>
      <c r="J26" s="53"/>
      <c r="K26" s="54"/>
    </row>
    <row r="27" spans="2:11" s="51" customFormat="1" ht="15" thickBot="1">
      <c r="B27" s="272" t="s">
        <v>1246</v>
      </c>
      <c r="C27" s="376">
        <f>'Exhibit AEB-10 Expected Earning'!M31</f>
        <v>0.11166968007363484</v>
      </c>
      <c r="D27" s="377"/>
      <c r="E27" s="273">
        <f>'Exhibit AEB-10 Expected Earning'!M32</f>
        <v>0.1077104788126285</v>
      </c>
      <c r="H27" s="53"/>
    </row>
    <row r="28" spans="2:11" s="51" customFormat="1">
      <c r="B28" s="66"/>
      <c r="C28" s="53"/>
      <c r="D28" s="53"/>
      <c r="E28" s="53"/>
      <c r="H28" s="157"/>
    </row>
    <row r="29" spans="2:11" s="51" customFormat="1">
      <c r="B29" s="66"/>
      <c r="C29" s="53"/>
      <c r="D29" s="53"/>
      <c r="E29" s="53"/>
    </row>
    <row r="30" spans="2:11" s="51" customFormat="1" ht="15">
      <c r="B30" s="67" t="s">
        <v>23</v>
      </c>
      <c r="C30" s="49"/>
      <c r="D30" s="49"/>
      <c r="E30" s="49"/>
      <c r="F30" s="69"/>
    </row>
    <row r="31" spans="2:11">
      <c r="B31" s="363" t="s">
        <v>1519</v>
      </c>
      <c r="C31" s="363"/>
      <c r="D31" s="363"/>
      <c r="E31" s="363"/>
      <c r="G31" s="51"/>
      <c r="H31" s="51"/>
      <c r="I31" s="51"/>
      <c r="J31" s="51"/>
      <c r="K31" s="51"/>
    </row>
    <row r="32" spans="2:11">
      <c r="B32" s="363"/>
      <c r="C32" s="363"/>
      <c r="D32" s="363"/>
      <c r="E32" s="363"/>
      <c r="G32" s="52"/>
      <c r="H32" s="52"/>
      <c r="I32" s="51"/>
      <c r="J32" s="51"/>
      <c r="K32" s="51"/>
    </row>
    <row r="33" spans="2:11">
      <c r="B33" s="363"/>
      <c r="C33" s="363"/>
      <c r="D33" s="363"/>
      <c r="E33" s="363"/>
      <c r="G33" s="52"/>
      <c r="H33" s="51"/>
      <c r="I33" s="51"/>
      <c r="J33" s="51"/>
      <c r="K33" s="51"/>
    </row>
    <row r="34" spans="2:11">
      <c r="B34" s="363"/>
      <c r="C34" s="363"/>
      <c r="D34" s="363"/>
      <c r="E34" s="363"/>
    </row>
    <row r="35" spans="2:11">
      <c r="B35" s="363"/>
      <c r="C35" s="363"/>
      <c r="D35" s="363"/>
      <c r="E35" s="363"/>
    </row>
    <row r="36" spans="2:11">
      <c r="B36" s="68"/>
      <c r="C36" s="68"/>
      <c r="D36" s="68"/>
      <c r="E36" s="68"/>
    </row>
  </sheetData>
  <mergeCells count="12">
    <mergeCell ref="B21:E21"/>
    <mergeCell ref="C24:E24"/>
    <mergeCell ref="B31:E35"/>
    <mergeCell ref="B2:E2"/>
    <mergeCell ref="B4:E4"/>
    <mergeCell ref="B13:E13"/>
    <mergeCell ref="B25:E25"/>
    <mergeCell ref="C26:D26"/>
    <mergeCell ref="C27:D27"/>
    <mergeCell ref="B10:E10"/>
    <mergeCell ref="B15:E15"/>
    <mergeCell ref="B18:E18"/>
  </mergeCells>
  <pageMargins left="0.7" right="0.7" top="1" bottom="0.75" header="0.3" footer="0.3"/>
  <pageSetup orientation="portrait" useFirstPageNumber="1" r:id="rId1"/>
  <headerFooter>
    <oddHeader>&amp;RDocket No. UE-19____
PacifiCorp
Exhibit No. AEB-4
Page &amp;P of 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O142"/>
  <sheetViews>
    <sheetView zoomScale="85" zoomScaleNormal="85" workbookViewId="0">
      <selection activeCell="B1" sqref="B1"/>
    </sheetView>
  </sheetViews>
  <sheetFormatPr defaultColWidth="9.140625" defaultRowHeight="12.75"/>
  <cols>
    <col min="1" max="1" width="2.5703125" style="129" customWidth="1"/>
    <col min="2" max="2" width="30.5703125" style="129" customWidth="1"/>
    <col min="3" max="3" width="11.7109375" style="129" customWidth="1"/>
    <col min="4" max="10" width="10.5703125" style="129" customWidth="1"/>
    <col min="11" max="13" width="9.140625" style="129"/>
    <col min="14" max="14" width="15" style="129" bestFit="1" customWidth="1"/>
    <col min="15" max="16384" width="9.140625" style="129"/>
  </cols>
  <sheetData>
    <row r="2" spans="1:11">
      <c r="A2" s="397" t="s">
        <v>1375</v>
      </c>
      <c r="B2" s="397"/>
      <c r="C2" s="397"/>
      <c r="D2" s="397"/>
      <c r="E2" s="397"/>
      <c r="F2" s="397"/>
      <c r="G2" s="397"/>
      <c r="H2" s="397"/>
      <c r="I2" s="397"/>
      <c r="J2" s="397"/>
    </row>
    <row r="3" spans="1:11">
      <c r="A3" s="398" t="s">
        <v>1248</v>
      </c>
      <c r="B3" s="398"/>
      <c r="C3" s="398"/>
      <c r="D3" s="398"/>
      <c r="E3" s="398"/>
      <c r="F3" s="398"/>
      <c r="G3" s="398"/>
      <c r="H3" s="398"/>
      <c r="I3" s="398"/>
      <c r="J3" s="398"/>
    </row>
    <row r="4" spans="1:11">
      <c r="A4" s="132"/>
    </row>
    <row r="5" spans="1:11" ht="13.5" thickBot="1">
      <c r="A5" s="132"/>
      <c r="D5" s="128" t="s">
        <v>4</v>
      </c>
      <c r="E5" s="128" t="s">
        <v>5</v>
      </c>
      <c r="F5" s="128" t="s">
        <v>6</v>
      </c>
      <c r="G5" s="128" t="s">
        <v>7</v>
      </c>
      <c r="H5" s="128" t="s">
        <v>8</v>
      </c>
      <c r="I5" s="128" t="s">
        <v>9</v>
      </c>
      <c r="J5" s="128" t="s">
        <v>10</v>
      </c>
    </row>
    <row r="6" spans="1:11">
      <c r="A6" s="133"/>
      <c r="B6" s="134"/>
      <c r="C6" s="134"/>
      <c r="D6" s="134"/>
      <c r="E6" s="134"/>
      <c r="F6" s="134"/>
      <c r="G6" s="134"/>
      <c r="H6" s="134"/>
      <c r="I6" s="134"/>
      <c r="J6" s="224" t="s">
        <v>1376</v>
      </c>
    </row>
    <row r="7" spans="1:11">
      <c r="J7" s="128" t="s">
        <v>1249</v>
      </c>
    </row>
    <row r="8" spans="1:11">
      <c r="J8" s="128">
        <v>2018</v>
      </c>
    </row>
    <row r="9" spans="1:11">
      <c r="A9" s="135"/>
      <c r="B9" s="135"/>
      <c r="C9" s="135"/>
      <c r="D9" s="136">
        <v>2018</v>
      </c>
      <c r="E9" s="136">
        <v>2020</v>
      </c>
      <c r="F9" s="136">
        <f>E9+1</f>
        <v>2021</v>
      </c>
      <c r="G9" s="136">
        <f t="shared" ref="G9" si="0">F9+1</f>
        <v>2022</v>
      </c>
      <c r="H9" s="136">
        <v>2023</v>
      </c>
      <c r="I9" s="136">
        <v>2024</v>
      </c>
      <c r="J9" s="136" t="s">
        <v>1250</v>
      </c>
      <c r="K9" s="128" t="s">
        <v>1377</v>
      </c>
    </row>
    <row r="10" spans="1:11">
      <c r="D10" s="128"/>
      <c r="E10" s="128"/>
      <c r="F10" s="128"/>
      <c r="G10" s="128"/>
      <c r="H10" s="128"/>
      <c r="I10" s="128"/>
      <c r="J10" s="128"/>
    </row>
    <row r="11" spans="1:11">
      <c r="A11" s="129" t="s">
        <v>1267</v>
      </c>
      <c r="C11" s="129" t="s">
        <v>1268</v>
      </c>
    </row>
    <row r="12" spans="1:11">
      <c r="A12" s="126"/>
      <c r="B12" s="126" t="s">
        <v>1251</v>
      </c>
      <c r="C12" s="209"/>
      <c r="E12" s="137">
        <v>7.15</v>
      </c>
      <c r="F12" s="137">
        <f>AVERAGE(E12,G12)</f>
        <v>6.2</v>
      </c>
      <c r="G12" s="137">
        <v>5.25</v>
      </c>
      <c r="H12" s="137">
        <f>G12</f>
        <v>5.25</v>
      </c>
      <c r="I12" s="137">
        <f>H12</f>
        <v>5.25</v>
      </c>
    </row>
    <row r="13" spans="1:11">
      <c r="A13" s="126"/>
      <c r="B13" s="126" t="s">
        <v>1252</v>
      </c>
      <c r="C13" s="209"/>
      <c r="D13" s="135"/>
      <c r="E13" s="225">
        <v>51.75</v>
      </c>
      <c r="F13" s="138">
        <f>AVERAGE(E13,G13)</f>
        <v>51.75</v>
      </c>
      <c r="G13" s="225">
        <v>51.75</v>
      </c>
      <c r="H13" s="225">
        <f>G13</f>
        <v>51.75</v>
      </c>
      <c r="I13" s="225">
        <f>H13</f>
        <v>51.75</v>
      </c>
      <c r="J13" s="135"/>
    </row>
    <row r="14" spans="1:11">
      <c r="A14" s="126"/>
      <c r="B14" s="126" t="s">
        <v>1253</v>
      </c>
      <c r="C14" s="209"/>
      <c r="E14" s="139">
        <f>E12*E13</f>
        <v>370.01250000000005</v>
      </c>
      <c r="F14" s="139">
        <f>F12*F13</f>
        <v>320.85000000000002</v>
      </c>
      <c r="G14" s="139">
        <f t="shared" ref="G14:I14" si="1">G12*G13</f>
        <v>271.6875</v>
      </c>
      <c r="H14" s="139">
        <f t="shared" si="1"/>
        <v>271.6875</v>
      </c>
      <c r="I14" s="139">
        <f t="shared" si="1"/>
        <v>271.6875</v>
      </c>
      <c r="J14" s="226">
        <f>SUM(E14:I14)/D15</f>
        <v>0.38569946726769799</v>
      </c>
      <c r="K14" s="129">
        <f>IFERROR(RANK(J14,$J$14:$J$130,1),"")</f>
        <v>7</v>
      </c>
    </row>
    <row r="15" spans="1:11">
      <c r="A15" s="126"/>
      <c r="B15" s="126" t="s">
        <v>1250</v>
      </c>
      <c r="C15" s="209"/>
      <c r="D15" s="139">
        <v>3904.4</v>
      </c>
      <c r="K15" s="129" t="str">
        <f t="shared" ref="K15:K78" si="2">IFERROR(RANK(J15,$J$14:$J$130,1),"")</f>
        <v/>
      </c>
    </row>
    <row r="16" spans="1:11">
      <c r="A16" s="126" t="s">
        <v>1269</v>
      </c>
      <c r="C16" s="126" t="s">
        <v>1102</v>
      </c>
      <c r="K16" s="129" t="str">
        <f t="shared" si="2"/>
        <v/>
      </c>
    </row>
    <row r="17" spans="1:11">
      <c r="A17" s="126"/>
      <c r="B17" s="126" t="s">
        <v>1251</v>
      </c>
      <c r="C17" s="209"/>
      <c r="E17" s="137">
        <v>6.5</v>
      </c>
      <c r="F17" s="137">
        <f>AVERAGE(E17,G17)</f>
        <v>6.3250000000000002</v>
      </c>
      <c r="G17" s="137">
        <v>6.15</v>
      </c>
      <c r="H17" s="137">
        <f>G17</f>
        <v>6.15</v>
      </c>
      <c r="I17" s="137">
        <f>H17</f>
        <v>6.15</v>
      </c>
      <c r="K17" s="129" t="str">
        <f t="shared" si="2"/>
        <v/>
      </c>
    </row>
    <row r="18" spans="1:11">
      <c r="A18" s="126"/>
      <c r="B18" s="126" t="s">
        <v>1252</v>
      </c>
      <c r="C18" s="209"/>
      <c r="D18" s="135"/>
      <c r="E18" s="225">
        <v>242</v>
      </c>
      <c r="F18" s="138">
        <f>AVERAGE(E18,G18)</f>
        <v>246</v>
      </c>
      <c r="G18" s="225">
        <v>250</v>
      </c>
      <c r="H18" s="225">
        <f>G18</f>
        <v>250</v>
      </c>
      <c r="I18" s="225">
        <f>H18</f>
        <v>250</v>
      </c>
      <c r="J18" s="135"/>
      <c r="K18" s="129" t="str">
        <f t="shared" si="2"/>
        <v/>
      </c>
    </row>
    <row r="19" spans="1:11">
      <c r="A19" s="126"/>
      <c r="B19" s="126" t="s">
        <v>1253</v>
      </c>
      <c r="C19" s="209"/>
      <c r="E19" s="139">
        <f>E17*E18</f>
        <v>1573</v>
      </c>
      <c r="F19" s="139">
        <f>F17*F18</f>
        <v>1555.95</v>
      </c>
      <c r="G19" s="139">
        <f t="shared" ref="G19:I19" si="3">G17*G18</f>
        <v>1537.5</v>
      </c>
      <c r="H19" s="139">
        <f t="shared" si="3"/>
        <v>1537.5</v>
      </c>
      <c r="I19" s="139">
        <f t="shared" si="3"/>
        <v>1537.5</v>
      </c>
      <c r="J19" s="226">
        <f>SUM(E19:I19)/D20</f>
        <v>0.62120446156315201</v>
      </c>
      <c r="K19" s="129">
        <f t="shared" si="2"/>
        <v>20</v>
      </c>
    </row>
    <row r="20" spans="1:11">
      <c r="A20" s="126"/>
      <c r="B20" s="126" t="s">
        <v>1250</v>
      </c>
      <c r="C20" s="209"/>
      <c r="D20" s="139">
        <v>12462</v>
      </c>
      <c r="K20" s="129" t="str">
        <f t="shared" si="2"/>
        <v/>
      </c>
    </row>
    <row r="21" spans="1:11">
      <c r="A21" s="129" t="s">
        <v>1270</v>
      </c>
      <c r="C21" s="129" t="s">
        <v>930</v>
      </c>
      <c r="K21" s="129" t="str">
        <f t="shared" si="2"/>
        <v/>
      </c>
    </row>
    <row r="22" spans="1:11">
      <c r="A22" s="126"/>
      <c r="B22" s="126" t="s">
        <v>1251</v>
      </c>
      <c r="C22" s="209"/>
      <c r="E22" s="137">
        <v>13.3</v>
      </c>
      <c r="F22" s="137">
        <f>AVERAGE(E22,G22)</f>
        <v>11.775</v>
      </c>
      <c r="G22" s="137">
        <v>10.25</v>
      </c>
      <c r="H22" s="137">
        <f>G22</f>
        <v>10.25</v>
      </c>
      <c r="I22" s="137">
        <f>H22</f>
        <v>10.25</v>
      </c>
      <c r="K22" s="129" t="str">
        <f t="shared" si="2"/>
        <v/>
      </c>
    </row>
    <row r="23" spans="1:11">
      <c r="A23" s="126"/>
      <c r="B23" s="126" t="s">
        <v>1252</v>
      </c>
      <c r="C23" s="209"/>
      <c r="D23" s="135"/>
      <c r="E23" s="225">
        <v>250</v>
      </c>
      <c r="F23" s="138">
        <f>AVERAGE(E23,G23)</f>
        <v>252.5</v>
      </c>
      <c r="G23" s="225">
        <v>255</v>
      </c>
      <c r="H23" s="225">
        <f>G23</f>
        <v>255</v>
      </c>
      <c r="I23" s="225">
        <f>H23</f>
        <v>255</v>
      </c>
      <c r="J23" s="135"/>
      <c r="K23" s="129" t="str">
        <f t="shared" si="2"/>
        <v/>
      </c>
    </row>
    <row r="24" spans="1:11">
      <c r="A24" s="126"/>
      <c r="B24" s="126" t="s">
        <v>1253</v>
      </c>
      <c r="C24" s="209"/>
      <c r="E24" s="139">
        <f>E22*E23</f>
        <v>3325</v>
      </c>
      <c r="F24" s="139">
        <f t="shared" ref="F24:I24" si="4">F22*F23</f>
        <v>2973.1875</v>
      </c>
      <c r="G24" s="139">
        <f t="shared" si="4"/>
        <v>2613.75</v>
      </c>
      <c r="H24" s="139">
        <f t="shared" si="4"/>
        <v>2613.75</v>
      </c>
      <c r="I24" s="139">
        <f t="shared" si="4"/>
        <v>2613.75</v>
      </c>
      <c r="J24" s="226">
        <f>SUM(E24:I24)/D25</f>
        <v>0.61987889083735204</v>
      </c>
      <c r="K24" s="129">
        <f t="shared" si="2"/>
        <v>19</v>
      </c>
    </row>
    <row r="25" spans="1:11">
      <c r="A25" s="126"/>
      <c r="B25" s="126" t="s">
        <v>1250</v>
      </c>
      <c r="C25" s="209"/>
      <c r="D25" s="139">
        <v>22810</v>
      </c>
      <c r="K25" s="129" t="str">
        <f t="shared" si="2"/>
        <v/>
      </c>
    </row>
    <row r="26" spans="1:11">
      <c r="A26" s="126" t="s">
        <v>1271</v>
      </c>
      <c r="C26" s="126" t="s">
        <v>319</v>
      </c>
      <c r="K26" s="129" t="str">
        <f t="shared" si="2"/>
        <v/>
      </c>
    </row>
    <row r="27" spans="1:11">
      <c r="A27" s="126"/>
      <c r="B27" s="126" t="s">
        <v>1251</v>
      </c>
      <c r="C27" s="209"/>
      <c r="E27" s="137">
        <v>12.65</v>
      </c>
      <c r="F27" s="137">
        <f>AVERAGE(E27,G27)</f>
        <v>12.574999999999999</v>
      </c>
      <c r="G27" s="137">
        <v>12.5</v>
      </c>
      <c r="H27" s="137">
        <f>G27</f>
        <v>12.5</v>
      </c>
      <c r="I27" s="137">
        <f>H27</f>
        <v>12.5</v>
      </c>
      <c r="K27" s="129" t="str">
        <f t="shared" si="2"/>
        <v/>
      </c>
    </row>
    <row r="28" spans="1:11">
      <c r="A28" s="126"/>
      <c r="B28" s="126" t="s">
        <v>1252</v>
      </c>
      <c r="C28" s="209"/>
      <c r="D28" s="135"/>
      <c r="E28" s="225">
        <v>496</v>
      </c>
      <c r="F28" s="138">
        <f>AVERAGE(E28,G28)</f>
        <v>507</v>
      </c>
      <c r="G28" s="225">
        <v>518</v>
      </c>
      <c r="H28" s="225">
        <f>G28</f>
        <v>518</v>
      </c>
      <c r="I28" s="225">
        <f>H28</f>
        <v>518</v>
      </c>
      <c r="J28" s="135"/>
      <c r="K28" s="129" t="str">
        <f t="shared" si="2"/>
        <v/>
      </c>
    </row>
    <row r="29" spans="1:11">
      <c r="A29" s="126"/>
      <c r="B29" s="126" t="s">
        <v>1253</v>
      </c>
      <c r="C29" s="209"/>
      <c r="E29" s="139">
        <f>E27*E28</f>
        <v>6274.4000000000005</v>
      </c>
      <c r="F29" s="139">
        <f t="shared" ref="F29:I29" si="5">F27*F28</f>
        <v>6375.5249999999996</v>
      </c>
      <c r="G29" s="139">
        <f t="shared" si="5"/>
        <v>6475</v>
      </c>
      <c r="H29" s="139">
        <f t="shared" si="5"/>
        <v>6475</v>
      </c>
      <c r="I29" s="139">
        <f t="shared" si="5"/>
        <v>6475</v>
      </c>
      <c r="J29" s="226">
        <f>SUM(E29:I29)/D30</f>
        <v>0.58213261583694798</v>
      </c>
      <c r="K29" s="129">
        <f t="shared" si="2"/>
        <v>15</v>
      </c>
    </row>
    <row r="30" spans="1:11">
      <c r="A30" s="126"/>
      <c r="B30" s="126" t="s">
        <v>1250</v>
      </c>
      <c r="C30" s="209"/>
      <c r="D30" s="139">
        <v>55099</v>
      </c>
      <c r="K30" s="129" t="str">
        <f t="shared" si="2"/>
        <v/>
      </c>
    </row>
    <row r="31" spans="1:11">
      <c r="A31" s="126" t="s">
        <v>1272</v>
      </c>
      <c r="C31" s="126" t="s">
        <v>1273</v>
      </c>
      <c r="K31" s="129" t="str">
        <f t="shared" si="2"/>
        <v/>
      </c>
    </row>
    <row r="32" spans="1:11">
      <c r="A32" s="126"/>
      <c r="B32" s="126" t="s">
        <v>1251</v>
      </c>
      <c r="C32" s="227"/>
      <c r="E32" s="137">
        <v>6.05</v>
      </c>
      <c r="F32" s="137">
        <f>AVERAGE(E32,G32)</f>
        <v>6.0250000000000004</v>
      </c>
      <c r="G32" s="137">
        <v>6</v>
      </c>
      <c r="H32" s="137">
        <f>G32</f>
        <v>6</v>
      </c>
      <c r="I32" s="137">
        <f>H32</f>
        <v>6</v>
      </c>
      <c r="K32" s="129" t="str">
        <f t="shared" si="2"/>
        <v/>
      </c>
    </row>
    <row r="33" spans="1:11">
      <c r="A33" s="126"/>
      <c r="B33" s="126" t="s">
        <v>1252</v>
      </c>
      <c r="C33" s="227"/>
      <c r="D33" s="135"/>
      <c r="E33" s="225">
        <v>68</v>
      </c>
      <c r="F33" s="138">
        <f>AVERAGE(E33,G33)</f>
        <v>69.5</v>
      </c>
      <c r="G33" s="225">
        <v>71</v>
      </c>
      <c r="H33" s="225">
        <f>G33</f>
        <v>71</v>
      </c>
      <c r="I33" s="225">
        <f>H33</f>
        <v>71</v>
      </c>
      <c r="J33" s="135"/>
      <c r="K33" s="129" t="str">
        <f t="shared" si="2"/>
        <v/>
      </c>
    </row>
    <row r="34" spans="1:11">
      <c r="A34" s="126"/>
      <c r="B34" s="126" t="s">
        <v>1253</v>
      </c>
      <c r="C34" s="227"/>
      <c r="E34" s="139">
        <f>E32*E33</f>
        <v>411.4</v>
      </c>
      <c r="F34" s="139">
        <f t="shared" ref="F34:I34" si="6">F32*F33</f>
        <v>418.73750000000001</v>
      </c>
      <c r="G34" s="139">
        <f t="shared" si="6"/>
        <v>426</v>
      </c>
      <c r="H34" s="139">
        <f t="shared" si="6"/>
        <v>426</v>
      </c>
      <c r="I34" s="139">
        <f t="shared" si="6"/>
        <v>426</v>
      </c>
      <c r="J34" s="226">
        <f>SUM(E34:I34)/D35</f>
        <v>0.45347017574049775</v>
      </c>
      <c r="K34" s="129">
        <f t="shared" si="2"/>
        <v>11</v>
      </c>
    </row>
    <row r="35" spans="1:11">
      <c r="A35" s="126"/>
      <c r="B35" s="126" t="s">
        <v>1250</v>
      </c>
      <c r="C35" s="227"/>
      <c r="D35" s="139">
        <v>4648.8999999999996</v>
      </c>
      <c r="K35" s="129" t="str">
        <f t="shared" si="2"/>
        <v/>
      </c>
    </row>
    <row r="36" spans="1:11">
      <c r="A36" s="126" t="s">
        <v>1274</v>
      </c>
      <c r="C36" s="126" t="s">
        <v>474</v>
      </c>
      <c r="K36" s="129" t="str">
        <f t="shared" si="2"/>
        <v/>
      </c>
    </row>
    <row r="37" spans="1:11">
      <c r="A37" s="126"/>
      <c r="B37" s="126" t="s">
        <v>1251</v>
      </c>
      <c r="C37" s="227"/>
      <c r="E37" s="137">
        <v>4.95</v>
      </c>
      <c r="F37" s="137">
        <f>AVERAGE(E37,G37)</f>
        <v>4.9749999999999996</v>
      </c>
      <c r="G37" s="137">
        <v>5</v>
      </c>
      <c r="H37" s="137">
        <f>G37</f>
        <v>5</v>
      </c>
      <c r="I37" s="137">
        <f>H37</f>
        <v>5</v>
      </c>
      <c r="K37" s="129" t="str">
        <f t="shared" si="2"/>
        <v/>
      </c>
    </row>
    <row r="38" spans="1:11">
      <c r="A38" s="126"/>
      <c r="B38" s="126" t="s">
        <v>1252</v>
      </c>
      <c r="C38" s="227"/>
      <c r="D38" s="135"/>
      <c r="E38" s="225">
        <v>504</v>
      </c>
      <c r="F38" s="138">
        <f>AVERAGE(E38,G38)</f>
        <v>522</v>
      </c>
      <c r="G38" s="225">
        <v>540</v>
      </c>
      <c r="H38" s="225">
        <f>G38</f>
        <v>540</v>
      </c>
      <c r="I38" s="225">
        <f>H38</f>
        <v>540</v>
      </c>
      <c r="J38" s="135"/>
      <c r="K38" s="129" t="str">
        <f t="shared" si="2"/>
        <v/>
      </c>
    </row>
    <row r="39" spans="1:11">
      <c r="A39" s="126"/>
      <c r="B39" s="126" t="s">
        <v>1253</v>
      </c>
      <c r="C39" s="227"/>
      <c r="E39" s="139">
        <f>E37*E38</f>
        <v>2494.8000000000002</v>
      </c>
      <c r="F39" s="139">
        <f t="shared" ref="F39:I39" si="7">F37*F38</f>
        <v>2596.9499999999998</v>
      </c>
      <c r="G39" s="139">
        <f t="shared" si="7"/>
        <v>2700</v>
      </c>
      <c r="H39" s="139">
        <f t="shared" si="7"/>
        <v>2700</v>
      </c>
      <c r="I39" s="139">
        <f t="shared" si="7"/>
        <v>2700</v>
      </c>
      <c r="J39" s="226">
        <f>SUM(E39:I39)/D40</f>
        <v>0.93931572201651947</v>
      </c>
      <c r="K39" s="129">
        <f t="shared" si="2"/>
        <v>24</v>
      </c>
    </row>
    <row r="40" spans="1:11">
      <c r="A40" s="126"/>
      <c r="B40" s="126" t="s">
        <v>1250</v>
      </c>
      <c r="C40" s="227"/>
      <c r="D40" s="139">
        <v>14044</v>
      </c>
      <c r="K40" s="129" t="str">
        <f t="shared" si="2"/>
        <v/>
      </c>
    </row>
    <row r="41" spans="1:11">
      <c r="A41" s="126" t="s">
        <v>1275</v>
      </c>
      <c r="C41" s="126" t="s">
        <v>381</v>
      </c>
      <c r="K41" s="129" t="str">
        <f t="shared" si="2"/>
        <v/>
      </c>
    </row>
    <row r="42" spans="1:11">
      <c r="A42" s="126"/>
      <c r="B42" s="126" t="s">
        <v>1251</v>
      </c>
      <c r="C42" s="227"/>
      <c r="E42" s="137">
        <v>8.35</v>
      </c>
      <c r="F42" s="137">
        <f>AVERAGE(E42,G42)</f>
        <v>7.9249999999999998</v>
      </c>
      <c r="G42" s="137">
        <v>7.5</v>
      </c>
      <c r="H42" s="137">
        <f>G42</f>
        <v>7.5</v>
      </c>
      <c r="I42" s="137">
        <f>H42</f>
        <v>7.5</v>
      </c>
      <c r="K42" s="129" t="str">
        <f t="shared" si="2"/>
        <v/>
      </c>
    </row>
    <row r="43" spans="1:11">
      <c r="A43" s="126"/>
      <c r="B43" s="126" t="s">
        <v>1252</v>
      </c>
      <c r="C43" s="227"/>
      <c r="D43" s="135"/>
      <c r="E43" s="225">
        <v>288</v>
      </c>
      <c r="F43" s="138">
        <f>AVERAGE(E43,G43)</f>
        <v>156.25</v>
      </c>
      <c r="G43" s="225">
        <v>24.5</v>
      </c>
      <c r="H43" s="225">
        <f>G43</f>
        <v>24.5</v>
      </c>
      <c r="I43" s="225">
        <f>H43</f>
        <v>24.5</v>
      </c>
      <c r="J43" s="135"/>
      <c r="K43" s="129" t="str">
        <f t="shared" si="2"/>
        <v/>
      </c>
    </row>
    <row r="44" spans="1:11">
      <c r="A44" s="126"/>
      <c r="B44" s="126" t="s">
        <v>1253</v>
      </c>
      <c r="C44" s="227"/>
      <c r="E44" s="139">
        <f>E42*E43</f>
        <v>2404.7999999999997</v>
      </c>
      <c r="F44" s="139">
        <f t="shared" ref="F44:I44" si="8">F42*F43</f>
        <v>1238.28125</v>
      </c>
      <c r="G44" s="139">
        <f t="shared" si="8"/>
        <v>183.75</v>
      </c>
      <c r="H44" s="139">
        <f t="shared" si="8"/>
        <v>183.75</v>
      </c>
      <c r="I44" s="139">
        <f t="shared" si="8"/>
        <v>183.75</v>
      </c>
      <c r="J44" s="226">
        <f>SUM(E44:I44)/D45</f>
        <v>0.23139861249034532</v>
      </c>
      <c r="K44" s="129">
        <f t="shared" si="2"/>
        <v>2</v>
      </c>
    </row>
    <row r="45" spans="1:11">
      <c r="A45" s="126"/>
      <c r="B45" s="126" t="s">
        <v>1250</v>
      </c>
      <c r="C45" s="227"/>
      <c r="D45" s="139">
        <v>18126</v>
      </c>
      <c r="K45" s="129" t="str">
        <f t="shared" si="2"/>
        <v/>
      </c>
    </row>
    <row r="46" spans="1:11">
      <c r="A46" s="126" t="s">
        <v>1276</v>
      </c>
      <c r="C46" s="126" t="s">
        <v>405</v>
      </c>
      <c r="K46" s="129" t="str">
        <f t="shared" si="2"/>
        <v/>
      </c>
    </row>
    <row r="47" spans="1:11">
      <c r="A47" s="126"/>
      <c r="B47" s="126" t="s">
        <v>1251</v>
      </c>
      <c r="C47" s="227"/>
      <c r="E47" s="137">
        <v>8.4499999999999993</v>
      </c>
      <c r="F47" s="137">
        <f>AVERAGE(E47,G47)</f>
        <v>8.1</v>
      </c>
      <c r="G47" s="137">
        <v>7.75</v>
      </c>
      <c r="H47" s="137">
        <f>G47</f>
        <v>7.75</v>
      </c>
      <c r="I47" s="137">
        <f>H47</f>
        <v>7.75</v>
      </c>
      <c r="K47" s="129" t="str">
        <f t="shared" si="2"/>
        <v/>
      </c>
    </row>
    <row r="48" spans="1:11">
      <c r="A48" s="126"/>
      <c r="B48" s="126" t="s">
        <v>1252</v>
      </c>
      <c r="C48" s="227"/>
      <c r="D48" s="135"/>
      <c r="E48" s="225">
        <v>816</v>
      </c>
      <c r="F48" s="138">
        <f>AVERAGE(E48,G48)</f>
        <v>838</v>
      </c>
      <c r="G48" s="225">
        <v>860</v>
      </c>
      <c r="H48" s="225">
        <f>G48</f>
        <v>860</v>
      </c>
      <c r="I48" s="225">
        <f>H48</f>
        <v>860</v>
      </c>
      <c r="J48" s="135"/>
      <c r="K48" s="129" t="str">
        <f t="shared" si="2"/>
        <v/>
      </c>
    </row>
    <row r="49" spans="1:11">
      <c r="A49" s="126"/>
      <c r="B49" s="126" t="s">
        <v>1253</v>
      </c>
      <c r="C49" s="227"/>
      <c r="E49" s="139">
        <f>E47*E48</f>
        <v>6895.2</v>
      </c>
      <c r="F49" s="139">
        <f t="shared" ref="F49:I49" si="9">F47*F48</f>
        <v>6787.7999999999993</v>
      </c>
      <c r="G49" s="139">
        <f t="shared" si="9"/>
        <v>6665</v>
      </c>
      <c r="H49" s="139">
        <f t="shared" si="9"/>
        <v>6665</v>
      </c>
      <c r="I49" s="139">
        <f t="shared" si="9"/>
        <v>6665</v>
      </c>
      <c r="J49" s="226">
        <f>SUM(E49:I49)/D50</f>
        <v>0.61726539589442819</v>
      </c>
      <c r="K49" s="129">
        <f t="shared" si="2"/>
        <v>18</v>
      </c>
    </row>
    <row r="50" spans="1:11">
      <c r="A50" s="126"/>
      <c r="B50" s="126" t="s">
        <v>1250</v>
      </c>
      <c r="C50" s="227"/>
      <c r="D50" s="139">
        <v>54560</v>
      </c>
      <c r="K50" s="129" t="str">
        <f t="shared" si="2"/>
        <v/>
      </c>
    </row>
    <row r="51" spans="1:11">
      <c r="A51" s="126" t="s">
        <v>1277</v>
      </c>
      <c r="C51" s="126" t="s">
        <v>983</v>
      </c>
      <c r="K51" s="129" t="str">
        <f t="shared" si="2"/>
        <v/>
      </c>
    </row>
    <row r="52" spans="1:11">
      <c r="A52" s="126"/>
      <c r="B52" s="126" t="s">
        <v>1251</v>
      </c>
      <c r="C52" s="227"/>
      <c r="E52" s="137">
        <v>12.75</v>
      </c>
      <c r="F52" s="137">
        <f>AVERAGE(E52,G52)</f>
        <v>12.875</v>
      </c>
      <c r="G52" s="137">
        <v>13</v>
      </c>
      <c r="H52" s="137">
        <f>G52</f>
        <v>13</v>
      </c>
      <c r="I52" s="137">
        <f>H52</f>
        <v>13</v>
      </c>
      <c r="K52" s="129" t="str">
        <f t="shared" si="2"/>
        <v/>
      </c>
    </row>
    <row r="53" spans="1:11">
      <c r="A53" s="126"/>
      <c r="B53" s="126" t="s">
        <v>1252</v>
      </c>
      <c r="C53" s="227"/>
      <c r="D53" s="135"/>
      <c r="E53" s="225">
        <v>196</v>
      </c>
      <c r="F53" s="138">
        <f>AVERAGE(E53,G53)</f>
        <v>198</v>
      </c>
      <c r="G53" s="225">
        <v>200</v>
      </c>
      <c r="H53" s="225">
        <f>G53</f>
        <v>200</v>
      </c>
      <c r="I53" s="225">
        <f>H53</f>
        <v>200</v>
      </c>
      <c r="J53" s="135"/>
      <c r="K53" s="129" t="str">
        <f t="shared" si="2"/>
        <v/>
      </c>
    </row>
    <row r="54" spans="1:11">
      <c r="A54" s="126"/>
      <c r="B54" s="126" t="s">
        <v>1253</v>
      </c>
      <c r="C54" s="227"/>
      <c r="E54" s="139">
        <f>E52*E53</f>
        <v>2499</v>
      </c>
      <c r="F54" s="139">
        <f t="shared" ref="F54:I54" si="10">F52*F53</f>
        <v>2549.25</v>
      </c>
      <c r="G54" s="139">
        <f t="shared" si="10"/>
        <v>2600</v>
      </c>
      <c r="H54" s="139">
        <f t="shared" si="10"/>
        <v>2600</v>
      </c>
      <c r="I54" s="139">
        <f t="shared" si="10"/>
        <v>2600</v>
      </c>
      <c r="J54" s="226">
        <f>SUM(E54:I54)/D55</f>
        <v>0.59345265588914553</v>
      </c>
      <c r="K54" s="129">
        <f t="shared" si="2"/>
        <v>16</v>
      </c>
    </row>
    <row r="55" spans="1:11">
      <c r="A55" s="126"/>
      <c r="B55" s="126" t="s">
        <v>1250</v>
      </c>
      <c r="C55" s="227"/>
      <c r="D55" s="139">
        <v>21650</v>
      </c>
      <c r="K55" s="129" t="str">
        <f t="shared" si="2"/>
        <v/>
      </c>
    </row>
    <row r="56" spans="1:11">
      <c r="A56" s="126" t="s">
        <v>1278</v>
      </c>
      <c r="C56" s="126" t="s">
        <v>409</v>
      </c>
      <c r="K56" s="129" t="str">
        <f t="shared" si="2"/>
        <v/>
      </c>
    </row>
    <row r="57" spans="1:11">
      <c r="A57" s="126"/>
      <c r="B57" s="126" t="s">
        <v>1251</v>
      </c>
      <c r="C57" s="227"/>
      <c r="E57" s="137">
        <v>14.3</v>
      </c>
      <c r="F57" s="137">
        <f>AVERAGE(E57,G57)</f>
        <v>13.525</v>
      </c>
      <c r="G57" s="137">
        <v>12.75</v>
      </c>
      <c r="H57" s="137">
        <f>G57</f>
        <v>12.75</v>
      </c>
      <c r="I57" s="137">
        <f>H57</f>
        <v>12.75</v>
      </c>
      <c r="K57" s="129" t="str">
        <f t="shared" si="2"/>
        <v/>
      </c>
    </row>
    <row r="58" spans="1:11">
      <c r="A58" s="126"/>
      <c r="B58" s="126" t="s">
        <v>1252</v>
      </c>
      <c r="C58" s="227"/>
      <c r="D58" s="135"/>
      <c r="E58" s="225">
        <v>736</v>
      </c>
      <c r="F58" s="138">
        <f>AVERAGE(E58,G58)</f>
        <v>745.5</v>
      </c>
      <c r="G58" s="225">
        <v>755</v>
      </c>
      <c r="H58" s="225">
        <f>G58</f>
        <v>755</v>
      </c>
      <c r="I58" s="225">
        <f>H58</f>
        <v>755</v>
      </c>
      <c r="J58" s="135"/>
      <c r="K58" s="129" t="str">
        <f t="shared" si="2"/>
        <v/>
      </c>
    </row>
    <row r="59" spans="1:11">
      <c r="A59" s="126"/>
      <c r="B59" s="126" t="s">
        <v>1253</v>
      </c>
      <c r="C59" s="227"/>
      <c r="E59" s="139">
        <f>E57*E58</f>
        <v>10524.800000000001</v>
      </c>
      <c r="F59" s="139">
        <f t="shared" ref="F59:I59" si="11">F57*F58</f>
        <v>10082.887500000001</v>
      </c>
      <c r="G59" s="139">
        <f t="shared" si="11"/>
        <v>9626.25</v>
      </c>
      <c r="H59" s="139">
        <f t="shared" si="11"/>
        <v>9626.25</v>
      </c>
      <c r="I59" s="139">
        <f t="shared" si="11"/>
        <v>9626.25</v>
      </c>
      <c r="J59" s="226">
        <f>SUM(E59:I59)/D60</f>
        <v>0.53969111937531355</v>
      </c>
      <c r="K59" s="129">
        <f t="shared" si="2"/>
        <v>14</v>
      </c>
    </row>
    <row r="60" spans="1:11">
      <c r="A60" s="126"/>
      <c r="B60" s="126" t="s">
        <v>1250</v>
      </c>
      <c r="C60" s="227"/>
      <c r="D60" s="139">
        <v>91694</v>
      </c>
      <c r="K60" s="129" t="str">
        <f t="shared" si="2"/>
        <v/>
      </c>
    </row>
    <row r="61" spans="1:11">
      <c r="A61" s="126" t="s">
        <v>1279</v>
      </c>
      <c r="C61" s="126" t="s">
        <v>423</v>
      </c>
      <c r="K61" s="129" t="str">
        <f t="shared" si="2"/>
        <v/>
      </c>
    </row>
    <row r="62" spans="1:11">
      <c r="A62" s="126"/>
      <c r="B62" s="126" t="s">
        <v>1251</v>
      </c>
      <c r="C62" s="227"/>
      <c r="E62" s="137">
        <v>19.55</v>
      </c>
      <c r="F62" s="137">
        <f>AVERAGE(E62,G62)</f>
        <v>19.899999999999999</v>
      </c>
      <c r="G62" s="137">
        <v>20.25</v>
      </c>
      <c r="H62" s="137">
        <f>G62</f>
        <v>20.25</v>
      </c>
      <c r="I62" s="137">
        <f>H62</f>
        <v>20.25</v>
      </c>
      <c r="K62" s="129" t="str">
        <f t="shared" si="2"/>
        <v/>
      </c>
    </row>
    <row r="63" spans="1:11">
      <c r="A63" s="126"/>
      <c r="B63" s="126" t="s">
        <v>1252</v>
      </c>
      <c r="C63" s="227"/>
      <c r="D63" s="135"/>
      <c r="E63" s="225">
        <v>200</v>
      </c>
      <c r="F63" s="138">
        <f>AVERAGE(E63,G63)</f>
        <v>205</v>
      </c>
      <c r="G63" s="225">
        <v>210</v>
      </c>
      <c r="H63" s="225">
        <f>G63</f>
        <v>210</v>
      </c>
      <c r="I63" s="225">
        <f>H63</f>
        <v>210</v>
      </c>
      <c r="J63" s="135"/>
      <c r="K63" s="129" t="str">
        <f t="shared" si="2"/>
        <v/>
      </c>
    </row>
    <row r="64" spans="1:11">
      <c r="A64" s="126"/>
      <c r="B64" s="126" t="s">
        <v>1253</v>
      </c>
      <c r="C64" s="227"/>
      <c r="E64" s="139">
        <f>E62*E63</f>
        <v>3910</v>
      </c>
      <c r="F64" s="139">
        <f>F62*F63</f>
        <v>4079.4999999999995</v>
      </c>
      <c r="G64" s="139">
        <f t="shared" ref="G64:I64" si="12">G62*G63</f>
        <v>4252.5</v>
      </c>
      <c r="H64" s="139">
        <f t="shared" si="12"/>
        <v>4252.5</v>
      </c>
      <c r="I64" s="139">
        <f t="shared" si="12"/>
        <v>4252.5</v>
      </c>
      <c r="J64" s="226">
        <f>SUM(E64:I64)/D65</f>
        <v>0.64887095765309311</v>
      </c>
      <c r="K64" s="129">
        <f t="shared" si="2"/>
        <v>22</v>
      </c>
    </row>
    <row r="65" spans="1:11">
      <c r="A65" s="126"/>
      <c r="B65" s="126" t="s">
        <v>1250</v>
      </c>
      <c r="C65" s="227"/>
      <c r="D65" s="139">
        <v>31974</v>
      </c>
      <c r="K65" s="129" t="str">
        <f t="shared" si="2"/>
        <v/>
      </c>
    </row>
    <row r="66" spans="1:11">
      <c r="A66" s="126" t="s">
        <v>1281</v>
      </c>
      <c r="C66" s="126" t="s">
        <v>1034</v>
      </c>
      <c r="K66" s="129" t="str">
        <f t="shared" si="2"/>
        <v/>
      </c>
    </row>
    <row r="67" spans="1:11">
      <c r="A67" s="126"/>
      <c r="B67" s="126" t="s">
        <v>1251</v>
      </c>
      <c r="C67" s="227"/>
      <c r="E67" s="137">
        <v>6.3</v>
      </c>
      <c r="F67" s="137">
        <f>AVERAGE(E67,G67)</f>
        <v>6.0250000000000004</v>
      </c>
      <c r="G67" s="137">
        <v>5.75</v>
      </c>
      <c r="H67" s="137">
        <f>G67</f>
        <v>5.75</v>
      </c>
      <c r="I67" s="137">
        <f>H67</f>
        <v>5.75</v>
      </c>
      <c r="K67" s="129" t="str">
        <f t="shared" si="2"/>
        <v/>
      </c>
    </row>
    <row r="68" spans="1:11">
      <c r="A68" s="126"/>
      <c r="B68" s="126" t="s">
        <v>1252</v>
      </c>
      <c r="C68" s="227"/>
      <c r="D68" s="135"/>
      <c r="E68" s="225">
        <v>212</v>
      </c>
      <c r="F68" s="138">
        <f>AVERAGE(E68,G68)</f>
        <v>212</v>
      </c>
      <c r="G68" s="225">
        <v>212</v>
      </c>
      <c r="H68" s="225">
        <f>G68</f>
        <v>212</v>
      </c>
      <c r="I68" s="225">
        <f>H68</f>
        <v>212</v>
      </c>
      <c r="J68" s="135"/>
      <c r="K68" s="129" t="str">
        <f t="shared" si="2"/>
        <v/>
      </c>
    </row>
    <row r="69" spans="1:11">
      <c r="A69" s="126"/>
      <c r="B69" s="126" t="s">
        <v>1253</v>
      </c>
      <c r="C69" s="227"/>
      <c r="E69" s="139">
        <f>E67*E68</f>
        <v>1335.6</v>
      </c>
      <c r="F69" s="139">
        <f t="shared" ref="F69:I69" si="13">F67*F68</f>
        <v>1277.3000000000002</v>
      </c>
      <c r="G69" s="139">
        <f t="shared" si="13"/>
        <v>1219</v>
      </c>
      <c r="H69" s="139">
        <f t="shared" si="13"/>
        <v>1219</v>
      </c>
      <c r="I69" s="139">
        <f t="shared" si="13"/>
        <v>1219</v>
      </c>
      <c r="J69" s="226">
        <f>SUM(E69:I69)/D70</f>
        <v>0.33083051920641621</v>
      </c>
      <c r="K69" s="129">
        <f t="shared" si="2"/>
        <v>3</v>
      </c>
    </row>
    <row r="70" spans="1:11">
      <c r="A70" s="126"/>
      <c r="B70" s="126" t="s">
        <v>1250</v>
      </c>
      <c r="C70" s="227"/>
      <c r="D70" s="139">
        <v>18952</v>
      </c>
      <c r="K70" s="129" t="str">
        <f t="shared" si="2"/>
        <v/>
      </c>
    </row>
    <row r="71" spans="1:11">
      <c r="A71" s="126" t="s">
        <v>1280</v>
      </c>
      <c r="C71" s="126" t="s">
        <v>922</v>
      </c>
      <c r="K71" s="129" t="str">
        <f t="shared" si="2"/>
        <v/>
      </c>
    </row>
    <row r="72" spans="1:11">
      <c r="A72" s="126"/>
      <c r="B72" s="126" t="s">
        <v>1251</v>
      </c>
      <c r="C72" s="227"/>
      <c r="E72" s="137">
        <v>5.3</v>
      </c>
      <c r="F72" s="137">
        <f>AVERAGE(E72,G72)</f>
        <v>5.2750000000000004</v>
      </c>
      <c r="G72" s="137">
        <v>5.25</v>
      </c>
      <c r="H72" s="137">
        <f>G72</f>
        <v>5.25</v>
      </c>
      <c r="I72" s="137">
        <f>H72</f>
        <v>5.25</v>
      </c>
      <c r="K72" s="129" t="str">
        <f t="shared" si="2"/>
        <v/>
      </c>
    </row>
    <row r="73" spans="1:11">
      <c r="A73" s="126"/>
      <c r="B73" s="126" t="s">
        <v>1252</v>
      </c>
      <c r="C73" s="227"/>
      <c r="D73" s="135"/>
      <c r="E73" s="225">
        <v>543</v>
      </c>
      <c r="F73" s="138">
        <f>AVERAGE(E73,G73)</f>
        <v>546.5</v>
      </c>
      <c r="G73" s="225">
        <v>550</v>
      </c>
      <c r="H73" s="225">
        <f>G73</f>
        <v>550</v>
      </c>
      <c r="I73" s="225">
        <f>H73</f>
        <v>550</v>
      </c>
      <c r="J73" s="135"/>
      <c r="K73" s="129" t="str">
        <f t="shared" si="2"/>
        <v/>
      </c>
    </row>
    <row r="74" spans="1:11">
      <c r="A74" s="126"/>
      <c r="B74" s="126" t="s">
        <v>1253</v>
      </c>
      <c r="C74" s="227"/>
      <c r="E74" s="139">
        <f>E72*E73</f>
        <v>2877.9</v>
      </c>
      <c r="F74" s="139">
        <f t="shared" ref="F74:I74" si="14">F72*F73</f>
        <v>2882.7875000000004</v>
      </c>
      <c r="G74" s="139">
        <f t="shared" si="14"/>
        <v>2887.5</v>
      </c>
      <c r="H74" s="139">
        <f t="shared" si="14"/>
        <v>2887.5</v>
      </c>
      <c r="I74" s="139">
        <f t="shared" si="14"/>
        <v>2887.5</v>
      </c>
      <c r="J74" s="226">
        <f>SUM(E74:I74)/D75</f>
        <v>0.48220345357895089</v>
      </c>
      <c r="K74" s="129">
        <f t="shared" si="2"/>
        <v>13</v>
      </c>
    </row>
    <row r="75" spans="1:11">
      <c r="A75" s="126"/>
      <c r="B75" s="126" t="s">
        <v>1250</v>
      </c>
      <c r="C75" s="227"/>
      <c r="D75" s="139">
        <v>29911</v>
      </c>
      <c r="K75" s="129" t="str">
        <f t="shared" si="2"/>
        <v/>
      </c>
    </row>
    <row r="76" spans="1:11">
      <c r="A76" s="126" t="s">
        <v>1282</v>
      </c>
      <c r="C76" s="126" t="s">
        <v>1283</v>
      </c>
      <c r="K76" s="129" t="str">
        <f t="shared" si="2"/>
        <v/>
      </c>
    </row>
    <row r="77" spans="1:11">
      <c r="A77" s="126"/>
      <c r="B77" s="126" t="s">
        <v>1251</v>
      </c>
      <c r="C77" s="227"/>
      <c r="E77" s="137">
        <v>6.55</v>
      </c>
      <c r="F77" s="137">
        <f>AVERAGE(E77,G77)</f>
        <v>6.9</v>
      </c>
      <c r="G77" s="137">
        <v>7.25</v>
      </c>
      <c r="H77" s="137">
        <f>G77</f>
        <v>7.25</v>
      </c>
      <c r="I77" s="137">
        <f>H77</f>
        <v>7.25</v>
      </c>
      <c r="K77" s="129" t="str">
        <f t="shared" si="2"/>
        <v/>
      </c>
    </row>
    <row r="78" spans="1:11">
      <c r="A78" s="126"/>
      <c r="B78" s="126" t="s">
        <v>1252</v>
      </c>
      <c r="C78" s="227"/>
      <c r="D78" s="135"/>
      <c r="E78" s="225">
        <v>50.4</v>
      </c>
      <c r="F78" s="138">
        <f>AVERAGE(E78,G78)</f>
        <v>50.4</v>
      </c>
      <c r="G78" s="225">
        <v>50.4</v>
      </c>
      <c r="H78" s="225">
        <f>G78</f>
        <v>50.4</v>
      </c>
      <c r="I78" s="225">
        <f>H78</f>
        <v>50.4</v>
      </c>
      <c r="J78" s="135"/>
      <c r="K78" s="129" t="str">
        <f t="shared" si="2"/>
        <v/>
      </c>
    </row>
    <row r="79" spans="1:11">
      <c r="A79" s="126"/>
      <c r="B79" s="126" t="s">
        <v>1253</v>
      </c>
      <c r="C79" s="227"/>
      <c r="E79" s="139">
        <f>E77*E78</f>
        <v>330.12</v>
      </c>
      <c r="F79" s="139">
        <f t="shared" ref="F79:I79" si="15">F77*F78</f>
        <v>347.76</v>
      </c>
      <c r="G79" s="139">
        <f t="shared" si="15"/>
        <v>365.4</v>
      </c>
      <c r="H79" s="139">
        <f t="shared" si="15"/>
        <v>365.4</v>
      </c>
      <c r="I79" s="139">
        <f t="shared" si="15"/>
        <v>365.4</v>
      </c>
      <c r="J79" s="226">
        <f>SUM(E79:I79)/D80</f>
        <v>0.40359442182132538</v>
      </c>
      <c r="K79" s="129">
        <f t="shared" ref="K79:K131" si="16">IFERROR(RANK(J79,$J$14:$J$130,1),"")</f>
        <v>10</v>
      </c>
    </row>
    <row r="80" spans="1:11">
      <c r="A80" s="126"/>
      <c r="B80" s="126" t="s">
        <v>1250</v>
      </c>
      <c r="C80" s="227"/>
      <c r="D80" s="139">
        <v>4395.7</v>
      </c>
      <c r="K80" s="129" t="str">
        <f t="shared" si="16"/>
        <v/>
      </c>
    </row>
    <row r="81" spans="1:11">
      <c r="A81" s="126" t="s">
        <v>1284</v>
      </c>
      <c r="C81" s="126" t="s">
        <v>438</v>
      </c>
      <c r="D81" s="139"/>
      <c r="K81" s="129" t="str">
        <f t="shared" si="16"/>
        <v/>
      </c>
    </row>
    <row r="82" spans="1:11">
      <c r="A82" s="126"/>
      <c r="B82" s="126" t="s">
        <v>1251</v>
      </c>
      <c r="C82" s="227"/>
      <c r="E82" s="137">
        <v>18.7</v>
      </c>
      <c r="F82" s="137">
        <f>AVERAGE(E82,G82)</f>
        <v>18.725000000000001</v>
      </c>
      <c r="G82" s="137">
        <v>18.75</v>
      </c>
      <c r="H82" s="137">
        <f>G82</f>
        <v>18.75</v>
      </c>
      <c r="I82" s="137">
        <f>H82</f>
        <v>18.75</v>
      </c>
      <c r="K82" s="129" t="str">
        <f t="shared" si="16"/>
        <v/>
      </c>
    </row>
    <row r="83" spans="1:11">
      <c r="A83" s="126"/>
      <c r="B83" s="126" t="s">
        <v>1252</v>
      </c>
      <c r="C83" s="227"/>
      <c r="D83" s="135"/>
      <c r="E83" s="225">
        <v>535</v>
      </c>
      <c r="F83" s="138">
        <f>AVERAGE(E83,G83)</f>
        <v>535</v>
      </c>
      <c r="G83" s="225">
        <v>535</v>
      </c>
      <c r="H83" s="225">
        <f>G83</f>
        <v>535</v>
      </c>
      <c r="I83" s="225">
        <f>H83</f>
        <v>535</v>
      </c>
      <c r="J83" s="135"/>
      <c r="K83" s="129" t="str">
        <f t="shared" si="16"/>
        <v/>
      </c>
    </row>
    <row r="84" spans="1:11">
      <c r="A84" s="126"/>
      <c r="B84" s="126" t="s">
        <v>1253</v>
      </c>
      <c r="C84" s="227"/>
      <c r="E84" s="139">
        <f>E82*E83</f>
        <v>10004.5</v>
      </c>
      <c r="F84" s="139">
        <f t="shared" ref="F84:I84" si="17">F82*F83</f>
        <v>10017.875</v>
      </c>
      <c r="G84" s="139">
        <f t="shared" si="17"/>
        <v>10031.25</v>
      </c>
      <c r="H84" s="139">
        <f t="shared" si="17"/>
        <v>10031.25</v>
      </c>
      <c r="I84" s="139">
        <f t="shared" si="17"/>
        <v>10031.25</v>
      </c>
      <c r="J84" s="226">
        <f>SUM(E84:I84)/D85</f>
        <v>0.71254478630534313</v>
      </c>
      <c r="K84" s="129">
        <f t="shared" si="16"/>
        <v>23</v>
      </c>
    </row>
    <row r="85" spans="1:11">
      <c r="A85" s="126"/>
      <c r="B85" s="126" t="s">
        <v>1250</v>
      </c>
      <c r="C85" s="227"/>
      <c r="D85" s="139">
        <v>70334</v>
      </c>
      <c r="K85" s="129" t="str">
        <f t="shared" si="16"/>
        <v/>
      </c>
    </row>
    <row r="86" spans="1:11">
      <c r="A86" s="126" t="s">
        <v>1285</v>
      </c>
      <c r="C86" s="126" t="s">
        <v>1286</v>
      </c>
      <c r="K86" s="129" t="str">
        <f t="shared" si="16"/>
        <v/>
      </c>
    </row>
    <row r="87" spans="1:11">
      <c r="A87" s="126"/>
      <c r="B87" s="126" t="s">
        <v>1251</v>
      </c>
      <c r="C87" s="227"/>
      <c r="E87" s="137">
        <v>6.55</v>
      </c>
      <c r="F87" s="137">
        <f>AVERAGE(E87,G87)</f>
        <v>6.2750000000000004</v>
      </c>
      <c r="G87" s="137">
        <v>6</v>
      </c>
      <c r="H87" s="137">
        <f>G87</f>
        <v>6</v>
      </c>
      <c r="I87" s="137">
        <f>H87</f>
        <v>6</v>
      </c>
      <c r="K87" s="129" t="str">
        <f t="shared" si="16"/>
        <v/>
      </c>
    </row>
    <row r="88" spans="1:11">
      <c r="A88" s="126"/>
      <c r="B88" s="126" t="s">
        <v>1252</v>
      </c>
      <c r="C88" s="227"/>
      <c r="D88" s="135"/>
      <c r="E88" s="225">
        <v>50.65</v>
      </c>
      <c r="F88" s="138">
        <f>AVERAGE(E88,G88)</f>
        <v>50.875</v>
      </c>
      <c r="G88" s="225">
        <v>51.1</v>
      </c>
      <c r="H88" s="225">
        <f>G88</f>
        <v>51.1</v>
      </c>
      <c r="I88" s="225">
        <f>H88</f>
        <v>51.1</v>
      </c>
      <c r="J88" s="135"/>
      <c r="K88" s="129" t="str">
        <f t="shared" si="16"/>
        <v/>
      </c>
    </row>
    <row r="89" spans="1:11">
      <c r="A89" s="126"/>
      <c r="B89" s="126" t="s">
        <v>1253</v>
      </c>
      <c r="C89" s="227"/>
      <c r="E89" s="139">
        <f>E87*E88</f>
        <v>331.75749999999999</v>
      </c>
      <c r="F89" s="139">
        <f>F87*F88</f>
        <v>319.24062500000002</v>
      </c>
      <c r="G89" s="139">
        <f t="shared" ref="G89:I89" si="18">G87*G88</f>
        <v>306.60000000000002</v>
      </c>
      <c r="H89" s="139">
        <f t="shared" si="18"/>
        <v>306.60000000000002</v>
      </c>
      <c r="I89" s="139">
        <f t="shared" si="18"/>
        <v>306.60000000000002</v>
      </c>
      <c r="J89" s="226">
        <f>SUM(E89:I89)/D90</f>
        <v>0.34742178687545622</v>
      </c>
      <c r="K89" s="129">
        <f t="shared" si="16"/>
        <v>5</v>
      </c>
    </row>
    <row r="90" spans="1:11">
      <c r="A90" s="126"/>
      <c r="B90" s="126" t="s">
        <v>1250</v>
      </c>
      <c r="C90" s="227"/>
      <c r="D90" s="139">
        <v>4521.3</v>
      </c>
      <c r="K90" s="129" t="str">
        <f t="shared" si="16"/>
        <v/>
      </c>
    </row>
    <row r="91" spans="1:11">
      <c r="A91" s="126" t="s">
        <v>1287</v>
      </c>
      <c r="C91" s="126" t="s">
        <v>1288</v>
      </c>
      <c r="K91" s="129" t="str">
        <f t="shared" si="16"/>
        <v/>
      </c>
    </row>
    <row r="92" spans="1:11">
      <c r="A92" s="126"/>
      <c r="B92" s="126" t="s">
        <v>1251</v>
      </c>
      <c r="C92" s="227"/>
      <c r="E92" s="137">
        <v>2.9</v>
      </c>
      <c r="F92" s="137">
        <f>AVERAGE(E92,G92)</f>
        <v>2.95</v>
      </c>
      <c r="G92" s="137">
        <v>3</v>
      </c>
      <c r="H92" s="137">
        <f>G92</f>
        <v>3</v>
      </c>
      <c r="I92" s="137">
        <f>H92</f>
        <v>3</v>
      </c>
      <c r="K92" s="129" t="str">
        <f t="shared" si="16"/>
        <v/>
      </c>
    </row>
    <row r="93" spans="1:11">
      <c r="A93" s="126"/>
      <c r="B93" s="126" t="s">
        <v>1252</v>
      </c>
      <c r="C93" s="227"/>
      <c r="D93" s="135"/>
      <c r="E93" s="225">
        <v>200</v>
      </c>
      <c r="F93" s="138">
        <f>AVERAGE(E93,G93)</f>
        <v>200</v>
      </c>
      <c r="G93" s="225">
        <v>200</v>
      </c>
      <c r="H93" s="225">
        <f>G93</f>
        <v>200</v>
      </c>
      <c r="I93" s="225">
        <f>H93</f>
        <v>200</v>
      </c>
      <c r="J93" s="135"/>
      <c r="K93" s="129" t="str">
        <f t="shared" si="16"/>
        <v/>
      </c>
    </row>
    <row r="94" spans="1:11">
      <c r="A94" s="126"/>
      <c r="B94" s="126" t="s">
        <v>1253</v>
      </c>
      <c r="C94" s="227"/>
      <c r="E94" s="139">
        <f>E92*E93</f>
        <v>580</v>
      </c>
      <c r="F94" s="139">
        <f t="shared" ref="F94:I94" si="19">F92*F93</f>
        <v>590</v>
      </c>
      <c r="G94" s="139">
        <f t="shared" si="19"/>
        <v>600</v>
      </c>
      <c r="H94" s="139">
        <f t="shared" si="19"/>
        <v>600</v>
      </c>
      <c r="I94" s="139">
        <f t="shared" si="19"/>
        <v>600</v>
      </c>
      <c r="J94" s="226">
        <f>SUM(E94:I94)/D95</f>
        <v>0.34359888012216849</v>
      </c>
      <c r="K94" s="129">
        <f t="shared" si="16"/>
        <v>4</v>
      </c>
    </row>
    <row r="95" spans="1:11">
      <c r="A95" s="126"/>
      <c r="B95" s="126" t="s">
        <v>1250</v>
      </c>
      <c r="C95" s="227"/>
      <c r="D95" s="139">
        <v>8643.7999999999993</v>
      </c>
      <c r="K95" s="129" t="str">
        <f t="shared" si="16"/>
        <v/>
      </c>
    </row>
    <row r="96" spans="1:11">
      <c r="A96" s="126" t="s">
        <v>1289</v>
      </c>
      <c r="C96" s="126" t="s">
        <v>589</v>
      </c>
      <c r="K96" s="129" t="str">
        <f t="shared" si="16"/>
        <v/>
      </c>
    </row>
    <row r="97" spans="1:11">
      <c r="A97" s="126"/>
      <c r="B97" s="126" t="s">
        <v>1251</v>
      </c>
      <c r="C97" s="227"/>
      <c r="E97" s="137">
        <v>10.95</v>
      </c>
      <c r="F97" s="137">
        <f>AVERAGE(E97,G97)</f>
        <v>11.35</v>
      </c>
      <c r="G97" s="137">
        <v>11.75</v>
      </c>
      <c r="H97" s="137">
        <f>G97</f>
        <v>11.75</v>
      </c>
      <c r="I97" s="137">
        <f>H97</f>
        <v>11.75</v>
      </c>
      <c r="K97" s="129" t="str">
        <f t="shared" si="16"/>
        <v/>
      </c>
    </row>
    <row r="98" spans="1:11">
      <c r="A98" s="126"/>
      <c r="B98" s="126" t="s">
        <v>1252</v>
      </c>
      <c r="C98" s="227"/>
      <c r="D98" s="135"/>
      <c r="E98" s="225">
        <v>113.5</v>
      </c>
      <c r="F98" s="138">
        <f>AVERAGE(E98,G98)</f>
        <v>114.25</v>
      </c>
      <c r="G98" s="225">
        <v>115</v>
      </c>
      <c r="H98" s="225">
        <f>G98</f>
        <v>115</v>
      </c>
      <c r="I98" s="225">
        <f>H98</f>
        <v>115</v>
      </c>
      <c r="J98" s="135"/>
      <c r="K98" s="129" t="str">
        <f t="shared" si="16"/>
        <v/>
      </c>
    </row>
    <row r="99" spans="1:11">
      <c r="A99" s="126"/>
      <c r="B99" s="126" t="s">
        <v>1253</v>
      </c>
      <c r="C99" s="227"/>
      <c r="E99" s="139">
        <f>E97*E98</f>
        <v>1242.8249999999998</v>
      </c>
      <c r="F99" s="139">
        <f t="shared" ref="F99:I99" si="20">F97*F98</f>
        <v>1296.7375</v>
      </c>
      <c r="G99" s="139">
        <f t="shared" si="20"/>
        <v>1351.25</v>
      </c>
      <c r="H99" s="139">
        <f t="shared" si="20"/>
        <v>1351.25</v>
      </c>
      <c r="I99" s="139">
        <f t="shared" si="20"/>
        <v>1351.25</v>
      </c>
      <c r="J99" s="226">
        <f>SUM(E99:I99)/D100</f>
        <v>0.46994387027797574</v>
      </c>
      <c r="K99" s="129">
        <f t="shared" si="16"/>
        <v>12</v>
      </c>
    </row>
    <row r="100" spans="1:11">
      <c r="A100" s="126"/>
      <c r="B100" s="126" t="s">
        <v>1250</v>
      </c>
      <c r="C100" s="227"/>
      <c r="D100" s="139">
        <v>14030</v>
      </c>
      <c r="K100" s="129" t="str">
        <f t="shared" si="16"/>
        <v/>
      </c>
    </row>
    <row r="101" spans="1:11">
      <c r="A101" s="126" t="s">
        <v>1290</v>
      </c>
      <c r="C101" s="126" t="s">
        <v>1291</v>
      </c>
      <c r="K101" s="129" t="str">
        <f t="shared" si="16"/>
        <v/>
      </c>
    </row>
    <row r="102" spans="1:11">
      <c r="A102" s="126"/>
      <c r="B102" s="126" t="s">
        <v>1251</v>
      </c>
      <c r="C102" s="227"/>
      <c r="E102" s="137">
        <v>8.6</v>
      </c>
      <c r="F102" s="137">
        <f>AVERAGE(E102,G102)</f>
        <v>8.1750000000000007</v>
      </c>
      <c r="G102" s="137">
        <v>7.75</v>
      </c>
      <c r="H102" s="137">
        <f>G102</f>
        <v>7.75</v>
      </c>
      <c r="I102" s="137">
        <f>H102</f>
        <v>7.75</v>
      </c>
      <c r="K102" s="129" t="str">
        <f t="shared" si="16"/>
        <v/>
      </c>
    </row>
    <row r="103" spans="1:11">
      <c r="A103" s="126"/>
      <c r="B103" s="126" t="s">
        <v>1252</v>
      </c>
      <c r="C103" s="227"/>
      <c r="D103" s="135"/>
      <c r="E103" s="225">
        <v>81</v>
      </c>
      <c r="F103" s="138">
        <f>AVERAGE(E103,G103)</f>
        <v>83</v>
      </c>
      <c r="G103" s="225">
        <v>85</v>
      </c>
      <c r="H103" s="225">
        <f>G103</f>
        <v>85</v>
      </c>
      <c r="I103" s="225">
        <f>H103</f>
        <v>85</v>
      </c>
      <c r="J103" s="135"/>
      <c r="K103" s="129" t="str">
        <f t="shared" si="16"/>
        <v/>
      </c>
    </row>
    <row r="104" spans="1:11">
      <c r="A104" s="126"/>
      <c r="B104" s="126" t="s">
        <v>1253</v>
      </c>
      <c r="C104" s="227"/>
      <c r="E104" s="139">
        <f>E102*E103</f>
        <v>696.6</v>
      </c>
      <c r="F104" s="139">
        <f t="shared" ref="F104:I104" si="21">F102*F103</f>
        <v>678.52500000000009</v>
      </c>
      <c r="G104" s="139">
        <f t="shared" si="21"/>
        <v>658.75</v>
      </c>
      <c r="H104" s="139">
        <f t="shared" si="21"/>
        <v>658.75</v>
      </c>
      <c r="I104" s="139">
        <f t="shared" si="21"/>
        <v>658.75</v>
      </c>
      <c r="J104" s="226">
        <f>SUM(E104:I104)/D105</f>
        <v>0.64023516601077446</v>
      </c>
      <c r="K104" s="129">
        <f t="shared" si="16"/>
        <v>21</v>
      </c>
    </row>
    <row r="105" spans="1:11">
      <c r="A105" s="126"/>
      <c r="B105" s="126" t="s">
        <v>1250</v>
      </c>
      <c r="C105" s="227"/>
      <c r="D105" s="139">
        <v>5234.6000000000004</v>
      </c>
      <c r="K105" s="129" t="str">
        <f t="shared" si="16"/>
        <v/>
      </c>
    </row>
    <row r="106" spans="1:11">
      <c r="A106" s="126" t="s">
        <v>1292</v>
      </c>
      <c r="C106" s="126" t="s">
        <v>1293</v>
      </c>
      <c r="K106" s="129" t="str">
        <f t="shared" si="16"/>
        <v/>
      </c>
    </row>
    <row r="107" spans="1:11">
      <c r="A107" s="126"/>
      <c r="B107" s="126" t="s">
        <v>1251</v>
      </c>
      <c r="C107" s="227"/>
      <c r="E107" s="137">
        <v>7.15</v>
      </c>
      <c r="F107" s="137">
        <f>AVERAGE(E107,G107)</f>
        <v>6.3250000000000002</v>
      </c>
      <c r="G107" s="137">
        <v>5.5</v>
      </c>
      <c r="H107" s="137">
        <f>G107</f>
        <v>5.5</v>
      </c>
      <c r="I107" s="137">
        <f>H107</f>
        <v>5.5</v>
      </c>
      <c r="K107" s="129" t="str">
        <f t="shared" si="16"/>
        <v/>
      </c>
    </row>
    <row r="108" spans="1:11">
      <c r="A108" s="126"/>
      <c r="B108" s="126" t="s">
        <v>1252</v>
      </c>
      <c r="C108" s="227"/>
      <c r="D108" s="135"/>
      <c r="E108" s="225">
        <v>89.55</v>
      </c>
      <c r="F108" s="138">
        <f>AVERAGE(E108,G108)</f>
        <v>89.775000000000006</v>
      </c>
      <c r="G108" s="225">
        <v>90</v>
      </c>
      <c r="H108" s="225">
        <f>G108</f>
        <v>90</v>
      </c>
      <c r="I108" s="225">
        <f>H108</f>
        <v>90</v>
      </c>
      <c r="J108" s="135"/>
      <c r="K108" s="129" t="str">
        <f t="shared" si="16"/>
        <v/>
      </c>
    </row>
    <row r="109" spans="1:11">
      <c r="A109" s="126"/>
      <c r="B109" s="126" t="s">
        <v>1253</v>
      </c>
      <c r="C109" s="227"/>
      <c r="E109" s="139">
        <f>E107*E108</f>
        <v>640.28250000000003</v>
      </c>
      <c r="F109" s="139">
        <f t="shared" ref="F109:I109" si="22">F107*F108</f>
        <v>567.82687500000009</v>
      </c>
      <c r="G109" s="139">
        <f t="shared" si="22"/>
        <v>495</v>
      </c>
      <c r="H109" s="139">
        <f t="shared" si="22"/>
        <v>495</v>
      </c>
      <c r="I109" s="139">
        <f t="shared" si="22"/>
        <v>495</v>
      </c>
      <c r="J109" s="226">
        <f>SUM(E109:I109)/D110</f>
        <v>0.39104245317264413</v>
      </c>
      <c r="K109" s="129">
        <f t="shared" si="16"/>
        <v>8</v>
      </c>
    </row>
    <row r="110" spans="1:11">
      <c r="A110" s="126"/>
      <c r="B110" s="126" t="s">
        <v>1250</v>
      </c>
      <c r="C110" s="227"/>
      <c r="D110" s="139">
        <v>6887</v>
      </c>
      <c r="K110" s="129" t="str">
        <f t="shared" si="16"/>
        <v/>
      </c>
    </row>
    <row r="111" spans="1:11">
      <c r="A111" s="126" t="s">
        <v>1294</v>
      </c>
      <c r="C111" s="126" t="s">
        <v>581</v>
      </c>
      <c r="K111" s="129" t="str">
        <f t="shared" si="16"/>
        <v/>
      </c>
    </row>
    <row r="112" spans="1:11">
      <c r="A112" s="126"/>
      <c r="B112" s="126" t="s">
        <v>1251</v>
      </c>
      <c r="C112" s="227"/>
      <c r="E112" s="137">
        <v>4.05</v>
      </c>
      <c r="F112" s="137">
        <f>AVERAGE(E112,G112)</f>
        <v>3.65</v>
      </c>
      <c r="G112" s="137">
        <v>3.25</v>
      </c>
      <c r="H112" s="137">
        <f>G112</f>
        <v>3.25</v>
      </c>
      <c r="I112" s="137">
        <f>H112</f>
        <v>3.25</v>
      </c>
      <c r="K112" s="129" t="str">
        <f t="shared" si="16"/>
        <v/>
      </c>
    </row>
    <row r="113" spans="1:15">
      <c r="A113" s="126"/>
      <c r="B113" s="126" t="s">
        <v>1252</v>
      </c>
      <c r="C113" s="227"/>
      <c r="D113" s="135"/>
      <c r="E113" s="225">
        <v>773</v>
      </c>
      <c r="F113" s="138">
        <f>AVERAGE(E113,G113)</f>
        <v>776.5</v>
      </c>
      <c r="G113" s="225">
        <v>780</v>
      </c>
      <c r="H113" s="225">
        <f>G113</f>
        <v>780</v>
      </c>
      <c r="I113" s="225">
        <f>H113</f>
        <v>780</v>
      </c>
      <c r="J113" s="135"/>
      <c r="K113" s="129" t="str">
        <f t="shared" si="16"/>
        <v/>
      </c>
    </row>
    <row r="114" spans="1:15">
      <c r="A114" s="126"/>
      <c r="B114" s="126" t="s">
        <v>1253</v>
      </c>
      <c r="C114" s="227"/>
      <c r="E114" s="139">
        <f>E112*E113</f>
        <v>3130.6499999999996</v>
      </c>
      <c r="F114" s="139">
        <f t="shared" ref="F114:I114" si="23">F112*F113</f>
        <v>2834.2249999999999</v>
      </c>
      <c r="G114" s="139">
        <f t="shared" si="23"/>
        <v>2535</v>
      </c>
      <c r="H114" s="139">
        <f t="shared" si="23"/>
        <v>2535</v>
      </c>
      <c r="I114" s="139">
        <f t="shared" si="23"/>
        <v>2535</v>
      </c>
      <c r="J114" s="226">
        <f>SUM(E114:I114)/D115</f>
        <v>0.39380912995530792</v>
      </c>
      <c r="K114" s="129">
        <f t="shared" si="16"/>
        <v>9</v>
      </c>
    </row>
    <row r="115" spans="1:15">
      <c r="A115" s="126"/>
      <c r="B115" s="126" t="s">
        <v>1250</v>
      </c>
      <c r="C115" s="227"/>
      <c r="D115" s="139">
        <v>34458</v>
      </c>
      <c r="K115" s="129" t="str">
        <f t="shared" si="16"/>
        <v/>
      </c>
    </row>
    <row r="116" spans="1:15">
      <c r="A116" s="126" t="s">
        <v>1295</v>
      </c>
      <c r="C116" s="126" t="s">
        <v>617</v>
      </c>
      <c r="D116" s="139"/>
      <c r="K116" s="129" t="str">
        <f t="shared" si="16"/>
        <v/>
      </c>
    </row>
    <row r="117" spans="1:15">
      <c r="A117" s="126"/>
      <c r="B117" s="126" t="s">
        <v>1251</v>
      </c>
      <c r="C117" s="227"/>
      <c r="E117" s="137">
        <v>6.4</v>
      </c>
      <c r="F117" s="137">
        <f>AVERAGE(E117,G117)</f>
        <v>5.8250000000000002</v>
      </c>
      <c r="G117" s="137">
        <v>5.25</v>
      </c>
      <c r="H117" s="137">
        <f>G117</f>
        <v>5.25</v>
      </c>
      <c r="I117" s="137">
        <f>H117</f>
        <v>5.25</v>
      </c>
      <c r="K117" s="129" t="str">
        <f t="shared" si="16"/>
        <v/>
      </c>
    </row>
    <row r="118" spans="1:15">
      <c r="A118" s="126"/>
      <c r="B118" s="126" t="s">
        <v>1252</v>
      </c>
      <c r="C118" s="227"/>
      <c r="D118" s="135"/>
      <c r="E118" s="225">
        <v>1060</v>
      </c>
      <c r="F118" s="138">
        <f>AVERAGE(E118,G118)</f>
        <v>1075</v>
      </c>
      <c r="G118" s="225">
        <v>1090</v>
      </c>
      <c r="H118" s="225">
        <f>G118</f>
        <v>1090</v>
      </c>
      <c r="I118" s="225">
        <f>H118</f>
        <v>1090</v>
      </c>
      <c r="J118" s="135"/>
      <c r="K118" s="129" t="str">
        <f t="shared" si="16"/>
        <v/>
      </c>
    </row>
    <row r="119" spans="1:15">
      <c r="A119" s="126"/>
      <c r="B119" s="126" t="s">
        <v>1253</v>
      </c>
      <c r="C119" s="227"/>
      <c r="E119" s="139">
        <f>E117*E118</f>
        <v>6784</v>
      </c>
      <c r="F119" s="139">
        <f t="shared" ref="F119:I119" si="24">F117*F118</f>
        <v>6261.875</v>
      </c>
      <c r="G119" s="139">
        <f t="shared" si="24"/>
        <v>5722.5</v>
      </c>
      <c r="H119" s="139">
        <f t="shared" si="24"/>
        <v>5722.5</v>
      </c>
      <c r="I119" s="139">
        <f t="shared" si="24"/>
        <v>5722.5</v>
      </c>
      <c r="J119" s="226">
        <f>SUM(E119:I119)/D120</f>
        <v>0.3739417923932819</v>
      </c>
      <c r="K119" s="129">
        <f t="shared" si="16"/>
        <v>6</v>
      </c>
    </row>
    <row r="120" spans="1:15">
      <c r="A120" s="126"/>
      <c r="B120" s="126" t="s">
        <v>1250</v>
      </c>
      <c r="C120" s="227"/>
      <c r="D120" s="139">
        <v>80797</v>
      </c>
      <c r="K120" s="129" t="str">
        <f t="shared" si="16"/>
        <v/>
      </c>
      <c r="O120" s="137"/>
    </row>
    <row r="121" spans="1:15">
      <c r="A121" s="126" t="s">
        <v>1296</v>
      </c>
      <c r="C121" s="126" t="s">
        <v>733</v>
      </c>
      <c r="D121" s="139"/>
      <c r="K121" s="129" t="str">
        <f t="shared" si="16"/>
        <v/>
      </c>
    </row>
    <row r="122" spans="1:15">
      <c r="A122" s="126"/>
      <c r="B122" s="126" t="s">
        <v>1251</v>
      </c>
      <c r="C122" s="227"/>
      <c r="E122" s="137">
        <v>6.95</v>
      </c>
      <c r="F122" s="137">
        <f>AVERAGE(E122,G122)</f>
        <v>7.1</v>
      </c>
      <c r="G122" s="137">
        <v>7.25</v>
      </c>
      <c r="H122" s="137">
        <f>G122</f>
        <v>7.25</v>
      </c>
      <c r="I122" s="137">
        <f>H122</f>
        <v>7.25</v>
      </c>
      <c r="K122" s="129" t="str">
        <f t="shared" si="16"/>
        <v/>
      </c>
    </row>
    <row r="123" spans="1:15">
      <c r="A123" s="126"/>
      <c r="B123" s="126" t="s">
        <v>1252</v>
      </c>
      <c r="C123" s="227"/>
      <c r="D123" s="135"/>
      <c r="E123" s="225">
        <v>518</v>
      </c>
      <c r="F123" s="138">
        <f>AVERAGE(E123,G123)</f>
        <v>273.75</v>
      </c>
      <c r="G123" s="225">
        <v>29.5</v>
      </c>
      <c r="H123" s="225">
        <f>G123</f>
        <v>29.5</v>
      </c>
      <c r="I123" s="225">
        <f>H123</f>
        <v>29.5</v>
      </c>
      <c r="J123" s="135"/>
      <c r="K123" s="129" t="str">
        <f t="shared" si="16"/>
        <v/>
      </c>
    </row>
    <row r="124" spans="1:15">
      <c r="A124" s="126"/>
      <c r="B124" s="126" t="s">
        <v>1253</v>
      </c>
      <c r="C124" s="227"/>
      <c r="E124" s="139">
        <f>E122*E123</f>
        <v>3600.1</v>
      </c>
      <c r="F124" s="139">
        <f t="shared" ref="F124:I124" si="25">F122*F123</f>
        <v>1943.625</v>
      </c>
      <c r="G124" s="139">
        <f t="shared" si="25"/>
        <v>213.875</v>
      </c>
      <c r="H124" s="139">
        <f t="shared" si="25"/>
        <v>213.875</v>
      </c>
      <c r="I124" s="139">
        <f t="shared" si="25"/>
        <v>213.875</v>
      </c>
      <c r="J124" s="226">
        <f>SUM(E124:I124)/D125</f>
        <v>0.16742502165439585</v>
      </c>
      <c r="K124" s="129">
        <f t="shared" si="16"/>
        <v>1</v>
      </c>
    </row>
    <row r="125" spans="1:15">
      <c r="A125" s="126"/>
      <c r="B125" s="126" t="s">
        <v>1250</v>
      </c>
      <c r="C125" s="227"/>
      <c r="D125" s="139">
        <v>36944</v>
      </c>
      <c r="K125" s="129" t="str">
        <f t="shared" si="16"/>
        <v/>
      </c>
      <c r="O125" s="137"/>
    </row>
    <row r="126" spans="1:15">
      <c r="J126" s="226"/>
      <c r="K126" s="129" t="str">
        <f t="shared" si="16"/>
        <v/>
      </c>
      <c r="O126" s="228"/>
    </row>
    <row r="127" spans="1:15">
      <c r="A127" s="151" t="str">
        <f>A129</f>
        <v>PacifiCorp</v>
      </c>
      <c r="B127" s="151"/>
      <c r="C127" s="229" t="str">
        <f>C129</f>
        <v>PacifiCorp</v>
      </c>
      <c r="E127" s="137"/>
      <c r="F127" s="137"/>
      <c r="G127" s="137"/>
      <c r="H127" s="137"/>
      <c r="I127" s="137"/>
      <c r="J127" s="226"/>
      <c r="K127" s="129" t="str">
        <f t="shared" si="16"/>
        <v/>
      </c>
      <c r="O127" s="155"/>
    </row>
    <row r="128" spans="1:15">
      <c r="K128" s="129" t="str">
        <f t="shared" si="16"/>
        <v/>
      </c>
      <c r="O128" s="155"/>
    </row>
    <row r="129" spans="1:11">
      <c r="A129" s="129" t="s">
        <v>1563</v>
      </c>
      <c r="C129" s="112" t="s">
        <v>1563</v>
      </c>
      <c r="K129" s="129" t="str">
        <f t="shared" si="16"/>
        <v/>
      </c>
    </row>
    <row r="130" spans="1:11">
      <c r="B130" s="129" t="s">
        <v>1254</v>
      </c>
      <c r="D130" s="321"/>
      <c r="E130" s="351">
        <v>2900</v>
      </c>
      <c r="F130" s="351">
        <v>1400</v>
      </c>
      <c r="G130" s="351">
        <v>2800</v>
      </c>
      <c r="H130" s="351">
        <v>2400</v>
      </c>
      <c r="I130" s="351">
        <v>1300</v>
      </c>
      <c r="J130" s="352">
        <f>SUM(E130:I130)/D131</f>
        <v>0.6</v>
      </c>
      <c r="K130" s="129">
        <f>IFERROR(RANK(J130,$J$14:$J$130,1),"")</f>
        <v>17</v>
      </c>
    </row>
    <row r="131" spans="1:11">
      <c r="B131" s="129" t="s">
        <v>1378</v>
      </c>
      <c r="D131" s="353">
        <v>18000</v>
      </c>
      <c r="E131" s="353"/>
      <c r="F131" s="353"/>
      <c r="G131" s="353"/>
      <c r="H131" s="353"/>
      <c r="I131" s="353"/>
      <c r="J131" s="354"/>
      <c r="K131" s="129" t="str">
        <f t="shared" si="16"/>
        <v/>
      </c>
    </row>
    <row r="133" spans="1:11">
      <c r="B133" s="129" t="s">
        <v>1564</v>
      </c>
      <c r="D133" s="139"/>
      <c r="J133" s="140">
        <f>SUM(E130:I130)</f>
        <v>10800</v>
      </c>
    </row>
    <row r="134" spans="1:11">
      <c r="B134" s="129" t="s">
        <v>1565</v>
      </c>
      <c r="J134" s="140">
        <f>AVERAGE(E130:I130)</f>
        <v>2160</v>
      </c>
    </row>
    <row r="135" spans="1:11">
      <c r="B135" s="129" t="s">
        <v>1245</v>
      </c>
      <c r="J135" s="230">
        <f>MEDIAN(J14:J125)</f>
        <v>0.46994387027797574</v>
      </c>
    </row>
    <row r="136" spans="1:11">
      <c r="B136" s="129" t="s">
        <v>1566</v>
      </c>
      <c r="J136" s="141">
        <f>J130/J135</f>
        <v>1.2767482202610601</v>
      </c>
    </row>
    <row r="137" spans="1:11">
      <c r="J137" s="141"/>
    </row>
    <row r="138" spans="1:11">
      <c r="A138" s="135" t="s">
        <v>23</v>
      </c>
      <c r="B138" s="135"/>
    </row>
    <row r="139" spans="1:11">
      <c r="A139" s="129" t="s">
        <v>1379</v>
      </c>
    </row>
    <row r="140" spans="1:11">
      <c r="A140" s="129" t="s">
        <v>1255</v>
      </c>
    </row>
    <row r="141" spans="1:11">
      <c r="A141" s="129" t="s">
        <v>1380</v>
      </c>
    </row>
    <row r="142" spans="1:11">
      <c r="A142" s="129" t="s">
        <v>1381</v>
      </c>
      <c r="B142" s="126"/>
    </row>
  </sheetData>
  <mergeCells count="2">
    <mergeCell ref="A2:J2"/>
    <mergeCell ref="A3:J3"/>
  </mergeCells>
  <printOptions horizontalCentered="1"/>
  <pageMargins left="0.7" right="0.7" top="1.25" bottom="0.75" header="0.3" footer="0.3"/>
  <pageSetup scale="58" fitToHeight="0" orientation="portrait" useFirstPageNumber="1" r:id="rId1"/>
  <headerFooter>
    <oddHeader>&amp;RDocket No. UE-19____
PacifiCorp
Exhibit No. AEB-11
Page &amp;P of 3</oddHeader>
  </headerFooter>
  <rowBreaks count="1" manualBreakCount="1">
    <brk id="80"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K74"/>
  <sheetViews>
    <sheetView zoomScaleNormal="100" zoomScaleSheetLayoutView="100" workbookViewId="0"/>
  </sheetViews>
  <sheetFormatPr defaultColWidth="9" defaultRowHeight="12.75"/>
  <cols>
    <col min="1" max="1" width="12.5703125" style="126" customWidth="1"/>
    <col min="2" max="2" width="5.28515625" style="126" bestFit="1" customWidth="1"/>
    <col min="3" max="3" width="35.5703125" style="126" customWidth="1"/>
    <col min="4" max="6" width="12.5703125" style="126" customWidth="1"/>
    <col min="7" max="16384" width="9" style="126"/>
  </cols>
  <sheetData>
    <row r="2" spans="1:6">
      <c r="A2" s="130" t="s">
        <v>1375</v>
      </c>
      <c r="B2" s="130"/>
      <c r="C2" s="131"/>
      <c r="D2" s="131"/>
      <c r="E2" s="131"/>
      <c r="F2" s="131"/>
    </row>
    <row r="25" spans="2:11">
      <c r="C25" s="142" t="s">
        <v>1382</v>
      </c>
      <c r="D25" s="131"/>
      <c r="E25" s="131"/>
    </row>
    <row r="26" spans="2:11">
      <c r="H26" s="151"/>
      <c r="I26" s="151"/>
      <c r="J26" s="151"/>
      <c r="K26" s="151"/>
    </row>
    <row r="27" spans="2:11">
      <c r="B27" s="231" t="s">
        <v>1377</v>
      </c>
      <c r="C27" s="231" t="s">
        <v>0</v>
      </c>
      <c r="D27" s="149"/>
      <c r="E27" s="231" t="s">
        <v>1383</v>
      </c>
      <c r="H27" s="151" t="s">
        <v>1384</v>
      </c>
      <c r="I27" s="151"/>
      <c r="J27" s="151"/>
      <c r="K27" s="151"/>
    </row>
    <row r="28" spans="2:11">
      <c r="C28" s="209"/>
      <c r="H28" s="150" t="s">
        <v>1256</v>
      </c>
      <c r="I28" s="150" t="s">
        <v>1203</v>
      </c>
      <c r="J28" s="151"/>
      <c r="K28" s="151"/>
    </row>
    <row r="29" spans="2:11">
      <c r="B29" s="126">
        <v>1</v>
      </c>
      <c r="C29" s="129" t="str">
        <f>INDEX('Exhibit AEB-11 CapEx 1'!A:A,MATCH('Exhibit AEB-11 CapEx 2'!$B29,'Exhibit AEB-11 CapEx 1'!K:K,0)-3)</f>
        <v>Xcel Energy Inc.</v>
      </c>
      <c r="D29" s="129" t="str">
        <f>INDEX('Exhibit AEB-11 CapEx 1'!C:C,MATCH('Exhibit AEB-11 CapEx 2'!$C29,'Exhibit AEB-11 CapEx 1'!A:A,0))</f>
        <v>XEL</v>
      </c>
      <c r="E29" s="143">
        <f>INDEX('Exhibit AEB-11 CapEx 1'!J:J,MATCH('Exhibit AEB-11 CapEx 2'!$D29,'Exhibit AEB-11 CapEx 1'!C:C,0)+3)</f>
        <v>0.16742502165439585</v>
      </c>
      <c r="H29" s="151">
        <v>0</v>
      </c>
      <c r="I29" s="152">
        <f>E54</f>
        <v>0.46994387027797574</v>
      </c>
      <c r="J29" s="151"/>
      <c r="K29" s="151"/>
    </row>
    <row r="30" spans="2:11">
      <c r="B30" s="126">
        <v>2</v>
      </c>
      <c r="C30" s="129" t="str">
        <f>INDEX('Exhibit AEB-11 CapEx 1'!A:A,MATCH('Exhibit AEB-11 CapEx 2'!$B30,'Exhibit AEB-11 CapEx 1'!K:K,0)-3)</f>
        <v>CMS Energy Corporation</v>
      </c>
      <c r="D30" s="129" t="str">
        <f>INDEX('Exhibit AEB-11 CapEx 1'!C:C,MATCH('Exhibit AEB-11 CapEx 2'!$C30,'Exhibit AEB-11 CapEx 1'!A:A,0))</f>
        <v>CMS</v>
      </c>
      <c r="E30" s="143">
        <f>INDEX('Exhibit AEB-11 CapEx 1'!J:J,MATCH('Exhibit AEB-11 CapEx 2'!$D30,'Exhibit AEB-11 CapEx 1'!C:C,0)+3)</f>
        <v>0.23139861249034532</v>
      </c>
      <c r="H30" s="151">
        <v>10</v>
      </c>
      <c r="I30" s="152">
        <f>E54</f>
        <v>0.46994387027797574</v>
      </c>
      <c r="J30" s="151"/>
      <c r="K30" s="151"/>
    </row>
    <row r="31" spans="2:11">
      <c r="B31" s="126">
        <v>3</v>
      </c>
      <c r="C31" s="129" t="str">
        <f>INDEX('Exhibit AEB-11 CapEx 1'!A:A,MATCH('Exhibit AEB-11 CapEx 2'!$B31,'Exhibit AEB-11 CapEx 1'!K:K,0)-3)</f>
        <v xml:space="preserve">Evergy, Inc. </v>
      </c>
      <c r="D31" s="129" t="str">
        <f>INDEX('Exhibit AEB-11 CapEx 1'!C:C,MATCH('Exhibit AEB-11 CapEx 2'!$C31,'Exhibit AEB-11 CapEx 1'!A:A,0))</f>
        <v>EVRG</v>
      </c>
      <c r="E31" s="143">
        <f>INDEX('Exhibit AEB-11 CapEx 1'!J:J,MATCH('Exhibit AEB-11 CapEx 2'!$D31,'Exhibit AEB-11 CapEx 1'!C:C,0)+3)</f>
        <v>0.33083051920641621</v>
      </c>
      <c r="H31" s="151"/>
      <c r="I31" s="151"/>
      <c r="J31" s="151"/>
      <c r="K31" s="151"/>
    </row>
    <row r="32" spans="2:11">
      <c r="B32" s="126">
        <v>4</v>
      </c>
      <c r="C32" s="129" t="str">
        <f>INDEX('Exhibit AEB-11 CapEx 1'!A:A,MATCH('Exhibit AEB-11 CapEx 2'!$B32,'Exhibit AEB-11 CapEx 1'!K:K,0)-3)</f>
        <v>OGE Energy Corporation</v>
      </c>
      <c r="D32" s="129" t="str">
        <f>INDEX('Exhibit AEB-11 CapEx 1'!C:C,MATCH('Exhibit AEB-11 CapEx 2'!$C32,'Exhibit AEB-11 CapEx 1'!A:A,0))</f>
        <v>OGE</v>
      </c>
      <c r="E32" s="143">
        <f>INDEX('Exhibit AEB-11 CapEx 1'!J:J,MATCH('Exhibit AEB-11 CapEx 2'!$D32,'Exhibit AEB-11 CapEx 1'!C:C,0)+3)</f>
        <v>0.34359888012216849</v>
      </c>
      <c r="H32" s="151"/>
      <c r="I32" s="151"/>
      <c r="J32" s="151"/>
      <c r="K32" s="151"/>
    </row>
    <row r="33" spans="2:11">
      <c r="B33" s="126">
        <v>5</v>
      </c>
      <c r="C33" s="129" t="str">
        <f>INDEX('Exhibit AEB-11 CapEx 1'!A:A,MATCH('Exhibit AEB-11 CapEx 2'!$B33,'Exhibit AEB-11 CapEx 1'!K:K,0)-3)</f>
        <v>NorthWestern Corporation</v>
      </c>
      <c r="D33" s="129" t="str">
        <f>INDEX('Exhibit AEB-11 CapEx 1'!C:C,MATCH('Exhibit AEB-11 CapEx 2'!$C33,'Exhibit AEB-11 CapEx 1'!A:A,0))</f>
        <v>NWE</v>
      </c>
      <c r="E33" s="143">
        <f>INDEX('Exhibit AEB-11 CapEx 1'!J:J,MATCH('Exhibit AEB-11 CapEx 2'!$D33,'Exhibit AEB-11 CapEx 1'!C:C,0)+3)</f>
        <v>0.34742178687545622</v>
      </c>
      <c r="H33" s="151"/>
      <c r="I33" s="151"/>
      <c r="J33" s="151"/>
      <c r="K33" s="151"/>
    </row>
    <row r="34" spans="2:11">
      <c r="B34" s="126">
        <v>6</v>
      </c>
      <c r="C34" s="129" t="str">
        <f>INDEX('Exhibit AEB-11 CapEx 1'!A:A,MATCH('Exhibit AEB-11 CapEx 2'!$B34,'Exhibit AEB-11 CapEx 1'!K:K,0)-3)</f>
        <v>Southern Company</v>
      </c>
      <c r="D34" s="129" t="str">
        <f>INDEX('Exhibit AEB-11 CapEx 1'!C:C,MATCH('Exhibit AEB-11 CapEx 2'!$C34,'Exhibit AEB-11 CapEx 1'!A:A,0))</f>
        <v>SO</v>
      </c>
      <c r="E34" s="143">
        <f>INDEX('Exhibit AEB-11 CapEx 1'!J:J,MATCH('Exhibit AEB-11 CapEx 2'!$D34,'Exhibit AEB-11 CapEx 1'!C:C,0)+3)</f>
        <v>0.3739417923932819</v>
      </c>
    </row>
    <row r="35" spans="2:11">
      <c r="B35" s="126">
        <v>7</v>
      </c>
      <c r="C35" s="129" t="str">
        <f>INDEX('Exhibit AEB-11 CapEx 1'!A:A,MATCH('Exhibit AEB-11 CapEx 2'!$B35,'Exhibit AEB-11 CapEx 1'!K:K,0)-3)</f>
        <v>ALLETE, Inc.</v>
      </c>
      <c r="D35" s="129" t="str">
        <f>INDEX('Exhibit AEB-11 CapEx 1'!C:C,MATCH('Exhibit AEB-11 CapEx 2'!$C35,'Exhibit AEB-11 CapEx 1'!A:A,0))</f>
        <v>ALE</v>
      </c>
      <c r="E35" s="143">
        <f>INDEX('Exhibit AEB-11 CapEx 1'!J:J,MATCH('Exhibit AEB-11 CapEx 2'!$D35,'Exhibit AEB-11 CapEx 1'!C:C,0)+3)</f>
        <v>0.38569946726769799</v>
      </c>
    </row>
    <row r="36" spans="2:11">
      <c r="B36" s="126">
        <v>8</v>
      </c>
      <c r="C36" s="129" t="str">
        <f>INDEX('Exhibit AEB-11 CapEx 1'!A:A,MATCH('Exhibit AEB-11 CapEx 2'!$B36,'Exhibit AEB-11 CapEx 1'!K:K,0)-3)</f>
        <v>Portland General Electric Company</v>
      </c>
      <c r="D36" s="129" t="str">
        <f>INDEX('Exhibit AEB-11 CapEx 1'!C:C,MATCH('Exhibit AEB-11 CapEx 2'!$C36,'Exhibit AEB-11 CapEx 1'!A:A,0))</f>
        <v>POR</v>
      </c>
      <c r="E36" s="143">
        <f>INDEX('Exhibit AEB-11 CapEx 1'!J:J,MATCH('Exhibit AEB-11 CapEx 2'!$D36,'Exhibit AEB-11 CapEx 1'!C:C,0)+3)</f>
        <v>0.39104245317264413</v>
      </c>
      <c r="F36" s="128"/>
      <c r="G36" s="143"/>
    </row>
    <row r="37" spans="2:11">
      <c r="B37" s="126">
        <v>9</v>
      </c>
      <c r="C37" s="129" t="str">
        <f>INDEX('Exhibit AEB-11 CapEx 1'!A:A,MATCH('Exhibit AEB-11 CapEx 2'!$B37,'Exhibit AEB-11 CapEx 1'!K:K,0)-3)</f>
        <v>PPL Corporation</v>
      </c>
      <c r="D37" s="129" t="str">
        <f>INDEX('Exhibit AEB-11 CapEx 1'!C:C,MATCH('Exhibit AEB-11 CapEx 2'!$C37,'Exhibit AEB-11 CapEx 1'!A:A,0))</f>
        <v>PPL</v>
      </c>
      <c r="E37" s="143">
        <f>INDEX('Exhibit AEB-11 CapEx 1'!J:J,MATCH('Exhibit AEB-11 CapEx 2'!$D37,'Exhibit AEB-11 CapEx 1'!C:C,0)+3)</f>
        <v>0.39380912995530792</v>
      </c>
      <c r="F37" s="128"/>
      <c r="G37" s="143"/>
    </row>
    <row r="38" spans="2:11">
      <c r="B38" s="126">
        <v>10</v>
      </c>
      <c r="C38" s="129" t="str">
        <f>INDEX('Exhibit AEB-11 CapEx 1'!A:A,MATCH('Exhibit AEB-11 CapEx 2'!$B38,'Exhibit AEB-11 CapEx 1'!K:K,0)-3)</f>
        <v>IDACORP, Inc.</v>
      </c>
      <c r="D38" s="129" t="str">
        <f>INDEX('Exhibit AEB-11 CapEx 1'!C:C,MATCH('Exhibit AEB-11 CapEx 2'!$C38,'Exhibit AEB-11 CapEx 1'!A:A,0))</f>
        <v>IDA</v>
      </c>
      <c r="E38" s="143">
        <f>INDEX('Exhibit AEB-11 CapEx 1'!J:J,MATCH('Exhibit AEB-11 CapEx 2'!$D38,'Exhibit AEB-11 CapEx 1'!C:C,0)+3)</f>
        <v>0.40359442182132538</v>
      </c>
      <c r="F38" s="128"/>
      <c r="G38" s="143"/>
    </row>
    <row r="39" spans="2:11">
      <c r="B39" s="126">
        <v>11</v>
      </c>
      <c r="C39" s="129" t="str">
        <f>INDEX('Exhibit AEB-11 CapEx 1'!A:A,MATCH('Exhibit AEB-11 CapEx 2'!$B39,'Exhibit AEB-11 CapEx 1'!K:K,0)-3)</f>
        <v>Avista Corporation</v>
      </c>
      <c r="D39" s="129" t="str">
        <f>INDEX('Exhibit AEB-11 CapEx 1'!C:C,MATCH('Exhibit AEB-11 CapEx 2'!$C39,'Exhibit AEB-11 CapEx 1'!A:A,0))</f>
        <v>AVA</v>
      </c>
      <c r="E39" s="143">
        <f>INDEX('Exhibit AEB-11 CapEx 1'!J:J,MATCH('Exhibit AEB-11 CapEx 2'!$D39,'Exhibit AEB-11 CapEx 1'!C:C,0)+3)</f>
        <v>0.45347017574049775</v>
      </c>
      <c r="F39" s="128"/>
      <c r="G39" s="143"/>
    </row>
    <row r="40" spans="2:11">
      <c r="B40" s="126">
        <v>12</v>
      </c>
      <c r="C40" s="129" t="str">
        <f>INDEX('Exhibit AEB-11 CapEx 1'!A:A,MATCH('Exhibit AEB-11 CapEx 2'!$B40,'Exhibit AEB-11 CapEx 1'!K:K,0)-3)</f>
        <v>Pinnacle West Capital Corporation</v>
      </c>
      <c r="D40" s="129" t="str">
        <f>INDEX('Exhibit AEB-11 CapEx 1'!C:C,MATCH('Exhibit AEB-11 CapEx 2'!$C40,'Exhibit AEB-11 CapEx 1'!A:A,0))</f>
        <v>PNW</v>
      </c>
      <c r="E40" s="143">
        <f>INDEX('Exhibit AEB-11 CapEx 1'!J:J,MATCH('Exhibit AEB-11 CapEx 2'!$D40,'Exhibit AEB-11 CapEx 1'!C:C,0)+3)</f>
        <v>0.46994387027797574</v>
      </c>
      <c r="F40" s="128"/>
      <c r="G40" s="143"/>
    </row>
    <row r="41" spans="2:11">
      <c r="B41" s="126">
        <v>13</v>
      </c>
      <c r="C41" s="129" t="str">
        <f>INDEX('Exhibit AEB-11 CapEx 1'!A:A,MATCH('Exhibit AEB-11 CapEx 2'!$B41,'Exhibit AEB-11 CapEx 1'!K:K,0)-3)</f>
        <v>FirstEnergy Corporation</v>
      </c>
      <c r="D41" s="129" t="str">
        <f>INDEX('Exhibit AEB-11 CapEx 1'!C:C,MATCH('Exhibit AEB-11 CapEx 2'!$C41,'Exhibit AEB-11 CapEx 1'!A:A,0))</f>
        <v>FE</v>
      </c>
      <c r="E41" s="143">
        <f>INDEX('Exhibit AEB-11 CapEx 1'!J:J,MATCH('Exhibit AEB-11 CapEx 2'!$D41,'Exhibit AEB-11 CapEx 1'!C:C,0)+3)</f>
        <v>0.48220345357895089</v>
      </c>
      <c r="F41" s="128"/>
      <c r="G41" s="143"/>
    </row>
    <row r="42" spans="2:11">
      <c r="B42" s="126">
        <v>14</v>
      </c>
      <c r="C42" s="129" t="str">
        <f>INDEX('Exhibit AEB-11 CapEx 1'!A:A,MATCH('Exhibit AEB-11 CapEx 2'!$B42,'Exhibit AEB-11 CapEx 1'!K:K,0)-3)</f>
        <v>Duke Energy Corporation</v>
      </c>
      <c r="D42" s="129" t="str">
        <f>INDEX('Exhibit AEB-11 CapEx 1'!C:C,MATCH('Exhibit AEB-11 CapEx 2'!$C42,'Exhibit AEB-11 CapEx 1'!A:A,0))</f>
        <v>DUK</v>
      </c>
      <c r="E42" s="143">
        <f>INDEX('Exhibit AEB-11 CapEx 1'!J:J,MATCH('Exhibit AEB-11 CapEx 2'!$D42,'Exhibit AEB-11 CapEx 1'!C:C,0)+3)</f>
        <v>0.53969111937531355</v>
      </c>
      <c r="F42" s="128"/>
      <c r="G42" s="143"/>
    </row>
    <row r="43" spans="2:11">
      <c r="B43" s="126">
        <v>15</v>
      </c>
      <c r="C43" s="129" t="str">
        <f>INDEX('Exhibit AEB-11 CapEx 1'!A:A,MATCH('Exhibit AEB-11 CapEx 2'!$B43,'Exhibit AEB-11 CapEx 1'!K:K,0)-3)</f>
        <v>American Electric Power Company, Inc.</v>
      </c>
      <c r="D43" s="129" t="str">
        <f>INDEX('Exhibit AEB-11 CapEx 1'!C:C,MATCH('Exhibit AEB-11 CapEx 2'!$C43,'Exhibit AEB-11 CapEx 1'!A:A,0))</f>
        <v>AEP</v>
      </c>
      <c r="E43" s="143">
        <f>INDEX('Exhibit AEB-11 CapEx 1'!J:J,MATCH('Exhibit AEB-11 CapEx 2'!$D43,'Exhibit AEB-11 CapEx 1'!C:C,0)+3)</f>
        <v>0.58213261583694798</v>
      </c>
      <c r="F43" s="128"/>
      <c r="G43" s="143"/>
    </row>
    <row r="44" spans="2:11">
      <c r="B44" s="126">
        <v>16</v>
      </c>
      <c r="C44" s="129" t="str">
        <f>INDEX('Exhibit AEB-11 CapEx 1'!A:A,MATCH('Exhibit AEB-11 CapEx 2'!$B44,'Exhibit AEB-11 CapEx 1'!K:K,0)-3)</f>
        <v>DTE Energy Company</v>
      </c>
      <c r="D44" s="129" t="str">
        <f>INDEX('Exhibit AEB-11 CapEx 1'!C:C,MATCH('Exhibit AEB-11 CapEx 2'!$C44,'Exhibit AEB-11 CapEx 1'!A:A,0))</f>
        <v>DTE</v>
      </c>
      <c r="E44" s="143">
        <f>INDEX('Exhibit AEB-11 CapEx 1'!J:J,MATCH('Exhibit AEB-11 CapEx 2'!$D44,'Exhibit AEB-11 CapEx 1'!C:C,0)+3)</f>
        <v>0.59345265588914553</v>
      </c>
      <c r="F44" s="128"/>
      <c r="G44" s="143"/>
    </row>
    <row r="45" spans="2:11">
      <c r="B45" s="126">
        <v>17</v>
      </c>
      <c r="C45" s="129" t="str">
        <f>INDEX('Exhibit AEB-11 CapEx 1'!A:A,MATCH('Exhibit AEB-11 CapEx 2'!$B45,'Exhibit AEB-11 CapEx 1'!K:K,0)-3)</f>
        <v>PacifiCorp</v>
      </c>
      <c r="D45" s="129" t="str">
        <f>INDEX('Exhibit AEB-11 CapEx 1'!C:C,MATCH('Exhibit AEB-11 CapEx 2'!$C45,'Exhibit AEB-11 CapEx 1'!A:A,0))</f>
        <v>PacifiCorp</v>
      </c>
      <c r="E45" s="143">
        <f>INDEX('Exhibit AEB-11 CapEx 1'!J:J,MATCH('Exhibit AEB-11 CapEx 2'!$D45,'Exhibit AEB-11 CapEx 1'!C:C,0)+3)</f>
        <v>0.6</v>
      </c>
      <c r="F45" s="128"/>
      <c r="G45" s="143"/>
    </row>
    <row r="46" spans="2:11">
      <c r="B46" s="126">
        <v>18</v>
      </c>
      <c r="C46" s="129" t="str">
        <f>INDEX('Exhibit AEB-11 CapEx 1'!A:A,MATCH('Exhibit AEB-11 CapEx 2'!$B46,'Exhibit AEB-11 CapEx 1'!K:K,0)-3)</f>
        <v>Dominion Resources, Inc.</v>
      </c>
      <c r="D46" s="129" t="str">
        <f>INDEX('Exhibit AEB-11 CapEx 1'!C:C,MATCH('Exhibit AEB-11 CapEx 2'!$C46,'Exhibit AEB-11 CapEx 1'!A:A,0))</f>
        <v>D</v>
      </c>
      <c r="E46" s="143">
        <f>INDEX('Exhibit AEB-11 CapEx 1'!J:J,MATCH('Exhibit AEB-11 CapEx 2'!$D46,'Exhibit AEB-11 CapEx 1'!C:C,0)+3)</f>
        <v>0.61726539589442819</v>
      </c>
      <c r="F46" s="128"/>
      <c r="G46" s="143"/>
    </row>
    <row r="47" spans="2:11">
      <c r="B47" s="126">
        <v>19</v>
      </c>
      <c r="C47" s="129" t="str">
        <f>INDEX('Exhibit AEB-11 CapEx 1'!A:A,MATCH('Exhibit AEB-11 CapEx 2'!$B47,'Exhibit AEB-11 CapEx 1'!K:K,0)-3)</f>
        <v>Ameren Corporation</v>
      </c>
      <c r="D47" s="129" t="str">
        <f>INDEX('Exhibit AEB-11 CapEx 1'!C:C,MATCH('Exhibit AEB-11 CapEx 2'!$C47,'Exhibit AEB-11 CapEx 1'!A:A,0))</f>
        <v>AEE</v>
      </c>
      <c r="E47" s="143">
        <f>INDEX('Exhibit AEB-11 CapEx 1'!J:J,MATCH('Exhibit AEB-11 CapEx 2'!$D47,'Exhibit AEB-11 CapEx 1'!C:C,0)+3)</f>
        <v>0.61987889083735204</v>
      </c>
      <c r="F47" s="128"/>
      <c r="G47" s="143"/>
    </row>
    <row r="48" spans="2:11">
      <c r="B48" s="126">
        <v>20</v>
      </c>
      <c r="C48" s="129" t="str">
        <f>INDEX('Exhibit AEB-11 CapEx 1'!A:A,MATCH('Exhibit AEB-11 CapEx 2'!$B48,'Exhibit AEB-11 CapEx 1'!K:K,0)-3)</f>
        <v>Alliant Energy Corporation</v>
      </c>
      <c r="D48" s="129" t="str">
        <f>INDEX('Exhibit AEB-11 CapEx 1'!C:C,MATCH('Exhibit AEB-11 CapEx 2'!$C48,'Exhibit AEB-11 CapEx 1'!A:A,0))</f>
        <v>LNT</v>
      </c>
      <c r="E48" s="143">
        <f>INDEX('Exhibit AEB-11 CapEx 1'!J:J,MATCH('Exhibit AEB-11 CapEx 2'!$D48,'Exhibit AEB-11 CapEx 1'!C:C,0)+3)</f>
        <v>0.62120446156315201</v>
      </c>
      <c r="F48" s="128"/>
      <c r="G48" s="143"/>
    </row>
    <row r="49" spans="2:7">
      <c r="B49" s="126">
        <v>21</v>
      </c>
      <c r="C49" s="129" t="str">
        <f>INDEX('Exhibit AEB-11 CapEx 1'!A:A,MATCH('Exhibit AEB-11 CapEx 2'!$B49,'Exhibit AEB-11 CapEx 1'!K:K,0)-3)</f>
        <v>PNM Resources, Inc.</v>
      </c>
      <c r="D49" s="129" t="str">
        <f>INDEX('Exhibit AEB-11 CapEx 1'!C:C,MATCH('Exhibit AEB-11 CapEx 2'!$C49,'Exhibit AEB-11 CapEx 1'!A:A,0))</f>
        <v>PNM</v>
      </c>
      <c r="E49" s="143">
        <f>INDEX('Exhibit AEB-11 CapEx 1'!J:J,MATCH('Exhibit AEB-11 CapEx 2'!$D49,'Exhibit AEB-11 CapEx 1'!C:C,0)+3)</f>
        <v>0.64023516601077446</v>
      </c>
      <c r="F49" s="128"/>
      <c r="G49" s="143"/>
    </row>
    <row r="50" spans="2:7">
      <c r="B50" s="126">
        <v>22</v>
      </c>
      <c r="C50" s="129" t="str">
        <f>INDEX('Exhibit AEB-11 CapEx 1'!A:A,MATCH('Exhibit AEB-11 CapEx 2'!$B50,'Exhibit AEB-11 CapEx 1'!K:K,0)-3)</f>
        <v>Entergy Corporation</v>
      </c>
      <c r="D50" s="129" t="str">
        <f>INDEX('Exhibit AEB-11 CapEx 1'!C:C,MATCH('Exhibit AEB-11 CapEx 2'!$C50,'Exhibit AEB-11 CapEx 1'!A:A,0))</f>
        <v>ETR</v>
      </c>
      <c r="E50" s="143">
        <f>INDEX('Exhibit AEB-11 CapEx 1'!J:J,MATCH('Exhibit AEB-11 CapEx 2'!$D50,'Exhibit AEB-11 CapEx 1'!C:C,0)+3)</f>
        <v>0.64887095765309311</v>
      </c>
      <c r="F50" s="128"/>
      <c r="G50" s="143"/>
    </row>
    <row r="51" spans="2:7">
      <c r="B51" s="126">
        <v>23</v>
      </c>
      <c r="C51" s="129" t="str">
        <f>INDEX('Exhibit AEB-11 CapEx 1'!A:A,MATCH('Exhibit AEB-11 CapEx 2'!$B51,'Exhibit AEB-11 CapEx 1'!K:K,0)-3)</f>
        <v>NextEra Energy, Inc.</v>
      </c>
      <c r="D51" s="129" t="str">
        <f>INDEX('Exhibit AEB-11 CapEx 1'!C:C,MATCH('Exhibit AEB-11 CapEx 2'!$C51,'Exhibit AEB-11 CapEx 1'!A:A,0))</f>
        <v>NEE</v>
      </c>
      <c r="E51" s="143">
        <f>INDEX('Exhibit AEB-11 CapEx 1'!J:J,MATCH('Exhibit AEB-11 CapEx 2'!$D51,'Exhibit AEB-11 CapEx 1'!C:C,0)+3)</f>
        <v>0.71254478630534313</v>
      </c>
      <c r="F51" s="128"/>
      <c r="G51" s="143"/>
    </row>
    <row r="52" spans="2:7">
      <c r="B52" s="126">
        <v>24</v>
      </c>
      <c r="C52" s="129" t="str">
        <f>INDEX('Exhibit AEB-11 CapEx 1'!A:A,MATCH('Exhibit AEB-11 CapEx 2'!$B52,'Exhibit AEB-11 CapEx 1'!K:K,0)-3)</f>
        <v>CenterPoint Energy, Inc.</v>
      </c>
      <c r="D52" s="129" t="str">
        <f>INDEX('Exhibit AEB-11 CapEx 1'!C:C,MATCH('Exhibit AEB-11 CapEx 2'!$C52,'Exhibit AEB-11 CapEx 1'!A:A,0))</f>
        <v>CNP</v>
      </c>
      <c r="E52" s="143">
        <f>INDEX('Exhibit AEB-11 CapEx 1'!J:J,MATCH('Exhibit AEB-11 CapEx 2'!$D52,'Exhibit AEB-11 CapEx 1'!C:C,0)+3)</f>
        <v>0.93931572201651947</v>
      </c>
      <c r="F52" s="128"/>
      <c r="G52" s="143"/>
    </row>
    <row r="53" spans="2:7">
      <c r="D53" s="129"/>
      <c r="E53" s="129"/>
    </row>
    <row r="54" spans="2:7">
      <c r="C54" s="232" t="s">
        <v>1245</v>
      </c>
      <c r="D54" s="233"/>
      <c r="E54" s="234">
        <f>MEDIAN(E29:E44,E46:E52)</f>
        <v>0.46994387027797574</v>
      </c>
      <c r="F54" s="144"/>
    </row>
    <row r="55" spans="2:7" ht="13.5" thickBot="1">
      <c r="C55" s="145" t="s">
        <v>1567</v>
      </c>
      <c r="D55" s="146"/>
      <c r="E55" s="147">
        <f>'Exhibit AEB-11 CapEx 1'!J136</f>
        <v>1.2767482202610601</v>
      </c>
    </row>
    <row r="56" spans="2:7">
      <c r="D56" s="129"/>
      <c r="E56" s="148"/>
    </row>
    <row r="57" spans="2:7">
      <c r="D57" s="129"/>
      <c r="E57" s="148"/>
    </row>
    <row r="58" spans="2:7">
      <c r="C58" s="149" t="s">
        <v>23</v>
      </c>
    </row>
    <row r="59" spans="2:7">
      <c r="C59" s="126" t="s">
        <v>1548</v>
      </c>
    </row>
    <row r="61" spans="2:7">
      <c r="F61" s="129"/>
      <c r="G61" s="129"/>
    </row>
    <row r="62" spans="2:7">
      <c r="C62" s="129"/>
      <c r="F62" s="129"/>
      <c r="G62" s="129"/>
    </row>
    <row r="63" spans="2:7">
      <c r="C63" s="129"/>
      <c r="F63" s="129"/>
      <c r="G63" s="129"/>
    </row>
    <row r="64" spans="2:7">
      <c r="C64" s="129"/>
      <c r="F64" s="129"/>
      <c r="G64" s="129"/>
    </row>
    <row r="65" spans="3:7">
      <c r="C65" s="129"/>
      <c r="D65" s="129"/>
      <c r="E65" s="129"/>
      <c r="F65" s="129"/>
      <c r="G65" s="129"/>
    </row>
    <row r="66" spans="3:7">
      <c r="C66" s="129"/>
      <c r="D66" s="129"/>
      <c r="E66" s="129"/>
      <c r="F66" s="129"/>
      <c r="G66" s="129"/>
    </row>
    <row r="67" spans="3:7">
      <c r="C67" s="129"/>
      <c r="D67" s="129"/>
      <c r="E67" s="129"/>
      <c r="F67" s="129"/>
      <c r="G67" s="129"/>
    </row>
    <row r="68" spans="3:7">
      <c r="C68" s="129"/>
      <c r="D68" s="129"/>
      <c r="E68" s="129"/>
      <c r="F68" s="129"/>
      <c r="G68" s="129"/>
    </row>
    <row r="69" spans="3:7">
      <c r="C69" s="129"/>
      <c r="D69" s="129"/>
      <c r="E69" s="129"/>
      <c r="F69" s="129"/>
      <c r="G69" s="129"/>
    </row>
    <row r="70" spans="3:7">
      <c r="C70" s="129"/>
      <c r="D70" s="129"/>
      <c r="E70" s="129"/>
      <c r="F70" s="129"/>
      <c r="G70" s="129"/>
    </row>
    <row r="71" spans="3:7">
      <c r="D71" s="129"/>
      <c r="E71" s="129"/>
      <c r="F71" s="129"/>
    </row>
    <row r="72" spans="3:7">
      <c r="D72" s="129"/>
      <c r="E72" s="129"/>
      <c r="F72" s="129"/>
    </row>
    <row r="73" spans="3:7">
      <c r="D73" s="129"/>
      <c r="E73" s="129"/>
      <c r="F73" s="129"/>
    </row>
    <row r="74" spans="3:7">
      <c r="D74" s="129"/>
      <c r="E74" s="129"/>
      <c r="F74" s="129"/>
    </row>
  </sheetData>
  <printOptions horizontalCentered="1"/>
  <pageMargins left="0.7" right="0.7" top="1.25" bottom="0.75" header="0.3" footer="0.3"/>
  <pageSetup scale="85" firstPageNumber="3" orientation="portrait" useFirstPageNumber="1" r:id="rId1"/>
  <headerFooter>
    <oddHeader>&amp;RDocket No. UE-19____
PacifiCorp
Exhibit No. AEB-11
Page &amp;P of 3</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151"/>
  <sheetViews>
    <sheetView zoomScale="85" zoomScaleNormal="85" zoomScaleSheetLayoutView="85" workbookViewId="0">
      <pane ySplit="6" topLeftCell="A7" activePane="bottomLeft" state="frozen"/>
      <selection pane="bottomLeft" activeCell="R128" sqref="R128"/>
    </sheetView>
  </sheetViews>
  <sheetFormatPr defaultColWidth="9" defaultRowHeight="12.75"/>
  <cols>
    <col min="1" max="1" width="30.7109375" style="125" customWidth="1"/>
    <col min="2" max="2" width="14.42578125" style="125" bestFit="1" customWidth="1"/>
    <col min="3" max="3" width="16.5703125" style="125" bestFit="1" customWidth="1"/>
    <col min="4" max="4" width="20.140625" style="295" customWidth="1"/>
    <col min="5" max="5" width="14.85546875" style="125" bestFit="1" customWidth="1"/>
    <col min="6" max="6" width="14.85546875" style="295" bestFit="1" customWidth="1"/>
    <col min="7" max="7" width="9.5703125" style="125" customWidth="1"/>
    <col min="8" max="8" width="8.28515625" style="295" bestFit="1" customWidth="1"/>
    <col min="9" max="9" width="9.5703125" style="125" customWidth="1"/>
    <col min="10" max="10" width="9.28515625" style="295" customWidth="1"/>
    <col min="11" max="11" width="9.140625" style="125" customWidth="1"/>
    <col min="12" max="12" width="12" style="295" customWidth="1"/>
    <col min="13" max="13" width="11" style="125" customWidth="1"/>
    <col min="14" max="16384" width="9" style="125"/>
  </cols>
  <sheetData>
    <row r="1" spans="1:14">
      <c r="A1" s="126"/>
      <c r="B1" s="126"/>
      <c r="C1" s="126"/>
      <c r="D1" s="286"/>
      <c r="E1" s="126"/>
      <c r="F1" s="286"/>
      <c r="G1" s="126"/>
      <c r="H1" s="286"/>
      <c r="I1" s="126"/>
      <c r="J1" s="286"/>
      <c r="K1" s="126"/>
      <c r="L1" s="286"/>
      <c r="M1" s="126"/>
      <c r="N1" s="126"/>
    </row>
    <row r="2" spans="1:14">
      <c r="A2" s="404" t="s">
        <v>1471</v>
      </c>
      <c r="B2" s="404"/>
      <c r="C2" s="404"/>
      <c r="D2" s="404"/>
      <c r="E2" s="404"/>
      <c r="F2" s="404"/>
      <c r="G2" s="404"/>
      <c r="H2" s="404"/>
      <c r="I2" s="404"/>
      <c r="J2" s="404"/>
      <c r="K2" s="404"/>
      <c r="L2" s="404"/>
      <c r="M2" s="126"/>
      <c r="N2" s="126"/>
    </row>
    <row r="3" spans="1:14">
      <c r="A3" s="404" t="s">
        <v>1447</v>
      </c>
      <c r="B3" s="404"/>
      <c r="C3" s="404"/>
      <c r="D3" s="404"/>
      <c r="E3" s="404"/>
      <c r="F3" s="404"/>
      <c r="G3" s="404"/>
      <c r="H3" s="404"/>
      <c r="I3" s="404"/>
      <c r="J3" s="404"/>
      <c r="K3" s="404"/>
      <c r="L3" s="404"/>
      <c r="M3" s="126"/>
      <c r="N3" s="126"/>
    </row>
    <row r="4" spans="1:14">
      <c r="A4" s="126"/>
      <c r="B4" s="126"/>
      <c r="C4" s="126"/>
      <c r="D4" s="286"/>
      <c r="E4" s="126"/>
      <c r="F4" s="286"/>
      <c r="G4" s="126"/>
      <c r="H4" s="286"/>
      <c r="I4" s="126"/>
      <c r="J4" s="286"/>
      <c r="K4" s="126"/>
      <c r="L4" s="286"/>
      <c r="M4" s="126"/>
      <c r="N4" s="126"/>
    </row>
    <row r="5" spans="1:14" ht="13.5" thickBot="1">
      <c r="A5" s="126"/>
      <c r="B5" s="126"/>
      <c r="C5" s="126"/>
      <c r="D5" s="266" t="s">
        <v>4</v>
      </c>
      <c r="E5" s="402" t="s">
        <v>5</v>
      </c>
      <c r="F5" s="403"/>
      <c r="G5" s="402" t="s">
        <v>6</v>
      </c>
      <c r="H5" s="406"/>
      <c r="I5" s="402" t="s">
        <v>7</v>
      </c>
      <c r="J5" s="406"/>
      <c r="K5" s="402" t="s">
        <v>8</v>
      </c>
      <c r="L5" s="406"/>
      <c r="M5" s="126"/>
      <c r="N5" s="126"/>
    </row>
    <row r="6" spans="1:14" ht="32.25" customHeight="1">
      <c r="A6" s="239" t="s">
        <v>196</v>
      </c>
      <c r="B6" s="239" t="s">
        <v>1222</v>
      </c>
      <c r="C6" s="239" t="s">
        <v>1223</v>
      </c>
      <c r="D6" s="287" t="s">
        <v>1473</v>
      </c>
      <c r="E6" s="265"/>
      <c r="F6" s="300" t="s">
        <v>1224</v>
      </c>
      <c r="G6" s="407" t="s">
        <v>1225</v>
      </c>
      <c r="H6" s="407"/>
      <c r="I6" s="405" t="s">
        <v>1448</v>
      </c>
      <c r="J6" s="405"/>
      <c r="K6" s="405" t="s">
        <v>1449</v>
      </c>
      <c r="L6" s="405"/>
      <c r="M6" s="126"/>
      <c r="N6" s="126"/>
    </row>
    <row r="7" spans="1:14">
      <c r="A7" s="126"/>
      <c r="B7" s="127" t="s">
        <v>1450</v>
      </c>
      <c r="C7" s="240"/>
      <c r="D7" s="288"/>
      <c r="E7" s="209"/>
      <c r="F7" s="288"/>
      <c r="G7" s="209"/>
      <c r="H7" s="288"/>
      <c r="I7" s="238"/>
      <c r="J7" s="267" t="s">
        <v>1450</v>
      </c>
      <c r="K7" s="238"/>
      <c r="L7" s="267" t="s">
        <v>1450</v>
      </c>
      <c r="M7" s="126"/>
      <c r="N7" s="209"/>
    </row>
    <row r="8" spans="1:14">
      <c r="A8" s="286" t="s">
        <v>1267</v>
      </c>
      <c r="B8" s="321" t="s">
        <v>1464</v>
      </c>
      <c r="C8" s="322" t="s">
        <v>1452</v>
      </c>
      <c r="D8" s="288" t="s">
        <v>1208</v>
      </c>
      <c r="E8" s="288"/>
      <c r="F8" s="288" t="s">
        <v>1233</v>
      </c>
      <c r="G8" s="288"/>
      <c r="H8" s="288" t="s">
        <v>1216</v>
      </c>
      <c r="I8" s="267"/>
      <c r="J8" s="267" t="s">
        <v>79</v>
      </c>
      <c r="K8" s="267"/>
      <c r="L8" s="267" t="s">
        <v>79</v>
      </c>
      <c r="M8" s="126"/>
      <c r="N8" s="209"/>
    </row>
    <row r="9" spans="1:14">
      <c r="A9" s="286" t="s">
        <v>1269</v>
      </c>
      <c r="B9" s="321" t="s">
        <v>1474</v>
      </c>
      <c r="C9" s="322" t="s">
        <v>1452</v>
      </c>
      <c r="D9" s="288" t="s">
        <v>1208</v>
      </c>
      <c r="E9" s="288"/>
      <c r="F9" s="288" t="s">
        <v>1230</v>
      </c>
      <c r="G9" s="288"/>
      <c r="H9" s="288" t="s">
        <v>1216</v>
      </c>
      <c r="I9" s="267"/>
      <c r="J9" s="267" t="s">
        <v>79</v>
      </c>
      <c r="K9" s="267"/>
      <c r="L9" s="267" t="s">
        <v>79</v>
      </c>
      <c r="M9" s="126"/>
      <c r="N9" s="209"/>
    </row>
    <row r="10" spans="1:14">
      <c r="A10" s="286"/>
      <c r="B10" s="321" t="s">
        <v>1474</v>
      </c>
      <c r="C10" s="322" t="s">
        <v>1229</v>
      </c>
      <c r="D10" s="288" t="s">
        <v>1208</v>
      </c>
      <c r="E10" s="288"/>
      <c r="F10" s="288" t="s">
        <v>1230</v>
      </c>
      <c r="G10" s="288"/>
      <c r="H10" s="288" t="s">
        <v>1216</v>
      </c>
      <c r="I10" s="267"/>
      <c r="J10" s="267" t="s">
        <v>79</v>
      </c>
      <c r="K10" s="267"/>
      <c r="L10" s="267" t="s">
        <v>79</v>
      </c>
      <c r="M10" s="126"/>
      <c r="N10" s="209"/>
    </row>
    <row r="11" spans="1:14">
      <c r="A11" s="286"/>
      <c r="B11" s="321" t="s">
        <v>1475</v>
      </c>
      <c r="C11" s="322" t="s">
        <v>1452</v>
      </c>
      <c r="D11" s="288" t="s">
        <v>1208</v>
      </c>
      <c r="E11" s="288"/>
      <c r="F11" s="288" t="s">
        <v>1233</v>
      </c>
      <c r="G11" s="288"/>
      <c r="H11" s="288" t="s">
        <v>1216</v>
      </c>
      <c r="I11" s="267"/>
      <c r="J11" s="267" t="s">
        <v>79</v>
      </c>
      <c r="K11" s="267"/>
      <c r="L11" s="267" t="s">
        <v>79</v>
      </c>
      <c r="M11" s="126"/>
      <c r="N11" s="209"/>
    </row>
    <row r="12" spans="1:14">
      <c r="A12" s="286"/>
      <c r="B12" s="321" t="s">
        <v>1475</v>
      </c>
      <c r="C12" s="322" t="s">
        <v>1229</v>
      </c>
      <c r="D12" s="288" t="s">
        <v>1208</v>
      </c>
      <c r="E12" s="288"/>
      <c r="F12" s="288" t="s">
        <v>1233</v>
      </c>
      <c r="G12" s="288"/>
      <c r="H12" s="288" t="s">
        <v>1216</v>
      </c>
      <c r="I12" s="267"/>
      <c r="J12" s="267" t="s">
        <v>79</v>
      </c>
      <c r="K12" s="267"/>
      <c r="L12" s="267" t="s">
        <v>79</v>
      </c>
      <c r="M12" s="126"/>
      <c r="N12" s="209"/>
    </row>
    <row r="13" spans="1:14">
      <c r="A13" s="324" t="s">
        <v>1270</v>
      </c>
      <c r="B13" s="325" t="s">
        <v>1451</v>
      </c>
      <c r="C13" s="326" t="s">
        <v>1452</v>
      </c>
      <c r="D13" s="266" t="s">
        <v>1472</v>
      </c>
      <c r="E13" s="266"/>
      <c r="F13" s="266" t="s">
        <v>1230</v>
      </c>
      <c r="G13" s="266"/>
      <c r="H13" s="266" t="s">
        <v>1231</v>
      </c>
      <c r="I13" s="267"/>
      <c r="J13" s="267" t="s">
        <v>79</v>
      </c>
      <c r="K13" s="267"/>
      <c r="L13" s="267" t="s">
        <v>79</v>
      </c>
      <c r="M13" s="126"/>
      <c r="N13" s="209"/>
    </row>
    <row r="14" spans="1:14">
      <c r="A14" s="286"/>
      <c r="B14" s="325" t="s">
        <v>1451</v>
      </c>
      <c r="C14" s="326" t="s">
        <v>1229</v>
      </c>
      <c r="D14" s="266" t="s">
        <v>1208</v>
      </c>
      <c r="E14" s="266"/>
      <c r="F14" s="266" t="s">
        <v>1233</v>
      </c>
      <c r="G14" s="266"/>
      <c r="H14" s="266" t="s">
        <v>1216</v>
      </c>
      <c r="I14" s="267"/>
      <c r="J14" s="267" t="s">
        <v>1227</v>
      </c>
      <c r="K14" s="267"/>
      <c r="L14" s="267" t="s">
        <v>1208</v>
      </c>
      <c r="M14" s="126"/>
      <c r="N14" s="209"/>
    </row>
    <row r="15" spans="1:14">
      <c r="A15" s="286"/>
      <c r="B15" s="325" t="s">
        <v>1243</v>
      </c>
      <c r="C15" s="326" t="s">
        <v>1452</v>
      </c>
      <c r="D15" s="266" t="s">
        <v>1520</v>
      </c>
      <c r="E15" s="266"/>
      <c r="F15" s="266" t="s">
        <v>1230</v>
      </c>
      <c r="G15" s="266"/>
      <c r="H15" s="266" t="s">
        <v>1231</v>
      </c>
      <c r="I15" s="267"/>
      <c r="J15" s="267" t="s">
        <v>1227</v>
      </c>
      <c r="K15" s="267"/>
      <c r="L15" s="267" t="s">
        <v>1208</v>
      </c>
      <c r="M15" s="126"/>
      <c r="N15" s="209"/>
    </row>
    <row r="16" spans="1:14">
      <c r="A16" s="286"/>
      <c r="B16" s="325" t="s">
        <v>1243</v>
      </c>
      <c r="C16" s="326" t="s">
        <v>1229</v>
      </c>
      <c r="D16" s="266" t="s">
        <v>1208</v>
      </c>
      <c r="E16" s="266"/>
      <c r="F16" s="266" t="s">
        <v>1230</v>
      </c>
      <c r="G16" s="266"/>
      <c r="H16" s="266" t="s">
        <v>1231</v>
      </c>
      <c r="I16" s="267"/>
      <c r="J16" s="267" t="s">
        <v>1227</v>
      </c>
      <c r="K16" s="267"/>
      <c r="L16" s="267" t="s">
        <v>1208</v>
      </c>
      <c r="M16" s="126"/>
      <c r="N16" s="209"/>
    </row>
    <row r="17" spans="1:14">
      <c r="A17" s="286" t="s">
        <v>1271</v>
      </c>
      <c r="B17" s="325" t="s">
        <v>1453</v>
      </c>
      <c r="C17" s="326" t="s">
        <v>1452</v>
      </c>
      <c r="D17" s="266" t="s">
        <v>1208</v>
      </c>
      <c r="E17" s="266"/>
      <c r="F17" s="266" t="s">
        <v>1238</v>
      </c>
      <c r="G17" s="266"/>
      <c r="H17" s="266" t="s">
        <v>1231</v>
      </c>
      <c r="I17" s="267"/>
      <c r="J17" s="267" t="s">
        <v>1227</v>
      </c>
      <c r="K17" s="267"/>
      <c r="L17" s="267" t="s">
        <v>1208</v>
      </c>
      <c r="M17" s="126"/>
      <c r="N17" s="209"/>
    </row>
    <row r="18" spans="1:14">
      <c r="A18" s="286"/>
      <c r="B18" s="325" t="s">
        <v>1454</v>
      </c>
      <c r="C18" s="326" t="s">
        <v>1452</v>
      </c>
      <c r="D18" s="266" t="s">
        <v>1208</v>
      </c>
      <c r="E18" s="266"/>
      <c r="F18" s="266" t="s">
        <v>1233</v>
      </c>
      <c r="G18" s="266"/>
      <c r="H18" s="266" t="s">
        <v>1231</v>
      </c>
      <c r="I18" s="267"/>
      <c r="J18" s="267" t="s">
        <v>1227</v>
      </c>
      <c r="K18" s="267"/>
      <c r="L18" s="267" t="s">
        <v>1208</v>
      </c>
      <c r="M18" s="126"/>
      <c r="N18" s="209"/>
    </row>
    <row r="19" spans="1:14">
      <c r="A19" s="286"/>
      <c r="B19" s="325" t="s">
        <v>1232</v>
      </c>
      <c r="C19" s="326" t="s">
        <v>1452</v>
      </c>
      <c r="D19" s="266" t="s">
        <v>1208</v>
      </c>
      <c r="E19" s="266"/>
      <c r="F19" s="266" t="s">
        <v>1233</v>
      </c>
      <c r="G19" s="266"/>
      <c r="H19" s="266" t="s">
        <v>1231</v>
      </c>
      <c r="I19" s="267"/>
      <c r="J19" s="267" t="s">
        <v>1227</v>
      </c>
      <c r="K19" s="267"/>
      <c r="L19" s="267" t="s">
        <v>79</v>
      </c>
      <c r="M19" s="126"/>
      <c r="N19" s="209"/>
    </row>
    <row r="20" spans="1:14">
      <c r="A20" s="286"/>
      <c r="B20" s="325" t="s">
        <v>1234</v>
      </c>
      <c r="C20" s="326" t="s">
        <v>1452</v>
      </c>
      <c r="D20" s="266" t="s">
        <v>1208</v>
      </c>
      <c r="E20" s="266"/>
      <c r="F20" s="266" t="s">
        <v>1230</v>
      </c>
      <c r="G20" s="266"/>
      <c r="H20" s="266" t="s">
        <v>1231</v>
      </c>
      <c r="I20" s="267"/>
      <c r="J20" s="267" t="s">
        <v>1227</v>
      </c>
      <c r="K20" s="267"/>
      <c r="L20" s="267" t="s">
        <v>79</v>
      </c>
      <c r="M20" s="126"/>
      <c r="N20" s="209"/>
    </row>
    <row r="21" spans="1:14">
      <c r="A21" s="286"/>
      <c r="B21" s="325" t="s">
        <v>1455</v>
      </c>
      <c r="C21" s="326" t="s">
        <v>1452</v>
      </c>
      <c r="D21" s="266" t="s">
        <v>1208</v>
      </c>
      <c r="E21" s="266"/>
      <c r="F21" s="266" t="s">
        <v>1233</v>
      </c>
      <c r="G21" s="266"/>
      <c r="H21" s="266" t="s">
        <v>1216</v>
      </c>
      <c r="I21" s="267"/>
      <c r="J21" s="267" t="s">
        <v>79</v>
      </c>
      <c r="K21" s="267"/>
      <c r="L21" s="267" t="s">
        <v>79</v>
      </c>
      <c r="M21" s="126"/>
      <c r="N21" s="209"/>
    </row>
    <row r="22" spans="1:14">
      <c r="A22" s="286"/>
      <c r="B22" s="325" t="s">
        <v>1456</v>
      </c>
      <c r="C22" s="326" t="s">
        <v>1452</v>
      </c>
      <c r="D22" s="266" t="s">
        <v>1472</v>
      </c>
      <c r="E22" s="266"/>
      <c r="F22" s="266" t="s">
        <v>1238</v>
      </c>
      <c r="G22" s="266"/>
      <c r="H22" s="266" t="s">
        <v>1231</v>
      </c>
      <c r="I22" s="267"/>
      <c r="J22" s="267" t="s">
        <v>1227</v>
      </c>
      <c r="K22" s="267"/>
      <c r="L22" s="267" t="s">
        <v>1208</v>
      </c>
      <c r="M22" s="126"/>
      <c r="N22" s="209"/>
    </row>
    <row r="23" spans="1:14">
      <c r="A23" s="286"/>
      <c r="B23" s="325" t="s">
        <v>1241</v>
      </c>
      <c r="C23" s="326" t="s">
        <v>1452</v>
      </c>
      <c r="D23" s="266" t="s">
        <v>1208</v>
      </c>
      <c r="E23" s="266"/>
      <c r="F23" s="266" t="s">
        <v>1230</v>
      </c>
      <c r="G23" s="266"/>
      <c r="H23" s="266" t="s">
        <v>1231</v>
      </c>
      <c r="I23" s="267"/>
      <c r="J23" s="267" t="s">
        <v>1227</v>
      </c>
      <c r="K23" s="267"/>
      <c r="L23" s="267" t="s">
        <v>1208</v>
      </c>
      <c r="M23" s="126"/>
      <c r="N23" s="209"/>
    </row>
    <row r="24" spans="1:14">
      <c r="A24" s="286"/>
      <c r="B24" s="325" t="s">
        <v>1236</v>
      </c>
      <c r="C24" s="326" t="s">
        <v>1452</v>
      </c>
      <c r="D24" s="266" t="s">
        <v>1208</v>
      </c>
      <c r="E24" s="266"/>
      <c r="F24" s="266" t="s">
        <v>1233</v>
      </c>
      <c r="G24" s="266"/>
      <c r="H24" s="266" t="s">
        <v>1216</v>
      </c>
      <c r="I24" s="267"/>
      <c r="J24" s="267" t="s">
        <v>79</v>
      </c>
      <c r="K24" s="267"/>
      <c r="L24" s="267" t="s">
        <v>79</v>
      </c>
      <c r="M24" s="126"/>
      <c r="N24" s="209"/>
    </row>
    <row r="25" spans="1:14">
      <c r="A25" s="286"/>
      <c r="B25" s="325" t="s">
        <v>1457</v>
      </c>
      <c r="C25" s="326" t="s">
        <v>1452</v>
      </c>
      <c r="D25" s="267" t="s">
        <v>1472</v>
      </c>
      <c r="E25" s="266"/>
      <c r="F25" s="266" t="s">
        <v>1230</v>
      </c>
      <c r="G25" s="266"/>
      <c r="H25" s="266" t="s">
        <v>1231</v>
      </c>
      <c r="I25" s="267"/>
      <c r="J25" s="267" t="s">
        <v>79</v>
      </c>
      <c r="K25" s="267"/>
      <c r="L25" s="267" t="s">
        <v>1208</v>
      </c>
      <c r="M25" s="126"/>
      <c r="N25" s="209"/>
    </row>
    <row r="26" spans="1:14">
      <c r="A26" s="286"/>
      <c r="B26" s="325" t="s">
        <v>1458</v>
      </c>
      <c r="C26" s="326" t="s">
        <v>1452</v>
      </c>
      <c r="D26" s="266" t="s">
        <v>1208</v>
      </c>
      <c r="E26" s="266"/>
      <c r="F26" s="266" t="s">
        <v>1230</v>
      </c>
      <c r="G26" s="266"/>
      <c r="H26" s="266" t="s">
        <v>1231</v>
      </c>
      <c r="I26" s="267"/>
      <c r="J26" s="267" t="s">
        <v>79</v>
      </c>
      <c r="K26" s="267"/>
      <c r="L26" s="267" t="s">
        <v>1208</v>
      </c>
      <c r="M26" s="126"/>
      <c r="N26" s="209"/>
    </row>
    <row r="27" spans="1:14">
      <c r="A27" s="286"/>
      <c r="B27" s="325" t="s">
        <v>1459</v>
      </c>
      <c r="C27" s="326" t="s">
        <v>1452</v>
      </c>
      <c r="D27" s="266" t="s">
        <v>1208</v>
      </c>
      <c r="E27" s="266"/>
      <c r="F27" s="266" t="s">
        <v>1230</v>
      </c>
      <c r="G27" s="266"/>
      <c r="H27" s="266" t="s">
        <v>1216</v>
      </c>
      <c r="I27" s="267"/>
      <c r="J27" s="267" t="s">
        <v>79</v>
      </c>
      <c r="K27" s="267"/>
      <c r="L27" s="267" t="s">
        <v>79</v>
      </c>
      <c r="M27" s="126"/>
      <c r="N27" s="209"/>
    </row>
    <row r="28" spans="1:14">
      <c r="A28" s="286" t="s">
        <v>1272</v>
      </c>
      <c r="B28" s="321" t="s">
        <v>1476</v>
      </c>
      <c r="C28" s="322" t="s">
        <v>1452</v>
      </c>
      <c r="D28" s="266" t="s">
        <v>1208</v>
      </c>
      <c r="E28" s="266"/>
      <c r="F28" s="266" t="s">
        <v>1230</v>
      </c>
      <c r="G28" s="266"/>
      <c r="H28" s="266" t="s">
        <v>1216</v>
      </c>
      <c r="I28" s="267"/>
      <c r="J28" s="267" t="s">
        <v>79</v>
      </c>
      <c r="K28" s="267"/>
      <c r="L28" s="267" t="s">
        <v>79</v>
      </c>
      <c r="M28" s="126"/>
      <c r="N28" s="209"/>
    </row>
    <row r="29" spans="1:14">
      <c r="A29" s="286"/>
      <c r="B29" s="321" t="s">
        <v>1477</v>
      </c>
      <c r="C29" s="322" t="s">
        <v>1452</v>
      </c>
      <c r="D29" s="267" t="s">
        <v>1520</v>
      </c>
      <c r="E29" s="266"/>
      <c r="F29" s="266" t="s">
        <v>1230</v>
      </c>
      <c r="G29" s="266"/>
      <c r="H29" s="267" t="s">
        <v>1231</v>
      </c>
      <c r="I29" s="267"/>
      <c r="J29" s="267" t="s">
        <v>1226</v>
      </c>
      <c r="K29" s="267"/>
      <c r="L29" s="267" t="s">
        <v>79</v>
      </c>
      <c r="M29" s="126"/>
      <c r="N29" s="209"/>
    </row>
    <row r="30" spans="1:14">
      <c r="A30" s="286"/>
      <c r="B30" s="321" t="s">
        <v>1477</v>
      </c>
      <c r="C30" s="322" t="s">
        <v>1229</v>
      </c>
      <c r="D30" s="266" t="s">
        <v>1208</v>
      </c>
      <c r="E30" s="266"/>
      <c r="F30" s="266" t="s">
        <v>1230</v>
      </c>
      <c r="G30" s="266"/>
      <c r="H30" s="267" t="s">
        <v>1231</v>
      </c>
      <c r="I30" s="267"/>
      <c r="J30" s="267" t="s">
        <v>1226</v>
      </c>
      <c r="K30" s="267"/>
      <c r="L30" s="267" t="s">
        <v>79</v>
      </c>
      <c r="M30" s="126"/>
      <c r="N30" s="209"/>
    </row>
    <row r="31" spans="1:14">
      <c r="A31" s="286"/>
      <c r="B31" s="321" t="s">
        <v>1239</v>
      </c>
      <c r="C31" s="322" t="s">
        <v>1229</v>
      </c>
      <c r="D31" s="267" t="s">
        <v>1520</v>
      </c>
      <c r="E31" s="266"/>
      <c r="F31" s="266" t="s">
        <v>1233</v>
      </c>
      <c r="G31" s="266"/>
      <c r="H31" s="266" t="s">
        <v>1231</v>
      </c>
      <c r="I31" s="267"/>
      <c r="J31" s="267" t="s">
        <v>1226</v>
      </c>
      <c r="K31" s="267"/>
      <c r="L31" s="267" t="s">
        <v>79</v>
      </c>
      <c r="M31" s="126"/>
      <c r="N31" s="209"/>
    </row>
    <row r="32" spans="1:14">
      <c r="A32" s="286"/>
      <c r="B32" s="321" t="s">
        <v>1240</v>
      </c>
      <c r="C32" s="322" t="s">
        <v>1452</v>
      </c>
      <c r="D32" s="267" t="s">
        <v>1520</v>
      </c>
      <c r="E32" s="266"/>
      <c r="F32" s="266" t="s">
        <v>1230</v>
      </c>
      <c r="G32" s="266"/>
      <c r="H32" s="266" t="s">
        <v>1216</v>
      </c>
      <c r="I32" s="267"/>
      <c r="J32" s="267" t="s">
        <v>1227</v>
      </c>
      <c r="K32" s="267"/>
      <c r="L32" s="267" t="s">
        <v>79</v>
      </c>
      <c r="M32" s="126"/>
      <c r="N32" s="209"/>
    </row>
    <row r="33" spans="1:14">
      <c r="A33" s="286"/>
      <c r="B33" s="321" t="s">
        <v>1240</v>
      </c>
      <c r="C33" s="322" t="s">
        <v>1229</v>
      </c>
      <c r="D33" s="266" t="s">
        <v>1208</v>
      </c>
      <c r="E33" s="266"/>
      <c r="F33" s="266" t="s">
        <v>1230</v>
      </c>
      <c r="G33" s="266"/>
      <c r="H33" s="266" t="s">
        <v>1216</v>
      </c>
      <c r="I33" s="267"/>
      <c r="J33" s="267" t="s">
        <v>1227</v>
      </c>
      <c r="K33" s="267"/>
      <c r="L33" s="267" t="s">
        <v>79</v>
      </c>
      <c r="M33" s="126"/>
      <c r="N33" s="209"/>
    </row>
    <row r="34" spans="1:14">
      <c r="A34" s="286" t="s">
        <v>1274</v>
      </c>
      <c r="B34" s="321" t="s">
        <v>1453</v>
      </c>
      <c r="C34" s="322" t="s">
        <v>1229</v>
      </c>
      <c r="D34" s="266" t="s">
        <v>1208</v>
      </c>
      <c r="E34" s="266"/>
      <c r="F34" s="266" t="s">
        <v>1233</v>
      </c>
      <c r="G34" s="266"/>
      <c r="H34" s="266" t="s">
        <v>1231</v>
      </c>
      <c r="I34" s="267"/>
      <c r="J34" s="267" t="s">
        <v>1226</v>
      </c>
      <c r="K34" s="267"/>
      <c r="L34" s="267" t="s">
        <v>1208</v>
      </c>
      <c r="M34" s="126"/>
      <c r="N34" s="209"/>
    </row>
    <row r="35" spans="1:14">
      <c r="A35" s="286"/>
      <c r="B35" s="321" t="s">
        <v>1454</v>
      </c>
      <c r="C35" s="322" t="s">
        <v>1452</v>
      </c>
      <c r="D35" s="266" t="s">
        <v>1208</v>
      </c>
      <c r="E35" s="266"/>
      <c r="F35" s="266" t="s">
        <v>1230</v>
      </c>
      <c r="G35" s="266"/>
      <c r="H35" s="266" t="s">
        <v>1231</v>
      </c>
      <c r="I35" s="267"/>
      <c r="J35" s="267" t="s">
        <v>1227</v>
      </c>
      <c r="K35" s="267"/>
      <c r="L35" s="267" t="s">
        <v>1208</v>
      </c>
      <c r="M35" s="126"/>
      <c r="N35" s="209"/>
    </row>
    <row r="36" spans="1:14">
      <c r="A36" s="286"/>
      <c r="B36" s="321" t="s">
        <v>1454</v>
      </c>
      <c r="C36" s="322" t="s">
        <v>1229</v>
      </c>
      <c r="D36" s="266" t="s">
        <v>1208</v>
      </c>
      <c r="E36" s="266"/>
      <c r="F36" s="266" t="s">
        <v>1230</v>
      </c>
      <c r="G36" s="266"/>
      <c r="H36" s="266" t="s">
        <v>1231</v>
      </c>
      <c r="I36" s="267"/>
      <c r="J36" s="267" t="s">
        <v>1226</v>
      </c>
      <c r="K36" s="267"/>
      <c r="L36" s="267" t="s">
        <v>1208</v>
      </c>
      <c r="M36" s="126"/>
      <c r="N36" s="209"/>
    </row>
    <row r="37" spans="1:14">
      <c r="A37" s="286"/>
      <c r="B37" s="321" t="s">
        <v>1234</v>
      </c>
      <c r="C37" s="322" t="s">
        <v>1229</v>
      </c>
      <c r="D37" s="266" t="s">
        <v>1208</v>
      </c>
      <c r="E37" s="266"/>
      <c r="F37" s="266" t="s">
        <v>1230</v>
      </c>
      <c r="G37" s="266"/>
      <c r="H37" s="266" t="s">
        <v>1216</v>
      </c>
      <c r="I37" s="267"/>
      <c r="J37" s="267" t="s">
        <v>1227</v>
      </c>
      <c r="K37" s="267"/>
      <c r="L37" s="267" t="s">
        <v>79</v>
      </c>
      <c r="M37" s="126"/>
      <c r="N37" s="209"/>
    </row>
    <row r="38" spans="1:14">
      <c r="A38" s="286"/>
      <c r="B38" s="321" t="s">
        <v>1464</v>
      </c>
      <c r="C38" s="322" t="s">
        <v>1229</v>
      </c>
      <c r="D38" s="266" t="s">
        <v>1208</v>
      </c>
      <c r="E38" s="266"/>
      <c r="F38" s="266" t="s">
        <v>1233</v>
      </c>
      <c r="G38" s="266"/>
      <c r="H38" s="266" t="s">
        <v>1216</v>
      </c>
      <c r="I38" s="267"/>
      <c r="J38" s="267" t="s">
        <v>1227</v>
      </c>
      <c r="K38" s="267"/>
      <c r="L38" s="267" t="s">
        <v>79</v>
      </c>
      <c r="M38" s="126"/>
      <c r="N38" s="209"/>
    </row>
    <row r="39" spans="1:14">
      <c r="A39" s="286"/>
      <c r="B39" s="321" t="s">
        <v>1525</v>
      </c>
      <c r="C39" s="322" t="s">
        <v>1229</v>
      </c>
      <c r="D39" s="266" t="s">
        <v>1472</v>
      </c>
      <c r="E39" s="266"/>
      <c r="F39" s="267" t="s">
        <v>1238</v>
      </c>
      <c r="G39" s="266"/>
      <c r="H39" s="266" t="s">
        <v>1231</v>
      </c>
      <c r="I39" s="267"/>
      <c r="J39" s="267" t="s">
        <v>1226</v>
      </c>
      <c r="K39" s="267"/>
      <c r="L39" s="267" t="s">
        <v>1208</v>
      </c>
      <c r="M39" s="126"/>
      <c r="N39" s="209"/>
    </row>
    <row r="40" spans="1:14">
      <c r="A40" s="286"/>
      <c r="B40" s="321" t="s">
        <v>1241</v>
      </c>
      <c r="C40" s="322" t="s">
        <v>1229</v>
      </c>
      <c r="D40" s="266" t="s">
        <v>1208</v>
      </c>
      <c r="E40" s="266"/>
      <c r="F40" s="266" t="s">
        <v>1230</v>
      </c>
      <c r="G40" s="266"/>
      <c r="H40" s="266" t="s">
        <v>1231</v>
      </c>
      <c r="I40" s="267"/>
      <c r="J40" s="267" t="s">
        <v>1227</v>
      </c>
      <c r="K40" s="267"/>
      <c r="L40" s="267" t="s">
        <v>79</v>
      </c>
      <c r="M40" s="126"/>
      <c r="N40" s="209"/>
    </row>
    <row r="41" spans="1:14">
      <c r="A41" s="286"/>
      <c r="B41" s="321" t="s">
        <v>1457</v>
      </c>
      <c r="C41" s="322" t="s">
        <v>1452</v>
      </c>
      <c r="D41" s="266" t="s">
        <v>1472</v>
      </c>
      <c r="E41" s="266"/>
      <c r="F41" s="266" t="s">
        <v>1230</v>
      </c>
      <c r="G41" s="266"/>
      <c r="H41" s="266" t="s">
        <v>1231</v>
      </c>
      <c r="I41" s="267"/>
      <c r="J41" s="267" t="s">
        <v>79</v>
      </c>
      <c r="K41" s="267"/>
      <c r="L41" s="267" t="s">
        <v>1208</v>
      </c>
      <c r="M41" s="126"/>
      <c r="N41" s="209"/>
    </row>
    <row r="42" spans="1:14">
      <c r="A42" s="286"/>
      <c r="B42" s="321" t="s">
        <v>1457</v>
      </c>
      <c r="C42" s="322" t="s">
        <v>1229</v>
      </c>
      <c r="D42" s="266" t="s">
        <v>1208</v>
      </c>
      <c r="E42" s="266"/>
      <c r="F42" s="266" t="s">
        <v>1230</v>
      </c>
      <c r="G42" s="266"/>
      <c r="H42" s="266" t="s">
        <v>1231</v>
      </c>
      <c r="I42" s="267"/>
      <c r="J42" s="267" t="s">
        <v>79</v>
      </c>
      <c r="K42" s="267"/>
      <c r="L42" s="267" t="s">
        <v>1208</v>
      </c>
      <c r="M42" s="126"/>
      <c r="N42" s="209"/>
    </row>
    <row r="43" spans="1:14">
      <c r="A43" s="286" t="s">
        <v>1275</v>
      </c>
      <c r="B43" s="321" t="s">
        <v>1455</v>
      </c>
      <c r="C43" s="322" t="s">
        <v>1452</v>
      </c>
      <c r="D43" s="266" t="s">
        <v>1208</v>
      </c>
      <c r="E43" s="266"/>
      <c r="F43" s="266" t="s">
        <v>1233</v>
      </c>
      <c r="G43" s="266"/>
      <c r="H43" s="266" t="s">
        <v>1216</v>
      </c>
      <c r="I43" s="267"/>
      <c r="J43" s="267" t="s">
        <v>79</v>
      </c>
      <c r="K43" s="267"/>
      <c r="L43" s="267" t="s">
        <v>79</v>
      </c>
      <c r="M43" s="126"/>
      <c r="N43" s="209"/>
    </row>
    <row r="44" spans="1:14">
      <c r="A44" s="286"/>
      <c r="B44" s="321" t="s">
        <v>1455</v>
      </c>
      <c r="C44" s="322" t="s">
        <v>1229</v>
      </c>
      <c r="D44" s="266" t="s">
        <v>1208</v>
      </c>
      <c r="E44" s="266"/>
      <c r="F44" s="266" t="s">
        <v>1233</v>
      </c>
      <c r="G44" s="266"/>
      <c r="H44" s="266" t="s">
        <v>1216</v>
      </c>
      <c r="I44" s="267"/>
      <c r="J44" s="267" t="s">
        <v>1227</v>
      </c>
      <c r="K44" s="267"/>
      <c r="L44" s="267" t="s">
        <v>1208</v>
      </c>
      <c r="M44" s="126"/>
      <c r="N44" s="209"/>
    </row>
    <row r="45" spans="1:14">
      <c r="A45" s="286" t="s">
        <v>1276</v>
      </c>
      <c r="B45" s="321" t="s">
        <v>1478</v>
      </c>
      <c r="C45" s="322" t="s">
        <v>1452</v>
      </c>
      <c r="D45" s="266" t="s">
        <v>1208</v>
      </c>
      <c r="E45" s="266"/>
      <c r="F45" s="266" t="s">
        <v>1230</v>
      </c>
      <c r="G45" s="266"/>
      <c r="H45" s="266" t="s">
        <v>1231</v>
      </c>
      <c r="I45" s="267"/>
      <c r="J45" s="267" t="s">
        <v>79</v>
      </c>
      <c r="K45" s="267"/>
      <c r="L45" s="267" t="s">
        <v>79</v>
      </c>
      <c r="M45" s="126"/>
      <c r="N45" s="209"/>
    </row>
    <row r="46" spans="1:14">
      <c r="A46" s="286"/>
      <c r="B46" s="321" t="s">
        <v>1478</v>
      </c>
      <c r="C46" s="322" t="s">
        <v>1229</v>
      </c>
      <c r="D46" s="266" t="s">
        <v>1208</v>
      </c>
      <c r="E46" s="266"/>
      <c r="F46" s="266" t="s">
        <v>1230</v>
      </c>
      <c r="G46" s="266"/>
      <c r="H46" s="266" t="s">
        <v>1231</v>
      </c>
      <c r="I46" s="267"/>
      <c r="J46" s="267" t="s">
        <v>1226</v>
      </c>
      <c r="K46" s="267"/>
      <c r="L46" s="267" t="s">
        <v>1208</v>
      </c>
      <c r="M46" s="126"/>
      <c r="N46" s="209"/>
    </row>
    <row r="47" spans="1:14">
      <c r="A47" s="286"/>
      <c r="B47" s="321" t="s">
        <v>1525</v>
      </c>
      <c r="C47" s="322" t="s">
        <v>1229</v>
      </c>
      <c r="D47" s="266" t="s">
        <v>1472</v>
      </c>
      <c r="E47" s="266"/>
      <c r="F47" s="267" t="s">
        <v>1238</v>
      </c>
      <c r="G47" s="266"/>
      <c r="H47" s="266" t="s">
        <v>1231</v>
      </c>
      <c r="I47" s="267"/>
      <c r="J47" s="267" t="s">
        <v>1226</v>
      </c>
      <c r="K47" s="267"/>
      <c r="L47" s="267" t="s">
        <v>1208</v>
      </c>
      <c r="M47" s="126"/>
      <c r="N47" s="209"/>
    </row>
    <row r="48" spans="1:14">
      <c r="A48" s="286"/>
      <c r="B48" s="321" t="s">
        <v>1479</v>
      </c>
      <c r="C48" s="322" t="s">
        <v>1452</v>
      </c>
      <c r="D48" s="266" t="s">
        <v>1208</v>
      </c>
      <c r="E48" s="266"/>
      <c r="F48" s="266" t="s">
        <v>1230</v>
      </c>
      <c r="G48" s="266"/>
      <c r="H48" s="266" t="s">
        <v>1231</v>
      </c>
      <c r="I48" s="267"/>
      <c r="J48" s="267" t="s">
        <v>79</v>
      </c>
      <c r="K48" s="267"/>
      <c r="L48" s="267" t="s">
        <v>1208</v>
      </c>
      <c r="M48" s="126"/>
      <c r="N48" s="209"/>
    </row>
    <row r="49" spans="1:14">
      <c r="A49" s="286"/>
      <c r="B49" s="321" t="s">
        <v>1479</v>
      </c>
      <c r="C49" s="322" t="s">
        <v>1229</v>
      </c>
      <c r="D49" s="266" t="s">
        <v>1208</v>
      </c>
      <c r="E49" s="266"/>
      <c r="F49" s="266" t="s">
        <v>1230</v>
      </c>
      <c r="G49" s="266"/>
      <c r="H49" s="266" t="s">
        <v>1231</v>
      </c>
      <c r="I49" s="267"/>
      <c r="J49" s="267" t="s">
        <v>1227</v>
      </c>
      <c r="K49" s="267"/>
      <c r="L49" s="267" t="s">
        <v>79</v>
      </c>
      <c r="M49" s="126"/>
      <c r="N49" s="209"/>
    </row>
    <row r="50" spans="1:14">
      <c r="A50" s="286"/>
      <c r="B50" s="321" t="s">
        <v>1480</v>
      </c>
      <c r="C50" s="322" t="s">
        <v>1229</v>
      </c>
      <c r="D50" s="266" t="s">
        <v>1208</v>
      </c>
      <c r="E50" s="266"/>
      <c r="F50" s="266" t="s">
        <v>1233</v>
      </c>
      <c r="G50" s="266"/>
      <c r="H50" s="266" t="s">
        <v>1216</v>
      </c>
      <c r="I50" s="267"/>
      <c r="J50" s="267" t="s">
        <v>1226</v>
      </c>
      <c r="K50" s="267"/>
      <c r="L50" s="267" t="s">
        <v>1208</v>
      </c>
      <c r="M50" s="126"/>
      <c r="N50" s="209"/>
    </row>
    <row r="51" spans="1:14">
      <c r="A51" s="286"/>
      <c r="B51" s="321" t="s">
        <v>1458</v>
      </c>
      <c r="C51" s="322" t="s">
        <v>1452</v>
      </c>
      <c r="D51" s="266" t="s">
        <v>1208</v>
      </c>
      <c r="E51" s="266"/>
      <c r="F51" s="266" t="s">
        <v>1230</v>
      </c>
      <c r="G51" s="266"/>
      <c r="H51" s="266" t="s">
        <v>1231</v>
      </c>
      <c r="I51" s="267"/>
      <c r="J51" s="267" t="s">
        <v>79</v>
      </c>
      <c r="K51" s="267"/>
      <c r="L51" s="267" t="s">
        <v>1208</v>
      </c>
      <c r="M51" s="126"/>
      <c r="N51" s="209"/>
    </row>
    <row r="52" spans="1:14">
      <c r="A52" s="286"/>
      <c r="B52" s="321" t="s">
        <v>1459</v>
      </c>
      <c r="C52" s="322" t="s">
        <v>1229</v>
      </c>
      <c r="D52" s="266" t="s">
        <v>1208</v>
      </c>
      <c r="E52" s="266"/>
      <c r="F52" s="266" t="s">
        <v>1230</v>
      </c>
      <c r="G52" s="266"/>
      <c r="H52" s="266" t="s">
        <v>1216</v>
      </c>
      <c r="I52" s="267"/>
      <c r="J52" s="267" t="s">
        <v>79</v>
      </c>
      <c r="K52" s="267"/>
      <c r="L52" s="267" t="s">
        <v>1208</v>
      </c>
      <c r="M52" s="126"/>
      <c r="N52" s="209"/>
    </row>
    <row r="53" spans="1:14">
      <c r="A53" s="286"/>
      <c r="B53" s="321" t="s">
        <v>1522</v>
      </c>
      <c r="C53" s="322" t="s">
        <v>1229</v>
      </c>
      <c r="D53" s="267" t="s">
        <v>1208</v>
      </c>
      <c r="E53" s="266"/>
      <c r="F53" s="267" t="s">
        <v>1230</v>
      </c>
      <c r="G53" s="266"/>
      <c r="H53" s="267" t="s">
        <v>1231</v>
      </c>
      <c r="I53" s="267"/>
      <c r="J53" s="267" t="s">
        <v>1227</v>
      </c>
      <c r="K53" s="267"/>
      <c r="L53" s="267" t="s">
        <v>79</v>
      </c>
      <c r="M53" s="126"/>
      <c r="N53" s="209"/>
    </row>
    <row r="54" spans="1:14">
      <c r="A54" s="286" t="s">
        <v>1277</v>
      </c>
      <c r="B54" s="325" t="s">
        <v>1455</v>
      </c>
      <c r="C54" s="326" t="s">
        <v>1452</v>
      </c>
      <c r="D54" s="266" t="s">
        <v>1208</v>
      </c>
      <c r="E54" s="266"/>
      <c r="F54" s="266" t="s">
        <v>1233</v>
      </c>
      <c r="G54" s="266"/>
      <c r="H54" s="266" t="s">
        <v>1216</v>
      </c>
      <c r="I54" s="267"/>
      <c r="J54" s="267" t="s">
        <v>79</v>
      </c>
      <c r="K54" s="267"/>
      <c r="L54" s="267" t="s">
        <v>79</v>
      </c>
      <c r="M54" s="126"/>
      <c r="N54" s="209"/>
    </row>
    <row r="55" spans="1:14">
      <c r="A55" s="286"/>
      <c r="B55" s="325" t="s">
        <v>1455</v>
      </c>
      <c r="C55" s="326" t="s">
        <v>1229</v>
      </c>
      <c r="D55" s="266" t="s">
        <v>1208</v>
      </c>
      <c r="E55" s="266"/>
      <c r="F55" s="266" t="s">
        <v>1233</v>
      </c>
      <c r="G55" s="266"/>
      <c r="H55" s="266" t="s">
        <v>1216</v>
      </c>
      <c r="I55" s="267"/>
      <c r="J55" s="267" t="s">
        <v>1227</v>
      </c>
      <c r="K55" s="267"/>
      <c r="L55" s="267" t="s">
        <v>1208</v>
      </c>
      <c r="M55" s="126"/>
      <c r="N55" s="209"/>
    </row>
    <row r="56" spans="1:14">
      <c r="A56" s="286" t="s">
        <v>1278</v>
      </c>
      <c r="B56" s="321" t="s">
        <v>1481</v>
      </c>
      <c r="C56" s="322" t="s">
        <v>1452</v>
      </c>
      <c r="D56" s="266" t="s">
        <v>1208</v>
      </c>
      <c r="E56" s="266"/>
      <c r="F56" s="266" t="s">
        <v>1233</v>
      </c>
      <c r="G56" s="266"/>
      <c r="H56" s="266" t="s">
        <v>1216</v>
      </c>
      <c r="I56" s="267"/>
      <c r="J56" s="267" t="s">
        <v>79</v>
      </c>
      <c r="K56" s="267"/>
      <c r="L56" s="267" t="s">
        <v>1208</v>
      </c>
      <c r="M56" s="126"/>
      <c r="N56" s="209"/>
    </row>
    <row r="57" spans="1:14">
      <c r="A57" s="286"/>
      <c r="B57" s="321" t="s">
        <v>1454</v>
      </c>
      <c r="C57" s="322" t="s">
        <v>1452</v>
      </c>
      <c r="D57" s="266" t="s">
        <v>1208</v>
      </c>
      <c r="E57" s="266"/>
      <c r="F57" s="266" t="s">
        <v>1230</v>
      </c>
      <c r="G57" s="266"/>
      <c r="H57" s="266" t="s">
        <v>1231</v>
      </c>
      <c r="I57" s="267"/>
      <c r="J57" s="267" t="s">
        <v>1227</v>
      </c>
      <c r="K57" s="267"/>
      <c r="L57" s="267" t="s">
        <v>1208</v>
      </c>
      <c r="M57" s="126"/>
      <c r="N57" s="209"/>
    </row>
    <row r="58" spans="1:14">
      <c r="A58" s="286"/>
      <c r="B58" s="321" t="s">
        <v>1232</v>
      </c>
      <c r="C58" s="322" t="s">
        <v>1452</v>
      </c>
      <c r="D58" s="266" t="s">
        <v>1208</v>
      </c>
      <c r="E58" s="266"/>
      <c r="F58" s="267" t="s">
        <v>1233</v>
      </c>
      <c r="G58" s="266"/>
      <c r="H58" s="267" t="s">
        <v>1216</v>
      </c>
      <c r="I58" s="267"/>
      <c r="J58" s="267" t="s">
        <v>1227</v>
      </c>
      <c r="K58" s="267"/>
      <c r="L58" s="267" t="s">
        <v>79</v>
      </c>
      <c r="M58" s="126"/>
      <c r="N58" s="209"/>
    </row>
    <row r="59" spans="1:14">
      <c r="A59" s="286"/>
      <c r="B59" s="321" t="s">
        <v>1232</v>
      </c>
      <c r="C59" s="322" t="s">
        <v>1229</v>
      </c>
      <c r="D59" s="266" t="s">
        <v>1208</v>
      </c>
      <c r="E59" s="266"/>
      <c r="F59" s="267" t="s">
        <v>1233</v>
      </c>
      <c r="G59" s="266"/>
      <c r="H59" s="267" t="s">
        <v>1216</v>
      </c>
      <c r="I59" s="267"/>
      <c r="J59" s="267" t="s">
        <v>1227</v>
      </c>
      <c r="K59" s="267"/>
      <c r="L59" s="267" t="s">
        <v>79</v>
      </c>
      <c r="M59" s="126"/>
      <c r="N59" s="209"/>
    </row>
    <row r="60" spans="1:14">
      <c r="A60" s="286"/>
      <c r="B60" s="321" t="s">
        <v>1478</v>
      </c>
      <c r="C60" s="322" t="s">
        <v>1452</v>
      </c>
      <c r="D60" s="266" t="s">
        <v>1208</v>
      </c>
      <c r="E60" s="266"/>
      <c r="F60" s="266" t="s">
        <v>1230</v>
      </c>
      <c r="G60" s="266"/>
      <c r="H60" s="266" t="s">
        <v>1231</v>
      </c>
      <c r="I60" s="267"/>
      <c r="J60" s="267" t="s">
        <v>79</v>
      </c>
      <c r="K60" s="267"/>
      <c r="L60" s="267" t="s">
        <v>79</v>
      </c>
      <c r="M60" s="126"/>
      <c r="N60" s="209"/>
    </row>
    <row r="61" spans="1:14">
      <c r="A61" s="286"/>
      <c r="B61" s="321" t="s">
        <v>1478</v>
      </c>
      <c r="C61" s="322" t="s">
        <v>1229</v>
      </c>
      <c r="D61" s="266" t="s">
        <v>1208</v>
      </c>
      <c r="E61" s="266"/>
      <c r="F61" s="266" t="s">
        <v>1230</v>
      </c>
      <c r="G61" s="266"/>
      <c r="H61" s="266" t="s">
        <v>1231</v>
      </c>
      <c r="I61" s="267"/>
      <c r="J61" s="267" t="s">
        <v>1226</v>
      </c>
      <c r="K61" s="267"/>
      <c r="L61" s="267" t="s">
        <v>1208</v>
      </c>
      <c r="M61" s="126"/>
      <c r="N61" s="209"/>
    </row>
    <row r="62" spans="1:14">
      <c r="A62" s="286"/>
      <c r="B62" s="321" t="s">
        <v>1456</v>
      </c>
      <c r="C62" s="322" t="s">
        <v>1452</v>
      </c>
      <c r="D62" s="266" t="s">
        <v>1472</v>
      </c>
      <c r="E62" s="266"/>
      <c r="F62" s="267" t="s">
        <v>1238</v>
      </c>
      <c r="G62" s="266"/>
      <c r="H62" s="266" t="s">
        <v>1231</v>
      </c>
      <c r="I62" s="267"/>
      <c r="J62" s="267" t="s">
        <v>1227</v>
      </c>
      <c r="K62" s="267"/>
      <c r="L62" s="267" t="s">
        <v>1208</v>
      </c>
      <c r="M62" s="126"/>
      <c r="N62" s="209"/>
    </row>
    <row r="63" spans="1:14">
      <c r="A63" s="286"/>
      <c r="B63" s="321" t="s">
        <v>1525</v>
      </c>
      <c r="C63" s="322" t="s">
        <v>1229</v>
      </c>
      <c r="D63" s="266" t="s">
        <v>1208</v>
      </c>
      <c r="E63" s="266"/>
      <c r="F63" s="267" t="s">
        <v>1238</v>
      </c>
      <c r="G63" s="266"/>
      <c r="H63" s="266" t="s">
        <v>1231</v>
      </c>
      <c r="I63" s="267"/>
      <c r="J63" s="267" t="s">
        <v>1226</v>
      </c>
      <c r="K63" s="267"/>
      <c r="L63" s="267" t="s">
        <v>1208</v>
      </c>
      <c r="M63" s="126"/>
      <c r="N63" s="209"/>
    </row>
    <row r="64" spans="1:14">
      <c r="A64" s="286"/>
      <c r="B64" s="321" t="s">
        <v>1479</v>
      </c>
      <c r="C64" s="322" t="s">
        <v>1452</v>
      </c>
      <c r="D64" s="266" t="s">
        <v>1208</v>
      </c>
      <c r="E64" s="266"/>
      <c r="F64" s="266" t="s">
        <v>1230</v>
      </c>
      <c r="G64" s="266"/>
      <c r="H64" s="266" t="s">
        <v>1231</v>
      </c>
      <c r="I64" s="267"/>
      <c r="J64" s="267" t="s">
        <v>79</v>
      </c>
      <c r="K64" s="267"/>
      <c r="L64" s="267" t="s">
        <v>79</v>
      </c>
      <c r="M64" s="126"/>
      <c r="N64" s="209"/>
    </row>
    <row r="65" spans="1:14">
      <c r="A65" s="286"/>
      <c r="B65" s="321" t="s">
        <v>1479</v>
      </c>
      <c r="C65" s="322" t="s">
        <v>1229</v>
      </c>
      <c r="D65" s="266" t="s">
        <v>1208</v>
      </c>
      <c r="E65" s="266"/>
      <c r="F65" s="266" t="s">
        <v>1230</v>
      </c>
      <c r="G65" s="266"/>
      <c r="H65" s="266" t="s">
        <v>1231</v>
      </c>
      <c r="I65" s="267"/>
      <c r="J65" s="267" t="s">
        <v>1227</v>
      </c>
      <c r="K65" s="267"/>
      <c r="L65" s="267" t="s">
        <v>79</v>
      </c>
      <c r="M65" s="126"/>
      <c r="N65" s="209"/>
    </row>
    <row r="66" spans="1:14">
      <c r="A66" s="286"/>
      <c r="B66" s="321" t="s">
        <v>1236</v>
      </c>
      <c r="C66" s="322" t="s">
        <v>1229</v>
      </c>
      <c r="D66" s="266" t="s">
        <v>1208</v>
      </c>
      <c r="E66" s="266"/>
      <c r="F66" s="266" t="s">
        <v>1233</v>
      </c>
      <c r="G66" s="266"/>
      <c r="H66" s="266" t="s">
        <v>1216</v>
      </c>
      <c r="I66" s="267"/>
      <c r="J66" s="267" t="s">
        <v>1227</v>
      </c>
      <c r="K66" s="267"/>
      <c r="L66" s="267" t="s">
        <v>1208</v>
      </c>
      <c r="M66" s="126"/>
      <c r="N66" s="209"/>
    </row>
    <row r="67" spans="1:14">
      <c r="A67" s="286" t="s">
        <v>1279</v>
      </c>
      <c r="B67" s="321" t="s">
        <v>1453</v>
      </c>
      <c r="C67" s="322" t="s">
        <v>1452</v>
      </c>
      <c r="D67" s="266" t="s">
        <v>1208</v>
      </c>
      <c r="E67" s="266"/>
      <c r="F67" s="266" t="s">
        <v>1233</v>
      </c>
      <c r="G67" s="266"/>
      <c r="H67" s="266" t="s">
        <v>1216</v>
      </c>
      <c r="I67" s="267"/>
      <c r="J67" s="267" t="s">
        <v>1227</v>
      </c>
      <c r="K67" s="267"/>
      <c r="L67" s="267" t="s">
        <v>1208</v>
      </c>
      <c r="M67" s="126"/>
      <c r="N67" s="209"/>
    </row>
    <row r="68" spans="1:14">
      <c r="A68" s="286"/>
      <c r="B68" s="321" t="s">
        <v>1483</v>
      </c>
      <c r="C68" s="322" t="s">
        <v>1452</v>
      </c>
      <c r="D68" s="266" t="s">
        <v>1208</v>
      </c>
      <c r="E68" s="266"/>
      <c r="F68" s="266" t="s">
        <v>1230</v>
      </c>
      <c r="G68" s="266"/>
      <c r="H68" s="266" t="s">
        <v>1231</v>
      </c>
      <c r="I68" s="267"/>
      <c r="J68" s="267" t="s">
        <v>1227</v>
      </c>
      <c r="K68" s="267"/>
      <c r="L68" s="267" t="s">
        <v>1208</v>
      </c>
      <c r="M68" s="126"/>
      <c r="N68" s="209"/>
    </row>
    <row r="69" spans="1:14">
      <c r="A69" s="286"/>
      <c r="B69" s="321" t="s">
        <v>1483</v>
      </c>
      <c r="C69" s="322" t="s">
        <v>1229</v>
      </c>
      <c r="D69" s="266" t="s">
        <v>1208</v>
      </c>
      <c r="E69" s="266"/>
      <c r="F69" s="266" t="s">
        <v>1230</v>
      </c>
      <c r="G69" s="266"/>
      <c r="H69" s="266" t="s">
        <v>1231</v>
      </c>
      <c r="I69" s="267"/>
      <c r="J69" s="267" t="s">
        <v>79</v>
      </c>
      <c r="K69" s="267"/>
      <c r="L69" s="267" t="s">
        <v>79</v>
      </c>
      <c r="M69" s="126"/>
      <c r="N69" s="209"/>
    </row>
    <row r="70" spans="1:14">
      <c r="A70" s="286"/>
      <c r="B70" s="321" t="s">
        <v>1482</v>
      </c>
      <c r="C70" s="322" t="s">
        <v>1452</v>
      </c>
      <c r="D70" s="266" t="s">
        <v>1208</v>
      </c>
      <c r="E70" s="266"/>
      <c r="F70" s="266" t="s">
        <v>1230</v>
      </c>
      <c r="G70" s="266"/>
      <c r="H70" s="266" t="s">
        <v>1216</v>
      </c>
      <c r="I70" s="267"/>
      <c r="J70" s="267" t="s">
        <v>1227</v>
      </c>
      <c r="K70" s="267"/>
      <c r="L70" s="267" t="s">
        <v>1208</v>
      </c>
      <c r="M70" s="126"/>
      <c r="N70" s="209"/>
    </row>
    <row r="71" spans="1:14">
      <c r="A71" s="286"/>
      <c r="B71" s="321" t="s">
        <v>1482</v>
      </c>
      <c r="C71" s="322" t="s">
        <v>1229</v>
      </c>
      <c r="D71" s="266" t="s">
        <v>1208</v>
      </c>
      <c r="E71" s="266"/>
      <c r="F71" s="266" t="s">
        <v>1230</v>
      </c>
      <c r="G71" s="266"/>
      <c r="H71" s="266" t="s">
        <v>1216</v>
      </c>
      <c r="I71" s="267"/>
      <c r="J71" s="267" t="s">
        <v>1227</v>
      </c>
      <c r="K71" s="267"/>
      <c r="L71" s="267" t="s">
        <v>1208</v>
      </c>
      <c r="M71" s="126"/>
      <c r="N71" s="209"/>
    </row>
    <row r="72" spans="1:14">
      <c r="A72" s="286"/>
      <c r="B72" s="321" t="s">
        <v>1235</v>
      </c>
      <c r="C72" s="322" t="s">
        <v>1452</v>
      </c>
      <c r="D72" s="266" t="s">
        <v>1208</v>
      </c>
      <c r="E72" s="266"/>
      <c r="F72" s="266" t="s">
        <v>1233</v>
      </c>
      <c r="G72" s="266"/>
      <c r="H72" s="266" t="s">
        <v>1216</v>
      </c>
      <c r="I72" s="267"/>
      <c r="J72" s="267" t="s">
        <v>1227</v>
      </c>
      <c r="K72" s="267"/>
      <c r="L72" s="267" t="s">
        <v>79</v>
      </c>
      <c r="M72" s="126"/>
      <c r="N72" s="209"/>
    </row>
    <row r="73" spans="1:14">
      <c r="A73" s="286"/>
      <c r="B73" s="321" t="s">
        <v>1457</v>
      </c>
      <c r="C73" s="322" t="s">
        <v>1452</v>
      </c>
      <c r="D73" s="266" t="s">
        <v>1208</v>
      </c>
      <c r="E73" s="266"/>
      <c r="F73" s="266" t="s">
        <v>1230</v>
      </c>
      <c r="G73" s="266"/>
      <c r="H73" s="266" t="s">
        <v>1231</v>
      </c>
      <c r="I73" s="267"/>
      <c r="J73" s="267" t="s">
        <v>79</v>
      </c>
      <c r="K73" s="267"/>
      <c r="L73" s="267" t="s">
        <v>1208</v>
      </c>
      <c r="M73" s="126"/>
      <c r="N73" s="209"/>
    </row>
    <row r="74" spans="1:14">
      <c r="A74" s="325" t="s">
        <v>1460</v>
      </c>
      <c r="B74" s="325" t="s">
        <v>1461</v>
      </c>
      <c r="C74" s="326" t="s">
        <v>1452</v>
      </c>
      <c r="D74" s="266" t="s">
        <v>1472</v>
      </c>
      <c r="E74" s="266"/>
      <c r="F74" s="266" t="s">
        <v>1238</v>
      </c>
      <c r="G74" s="266"/>
      <c r="H74" s="266" t="s">
        <v>1216</v>
      </c>
      <c r="I74" s="267"/>
      <c r="J74" s="267" t="s">
        <v>79</v>
      </c>
      <c r="K74" s="267"/>
      <c r="L74" s="267" t="s">
        <v>1208</v>
      </c>
      <c r="M74" s="126"/>
      <c r="N74" s="209"/>
    </row>
    <row r="75" spans="1:14">
      <c r="A75" s="286"/>
      <c r="B75" s="325" t="s">
        <v>1237</v>
      </c>
      <c r="C75" s="326" t="s">
        <v>1452</v>
      </c>
      <c r="D75" s="266" t="s">
        <v>1472</v>
      </c>
      <c r="E75" s="266"/>
      <c r="F75" s="266" t="s">
        <v>1238</v>
      </c>
      <c r="G75" s="266"/>
      <c r="H75" s="266" t="s">
        <v>1231</v>
      </c>
      <c r="I75" s="267"/>
      <c r="J75" s="267" t="s">
        <v>79</v>
      </c>
      <c r="K75" s="267"/>
      <c r="L75" s="267" t="s">
        <v>1208</v>
      </c>
      <c r="M75" s="126"/>
      <c r="N75" s="209"/>
    </row>
    <row r="76" spans="1:14">
      <c r="A76" s="286"/>
      <c r="B76" s="325" t="s">
        <v>1456</v>
      </c>
      <c r="C76" s="326" t="s">
        <v>1452</v>
      </c>
      <c r="D76" s="266" t="s">
        <v>1472</v>
      </c>
      <c r="E76" s="266"/>
      <c r="F76" s="266" t="s">
        <v>1238</v>
      </c>
      <c r="G76" s="266"/>
      <c r="H76" s="266" t="s">
        <v>1231</v>
      </c>
      <c r="I76" s="267"/>
      <c r="J76" s="267" t="s">
        <v>1227</v>
      </c>
      <c r="K76" s="267"/>
      <c r="L76" s="267" t="s">
        <v>1208</v>
      </c>
      <c r="M76" s="126"/>
      <c r="N76" s="209"/>
    </row>
    <row r="77" spans="1:14">
      <c r="A77" s="286"/>
      <c r="B77" s="325" t="s">
        <v>1462</v>
      </c>
      <c r="C77" s="326" t="s">
        <v>1452</v>
      </c>
      <c r="D77" s="266" t="s">
        <v>1472</v>
      </c>
      <c r="E77" s="266"/>
      <c r="F77" s="266" t="s">
        <v>1233</v>
      </c>
      <c r="G77" s="266"/>
      <c r="H77" s="266" t="s">
        <v>1231</v>
      </c>
      <c r="I77" s="267"/>
      <c r="J77" s="267" t="s">
        <v>79</v>
      </c>
      <c r="K77" s="267"/>
      <c r="L77" s="267" t="s">
        <v>1208</v>
      </c>
      <c r="M77" s="126"/>
      <c r="N77" s="209"/>
    </row>
    <row r="78" spans="1:14">
      <c r="A78" s="286"/>
      <c r="B78" s="325" t="s">
        <v>1459</v>
      </c>
      <c r="C78" s="286" t="s">
        <v>1452</v>
      </c>
      <c r="D78" s="266" t="s">
        <v>1208</v>
      </c>
      <c r="E78" s="266"/>
      <c r="F78" s="266" t="s">
        <v>1230</v>
      </c>
      <c r="G78" s="266"/>
      <c r="H78" s="266" t="s">
        <v>1216</v>
      </c>
      <c r="I78" s="267"/>
      <c r="J78" s="267" t="s">
        <v>79</v>
      </c>
      <c r="K78" s="267"/>
      <c r="L78" s="267" t="s">
        <v>1208</v>
      </c>
      <c r="M78" s="126"/>
      <c r="N78" s="209"/>
    </row>
    <row r="79" spans="1:14">
      <c r="A79" s="286" t="s">
        <v>1463</v>
      </c>
      <c r="B79" s="325" t="s">
        <v>1228</v>
      </c>
      <c r="C79" s="286" t="s">
        <v>1452</v>
      </c>
      <c r="D79" s="266" t="s">
        <v>1208</v>
      </c>
      <c r="E79" s="266"/>
      <c r="F79" s="266" t="s">
        <v>1230</v>
      </c>
      <c r="G79" s="266"/>
      <c r="H79" s="266" t="s">
        <v>1231</v>
      </c>
      <c r="I79" s="267"/>
      <c r="J79" s="267" t="s">
        <v>1227</v>
      </c>
      <c r="K79" s="267"/>
      <c r="L79" s="267" t="s">
        <v>1208</v>
      </c>
      <c r="M79" s="126"/>
      <c r="N79" s="209"/>
    </row>
    <row r="80" spans="1:14">
      <c r="A80" s="286"/>
      <c r="B80" s="325" t="s">
        <v>1243</v>
      </c>
      <c r="C80" s="286" t="s">
        <v>1452</v>
      </c>
      <c r="D80" s="267" t="s">
        <v>1520</v>
      </c>
      <c r="E80" s="266"/>
      <c r="F80" s="266" t="s">
        <v>1230</v>
      </c>
      <c r="G80" s="266"/>
      <c r="H80" s="266" t="s">
        <v>1231</v>
      </c>
      <c r="I80" s="267"/>
      <c r="J80" s="267" t="s">
        <v>1227</v>
      </c>
      <c r="K80" s="267"/>
      <c r="L80" s="267" t="s">
        <v>1208</v>
      </c>
      <c r="M80" s="126"/>
      <c r="N80" s="209"/>
    </row>
    <row r="81" spans="1:14">
      <c r="A81" s="286" t="s">
        <v>1282</v>
      </c>
      <c r="B81" s="321" t="s">
        <v>1477</v>
      </c>
      <c r="C81" s="286" t="s">
        <v>1452</v>
      </c>
      <c r="D81" s="267" t="s">
        <v>1520</v>
      </c>
      <c r="E81" s="266"/>
      <c r="F81" s="267" t="s">
        <v>1238</v>
      </c>
      <c r="G81" s="266"/>
      <c r="H81" s="267" t="s">
        <v>1231</v>
      </c>
      <c r="I81" s="267"/>
      <c r="J81" s="267" t="s">
        <v>1226</v>
      </c>
      <c r="K81" s="267"/>
      <c r="L81" s="267" t="s">
        <v>79</v>
      </c>
      <c r="M81" s="126"/>
      <c r="N81" s="209"/>
    </row>
    <row r="82" spans="1:14">
      <c r="A82" s="286"/>
      <c r="B82" s="321" t="s">
        <v>1239</v>
      </c>
      <c r="C82" s="286" t="s">
        <v>1452</v>
      </c>
      <c r="D82" s="267" t="s">
        <v>1520</v>
      </c>
      <c r="E82" s="266"/>
      <c r="F82" s="267" t="s">
        <v>1238</v>
      </c>
      <c r="G82" s="266"/>
      <c r="H82" s="266" t="s">
        <v>1216</v>
      </c>
      <c r="I82" s="267"/>
      <c r="J82" s="267" t="s">
        <v>79</v>
      </c>
      <c r="K82" s="267"/>
      <c r="L82" s="267" t="s">
        <v>79</v>
      </c>
      <c r="M82" s="126"/>
      <c r="N82" s="209"/>
    </row>
    <row r="83" spans="1:14">
      <c r="A83" s="286" t="s">
        <v>1284</v>
      </c>
      <c r="B83" s="321" t="s">
        <v>1481</v>
      </c>
      <c r="C83" s="286" t="s">
        <v>1452</v>
      </c>
      <c r="D83" s="266" t="s">
        <v>1208</v>
      </c>
      <c r="E83" s="266"/>
      <c r="F83" s="266" t="s">
        <v>1233</v>
      </c>
      <c r="G83" s="266"/>
      <c r="H83" s="266" t="s">
        <v>1216</v>
      </c>
      <c r="I83" s="267"/>
      <c r="J83" s="267" t="s">
        <v>79</v>
      </c>
      <c r="K83" s="267"/>
      <c r="L83" s="267" t="s">
        <v>1208</v>
      </c>
      <c r="M83" s="126"/>
      <c r="N83" s="209"/>
    </row>
    <row r="84" spans="1:14">
      <c r="A84" s="286"/>
      <c r="B84" s="321" t="s">
        <v>1481</v>
      </c>
      <c r="C84" s="286" t="s">
        <v>1229</v>
      </c>
      <c r="D84" s="266" t="s">
        <v>1208</v>
      </c>
      <c r="E84" s="266"/>
      <c r="F84" s="267" t="s">
        <v>1233</v>
      </c>
      <c r="G84" s="266"/>
      <c r="H84" s="266" t="s">
        <v>1216</v>
      </c>
      <c r="I84" s="267"/>
      <c r="J84" s="267" t="s">
        <v>79</v>
      </c>
      <c r="K84" s="267"/>
      <c r="L84" s="267" t="s">
        <v>1208</v>
      </c>
      <c r="M84" s="126"/>
      <c r="N84" s="209"/>
    </row>
    <row r="85" spans="1:14">
      <c r="A85" s="286"/>
      <c r="B85" s="321" t="s">
        <v>1457</v>
      </c>
      <c r="C85" s="286" t="s">
        <v>1452</v>
      </c>
      <c r="D85" s="266" t="s">
        <v>1472</v>
      </c>
      <c r="E85" s="266"/>
      <c r="F85" s="266" t="s">
        <v>1230</v>
      </c>
      <c r="G85" s="266"/>
      <c r="H85" s="266" t="s">
        <v>1231</v>
      </c>
      <c r="I85" s="267"/>
      <c r="J85" s="267" t="s">
        <v>79</v>
      </c>
      <c r="K85" s="267"/>
      <c r="L85" s="267" t="s">
        <v>1208</v>
      </c>
      <c r="M85" s="126"/>
      <c r="N85" s="209"/>
    </row>
    <row r="86" spans="1:14">
      <c r="A86" s="286" t="s">
        <v>1285</v>
      </c>
      <c r="B86" s="321" t="s">
        <v>1484</v>
      </c>
      <c r="C86" s="286" t="s">
        <v>1452</v>
      </c>
      <c r="D86" s="267" t="s">
        <v>1520</v>
      </c>
      <c r="E86" s="266"/>
      <c r="F86" s="266" t="s">
        <v>1230</v>
      </c>
      <c r="G86" s="266"/>
      <c r="H86" s="266" t="s">
        <v>1216</v>
      </c>
      <c r="I86" s="267"/>
      <c r="J86" s="267" t="s">
        <v>79</v>
      </c>
      <c r="K86" s="267"/>
      <c r="L86" s="267" t="s">
        <v>79</v>
      </c>
      <c r="M86" s="126"/>
      <c r="N86" s="209"/>
    </row>
    <row r="87" spans="1:14">
      <c r="A87" s="286"/>
      <c r="B87" s="321" t="s">
        <v>1484</v>
      </c>
      <c r="C87" s="286" t="s">
        <v>1229</v>
      </c>
      <c r="D87" s="266" t="s">
        <v>1208</v>
      </c>
      <c r="E87" s="266"/>
      <c r="F87" s="266" t="s">
        <v>1230</v>
      </c>
      <c r="G87" s="266"/>
      <c r="H87" s="266" t="s">
        <v>1216</v>
      </c>
      <c r="I87" s="267"/>
      <c r="J87" s="267" t="s">
        <v>79</v>
      </c>
      <c r="K87" s="267"/>
      <c r="L87" s="267" t="s">
        <v>79</v>
      </c>
      <c r="M87" s="126"/>
      <c r="N87" s="209"/>
    </row>
    <row r="88" spans="1:14">
      <c r="A88" s="286"/>
      <c r="B88" s="321" t="s">
        <v>1485</v>
      </c>
      <c r="C88" s="286" t="s">
        <v>1229</v>
      </c>
      <c r="D88" s="266" t="s">
        <v>1208</v>
      </c>
      <c r="E88" s="266"/>
      <c r="F88" s="266" t="s">
        <v>1230</v>
      </c>
      <c r="G88" s="266"/>
      <c r="H88" s="266" t="s">
        <v>1231</v>
      </c>
      <c r="I88" s="267"/>
      <c r="J88" s="267" t="s">
        <v>79</v>
      </c>
      <c r="K88" s="267"/>
      <c r="L88" s="267" t="s">
        <v>79</v>
      </c>
      <c r="M88" s="126"/>
      <c r="N88" s="209"/>
    </row>
    <row r="89" spans="1:14">
      <c r="A89" s="286"/>
      <c r="B89" s="321" t="s">
        <v>1486</v>
      </c>
      <c r="C89" s="286" t="s">
        <v>1452</v>
      </c>
      <c r="D89" s="266" t="s">
        <v>1208</v>
      </c>
      <c r="E89" s="266"/>
      <c r="F89" s="266" t="s">
        <v>1230</v>
      </c>
      <c r="G89" s="266"/>
      <c r="H89" s="267" t="s">
        <v>1216</v>
      </c>
      <c r="I89" s="267"/>
      <c r="J89" s="267" t="s">
        <v>79</v>
      </c>
      <c r="K89" s="267"/>
      <c r="L89" s="267" t="s">
        <v>79</v>
      </c>
      <c r="M89" s="126"/>
      <c r="N89" s="209"/>
    </row>
    <row r="90" spans="1:14">
      <c r="A90" s="286"/>
      <c r="B90" s="321" t="s">
        <v>1486</v>
      </c>
      <c r="C90" s="286" t="s">
        <v>1229</v>
      </c>
      <c r="D90" s="267" t="s">
        <v>1208</v>
      </c>
      <c r="E90" s="266"/>
      <c r="F90" s="267" t="s">
        <v>1230</v>
      </c>
      <c r="G90" s="266"/>
      <c r="H90" s="267" t="s">
        <v>1216</v>
      </c>
      <c r="I90" s="267"/>
      <c r="J90" s="267" t="s">
        <v>79</v>
      </c>
      <c r="K90" s="267"/>
      <c r="L90" s="267" t="s">
        <v>79</v>
      </c>
      <c r="M90" s="126"/>
      <c r="N90" s="209"/>
    </row>
    <row r="91" spans="1:14">
      <c r="A91" s="286" t="s">
        <v>1287</v>
      </c>
      <c r="B91" s="325" t="s">
        <v>1453</v>
      </c>
      <c r="C91" s="326" t="s">
        <v>1452</v>
      </c>
      <c r="D91" s="266" t="s">
        <v>1208</v>
      </c>
      <c r="E91" s="266"/>
      <c r="F91" s="266" t="s">
        <v>1233</v>
      </c>
      <c r="G91" s="266"/>
      <c r="H91" s="266" t="s">
        <v>1231</v>
      </c>
      <c r="I91" s="267"/>
      <c r="J91" s="267" t="s">
        <v>1227</v>
      </c>
      <c r="K91" s="267"/>
      <c r="L91" s="267" t="s">
        <v>1208</v>
      </c>
      <c r="M91" s="126"/>
      <c r="N91" s="209"/>
    </row>
    <row r="92" spans="1:14">
      <c r="A92" s="286"/>
      <c r="B92" s="325" t="s">
        <v>1241</v>
      </c>
      <c r="C92" s="326" t="s">
        <v>1452</v>
      </c>
      <c r="D92" s="266" t="s">
        <v>1208</v>
      </c>
      <c r="E92" s="266"/>
      <c r="F92" s="266" t="s">
        <v>1238</v>
      </c>
      <c r="G92" s="266"/>
      <c r="H92" s="266" t="s">
        <v>1231</v>
      </c>
      <c r="I92" s="267"/>
      <c r="J92" s="267" t="s">
        <v>1227</v>
      </c>
      <c r="K92" s="267"/>
      <c r="L92" s="267" t="s">
        <v>1208</v>
      </c>
      <c r="M92" s="126"/>
      <c r="N92" s="209"/>
    </row>
    <row r="93" spans="1:14">
      <c r="A93" s="286" t="s">
        <v>1289</v>
      </c>
      <c r="B93" s="321" t="s">
        <v>1492</v>
      </c>
      <c r="C93" s="322" t="s">
        <v>1452</v>
      </c>
      <c r="D93" s="266" t="s">
        <v>1208</v>
      </c>
      <c r="E93" s="266"/>
      <c r="F93" s="266" t="s">
        <v>1230</v>
      </c>
      <c r="G93" s="266"/>
      <c r="H93" s="266" t="s">
        <v>1231</v>
      </c>
      <c r="I93" s="267"/>
      <c r="J93" s="267" t="s">
        <v>1227</v>
      </c>
      <c r="K93" s="267"/>
      <c r="L93" s="267" t="s">
        <v>79</v>
      </c>
      <c r="M93" s="126"/>
      <c r="N93" s="209"/>
    </row>
    <row r="94" spans="1:14">
      <c r="A94" s="286" t="s">
        <v>1290</v>
      </c>
      <c r="B94" s="321" t="s">
        <v>1487</v>
      </c>
      <c r="C94" s="322" t="s">
        <v>1452</v>
      </c>
      <c r="D94" s="266" t="s">
        <v>1208</v>
      </c>
      <c r="E94" s="266"/>
      <c r="F94" s="267" t="s">
        <v>1233</v>
      </c>
      <c r="G94" s="266"/>
      <c r="H94" s="267" t="s">
        <v>1216</v>
      </c>
      <c r="I94" s="267"/>
      <c r="J94" s="267" t="s">
        <v>79</v>
      </c>
      <c r="K94" s="267"/>
      <c r="L94" s="267" t="s">
        <v>1208</v>
      </c>
      <c r="M94" s="126"/>
      <c r="N94" s="209"/>
    </row>
    <row r="95" spans="1:14">
      <c r="A95" s="286"/>
      <c r="B95" s="321" t="s">
        <v>1457</v>
      </c>
      <c r="C95" s="322" t="s">
        <v>1452</v>
      </c>
      <c r="D95" s="266" t="s">
        <v>1472</v>
      </c>
      <c r="E95" s="266"/>
      <c r="F95" s="266" t="s">
        <v>1230</v>
      </c>
      <c r="G95" s="266"/>
      <c r="H95" s="266" t="s">
        <v>1231</v>
      </c>
      <c r="I95" s="267"/>
      <c r="J95" s="267" t="s">
        <v>79</v>
      </c>
      <c r="K95" s="267"/>
      <c r="L95" s="267" t="s">
        <v>1208</v>
      </c>
      <c r="M95" s="126"/>
      <c r="N95" s="209"/>
    </row>
    <row r="96" spans="1:14">
      <c r="A96" s="286" t="s">
        <v>1292</v>
      </c>
      <c r="B96" s="321" t="s">
        <v>1239</v>
      </c>
      <c r="C96" s="322" t="s">
        <v>1452</v>
      </c>
      <c r="D96" s="267" t="s">
        <v>1520</v>
      </c>
      <c r="E96" s="266"/>
      <c r="F96" s="266" t="s">
        <v>1233</v>
      </c>
      <c r="G96" s="266"/>
      <c r="H96" s="266" t="s">
        <v>1231</v>
      </c>
      <c r="I96" s="267"/>
      <c r="J96" s="267" t="s">
        <v>1227</v>
      </c>
      <c r="K96" s="267"/>
      <c r="L96" s="267" t="s">
        <v>79</v>
      </c>
      <c r="M96" s="126"/>
      <c r="N96" s="209"/>
    </row>
    <row r="97" spans="1:14">
      <c r="A97" s="286" t="s">
        <v>1294</v>
      </c>
      <c r="B97" s="325" t="s">
        <v>1232</v>
      </c>
      <c r="C97" s="326" t="s">
        <v>1452</v>
      </c>
      <c r="D97" s="266" t="s">
        <v>1208</v>
      </c>
      <c r="E97" s="266"/>
      <c r="F97" s="266" t="s">
        <v>1233</v>
      </c>
      <c r="G97" s="266"/>
      <c r="H97" s="266" t="s">
        <v>1231</v>
      </c>
      <c r="I97" s="267"/>
      <c r="J97" s="267" t="s">
        <v>1227</v>
      </c>
      <c r="K97" s="267"/>
      <c r="L97" s="267" t="s">
        <v>79</v>
      </c>
      <c r="M97" s="126"/>
      <c r="N97" s="209"/>
    </row>
    <row r="98" spans="1:14">
      <c r="A98" s="286"/>
      <c r="B98" s="325" t="s">
        <v>1232</v>
      </c>
      <c r="C98" s="326" t="s">
        <v>1229</v>
      </c>
      <c r="D98" s="266" t="s">
        <v>1208</v>
      </c>
      <c r="E98" s="266"/>
      <c r="F98" s="266" t="s">
        <v>1233</v>
      </c>
      <c r="G98" s="266"/>
      <c r="H98" s="266" t="s">
        <v>1231</v>
      </c>
      <c r="I98" s="267"/>
      <c r="J98" s="267" t="s">
        <v>1227</v>
      </c>
      <c r="K98" s="267"/>
      <c r="L98" s="267" t="s">
        <v>1208</v>
      </c>
      <c r="M98" s="126"/>
      <c r="N98" s="209"/>
    </row>
    <row r="99" spans="1:14">
      <c r="A99" s="286"/>
      <c r="B99" s="325" t="s">
        <v>1462</v>
      </c>
      <c r="C99" s="326" t="s">
        <v>1452</v>
      </c>
      <c r="D99" s="266" t="s">
        <v>1472</v>
      </c>
      <c r="E99" s="266"/>
      <c r="F99" s="266" t="s">
        <v>1233</v>
      </c>
      <c r="G99" s="266"/>
      <c r="H99" s="266" t="s">
        <v>1231</v>
      </c>
      <c r="I99" s="267"/>
      <c r="J99" s="267" t="s">
        <v>79</v>
      </c>
      <c r="K99" s="267"/>
      <c r="L99" s="267" t="s">
        <v>1208</v>
      </c>
      <c r="M99" s="126"/>
      <c r="N99" s="209"/>
    </row>
    <row r="100" spans="1:14">
      <c r="A100" s="286"/>
      <c r="B100" s="325" t="s">
        <v>1458</v>
      </c>
      <c r="C100" s="326" t="s">
        <v>1452</v>
      </c>
      <c r="D100" s="266" t="s">
        <v>1208</v>
      </c>
      <c r="E100" s="266"/>
      <c r="F100" s="266" t="s">
        <v>1230</v>
      </c>
      <c r="G100" s="266"/>
      <c r="H100" s="266" t="s">
        <v>1231</v>
      </c>
      <c r="I100" s="267"/>
      <c r="J100" s="267" t="s">
        <v>79</v>
      </c>
      <c r="K100" s="267"/>
      <c r="L100" s="267" t="s">
        <v>79</v>
      </c>
      <c r="M100" s="126"/>
      <c r="N100" s="209"/>
    </row>
    <row r="101" spans="1:14">
      <c r="A101" s="286" t="s">
        <v>1295</v>
      </c>
      <c r="B101" s="321" t="s">
        <v>1242</v>
      </c>
      <c r="C101" s="322" t="s">
        <v>1452</v>
      </c>
      <c r="D101" s="266" t="s">
        <v>1208</v>
      </c>
      <c r="E101" s="266"/>
      <c r="F101" s="267" t="s">
        <v>1233</v>
      </c>
      <c r="G101" s="266"/>
      <c r="H101" s="267" t="s">
        <v>1216</v>
      </c>
      <c r="I101" s="267"/>
      <c r="J101" s="267" t="s">
        <v>79</v>
      </c>
      <c r="K101" s="267"/>
      <c r="L101" s="267" t="s">
        <v>1208</v>
      </c>
      <c r="M101" s="126"/>
      <c r="N101" s="209"/>
    </row>
    <row r="102" spans="1:14">
      <c r="A102" s="286"/>
      <c r="B102" s="321" t="s">
        <v>1488</v>
      </c>
      <c r="C102" s="322" t="s">
        <v>1452</v>
      </c>
      <c r="D102" s="266" t="s">
        <v>1208</v>
      </c>
      <c r="E102" s="266"/>
      <c r="F102" s="267" t="s">
        <v>1233</v>
      </c>
      <c r="G102" s="266"/>
      <c r="H102" s="266" t="s">
        <v>1216</v>
      </c>
      <c r="I102" s="267"/>
      <c r="J102" s="267" t="s">
        <v>79</v>
      </c>
      <c r="K102" s="267"/>
      <c r="L102" s="267" t="s">
        <v>1208</v>
      </c>
      <c r="M102" s="126"/>
      <c r="N102" s="209"/>
    </row>
    <row r="103" spans="1:14">
      <c r="A103" s="286"/>
      <c r="B103" s="321" t="s">
        <v>1523</v>
      </c>
      <c r="C103" s="322" t="s">
        <v>1229</v>
      </c>
      <c r="D103" s="266" t="s">
        <v>1472</v>
      </c>
      <c r="E103" s="266"/>
      <c r="F103" s="267" t="s">
        <v>1233</v>
      </c>
      <c r="G103" s="266"/>
      <c r="H103" s="266" t="s">
        <v>1216</v>
      </c>
      <c r="I103" s="267"/>
      <c r="J103" s="267" t="s">
        <v>1226</v>
      </c>
      <c r="K103" s="267"/>
      <c r="L103" s="267" t="s">
        <v>1208</v>
      </c>
      <c r="M103" s="126"/>
      <c r="N103" s="209"/>
    </row>
    <row r="104" spans="1:14">
      <c r="A104" s="286"/>
      <c r="B104" s="321" t="s">
        <v>1451</v>
      </c>
      <c r="C104" s="322" t="s">
        <v>1229</v>
      </c>
      <c r="D104" s="266" t="s">
        <v>1208</v>
      </c>
      <c r="E104" s="266"/>
      <c r="F104" s="266" t="s">
        <v>1233</v>
      </c>
      <c r="G104" s="266"/>
      <c r="H104" s="266" t="s">
        <v>1216</v>
      </c>
      <c r="I104" s="267"/>
      <c r="J104" s="267" t="s">
        <v>1227</v>
      </c>
      <c r="K104" s="267"/>
      <c r="L104" s="267" t="s">
        <v>1208</v>
      </c>
      <c r="M104" s="126"/>
      <c r="N104" s="209"/>
    </row>
    <row r="105" spans="1:14">
      <c r="A105" s="286"/>
      <c r="B105" s="321" t="s">
        <v>1235</v>
      </c>
      <c r="C105" s="322" t="s">
        <v>1452</v>
      </c>
      <c r="D105" s="266" t="s">
        <v>1208</v>
      </c>
      <c r="E105" s="266"/>
      <c r="F105" s="266" t="s">
        <v>1233</v>
      </c>
      <c r="G105" s="266"/>
      <c r="H105" s="266" t="s">
        <v>1216</v>
      </c>
      <c r="I105" s="267"/>
      <c r="J105" s="267" t="s">
        <v>1227</v>
      </c>
      <c r="K105" s="267"/>
      <c r="L105" s="267" t="s">
        <v>79</v>
      </c>
      <c r="M105" s="126"/>
      <c r="N105" s="209"/>
    </row>
    <row r="106" spans="1:14">
      <c r="A106" s="286"/>
      <c r="B106" s="321" t="s">
        <v>1236</v>
      </c>
      <c r="C106" s="322" t="s">
        <v>1229</v>
      </c>
      <c r="D106" s="266" t="s">
        <v>1208</v>
      </c>
      <c r="E106" s="266"/>
      <c r="F106" s="266" t="s">
        <v>1233</v>
      </c>
      <c r="G106" s="266"/>
      <c r="H106" s="266" t="s">
        <v>1216</v>
      </c>
      <c r="I106" s="267"/>
      <c r="J106" s="267" t="s">
        <v>1226</v>
      </c>
      <c r="K106" s="267"/>
      <c r="L106" s="267" t="s">
        <v>79</v>
      </c>
      <c r="M106" s="126"/>
      <c r="N106" s="209"/>
    </row>
    <row r="107" spans="1:14">
      <c r="A107" s="286"/>
      <c r="B107" s="321" t="s">
        <v>1458</v>
      </c>
      <c r="C107" s="322" t="s">
        <v>1229</v>
      </c>
      <c r="D107" s="266" t="s">
        <v>1208</v>
      </c>
      <c r="E107" s="266"/>
      <c r="F107" s="266" t="s">
        <v>1230</v>
      </c>
      <c r="G107" s="266"/>
      <c r="H107" s="266" t="s">
        <v>1231</v>
      </c>
      <c r="I107" s="267"/>
      <c r="J107" s="267" t="s">
        <v>1227</v>
      </c>
      <c r="K107" s="267"/>
      <c r="L107" s="267" t="s">
        <v>1208</v>
      </c>
      <c r="M107" s="126"/>
      <c r="N107" s="209"/>
    </row>
    <row r="108" spans="1:14">
      <c r="A108" s="286" t="s">
        <v>1296</v>
      </c>
      <c r="B108" s="321" t="s">
        <v>1489</v>
      </c>
      <c r="C108" s="322" t="s">
        <v>1452</v>
      </c>
      <c r="D108" s="266" t="s">
        <v>1208</v>
      </c>
      <c r="E108" s="266"/>
      <c r="F108" s="266" t="s">
        <v>1230</v>
      </c>
      <c r="G108" s="266"/>
      <c r="H108" s="267" t="s">
        <v>1231</v>
      </c>
      <c r="I108" s="267"/>
      <c r="J108" s="267" t="s">
        <v>79</v>
      </c>
      <c r="K108" s="267"/>
      <c r="L108" s="267" t="s">
        <v>1208</v>
      </c>
      <c r="M108" s="126"/>
      <c r="N108" s="209"/>
    </row>
    <row r="109" spans="1:14">
      <c r="A109" s="286"/>
      <c r="B109" s="321" t="s">
        <v>1489</v>
      </c>
      <c r="C109" s="322" t="s">
        <v>1229</v>
      </c>
      <c r="D109" s="266" t="s">
        <v>1208</v>
      </c>
      <c r="E109" s="266"/>
      <c r="F109" s="266" t="s">
        <v>1230</v>
      </c>
      <c r="G109" s="266"/>
      <c r="H109" s="266" t="s">
        <v>1216</v>
      </c>
      <c r="I109" s="267"/>
      <c r="J109" s="267" t="s">
        <v>1227</v>
      </c>
      <c r="K109" s="267"/>
      <c r="L109" s="267" t="s">
        <v>1208</v>
      </c>
      <c r="M109" s="126"/>
      <c r="N109" s="209"/>
    </row>
    <row r="110" spans="1:14">
      <c r="A110" s="286"/>
      <c r="B110" s="321" t="s">
        <v>1464</v>
      </c>
      <c r="C110" s="322" t="s">
        <v>1452</v>
      </c>
      <c r="D110" s="266" t="s">
        <v>1208</v>
      </c>
      <c r="E110" s="266"/>
      <c r="F110" s="266" t="s">
        <v>1233</v>
      </c>
      <c r="G110" s="266"/>
      <c r="H110" s="266" t="s">
        <v>1216</v>
      </c>
      <c r="I110" s="267"/>
      <c r="J110" s="267" t="s">
        <v>1227</v>
      </c>
      <c r="K110" s="267"/>
      <c r="L110" s="267" t="s">
        <v>79</v>
      </c>
      <c r="M110" s="126"/>
      <c r="N110" s="209"/>
    </row>
    <row r="111" spans="1:14">
      <c r="A111" s="286"/>
      <c r="B111" s="321" t="s">
        <v>1464</v>
      </c>
      <c r="C111" s="322" t="s">
        <v>1229</v>
      </c>
      <c r="D111" s="266" t="s">
        <v>1208</v>
      </c>
      <c r="E111" s="266"/>
      <c r="F111" s="266" t="s">
        <v>1233</v>
      </c>
      <c r="G111" s="266"/>
      <c r="H111" s="266" t="s">
        <v>1216</v>
      </c>
      <c r="I111" s="267"/>
      <c r="J111" s="267" t="s">
        <v>79</v>
      </c>
      <c r="K111" s="267"/>
      <c r="L111" s="267" t="s">
        <v>1208</v>
      </c>
      <c r="M111" s="126"/>
      <c r="N111" s="209"/>
    </row>
    <row r="112" spans="1:14">
      <c r="A112" s="286"/>
      <c r="B112" s="321" t="s">
        <v>1487</v>
      </c>
      <c r="C112" s="322" t="s">
        <v>1452</v>
      </c>
      <c r="D112" s="266" t="s">
        <v>1208</v>
      </c>
      <c r="E112" s="266"/>
      <c r="F112" s="266" t="s">
        <v>1230</v>
      </c>
      <c r="G112" s="266"/>
      <c r="H112" s="266" t="s">
        <v>1231</v>
      </c>
      <c r="I112" s="267"/>
      <c r="J112" s="267" t="s">
        <v>79</v>
      </c>
      <c r="K112" s="267"/>
      <c r="L112" s="267" t="s">
        <v>79</v>
      </c>
      <c r="M112" s="126"/>
      <c r="N112" s="209"/>
    </row>
    <row r="113" spans="1:14">
      <c r="A113" s="286"/>
      <c r="B113" s="321" t="s">
        <v>1465</v>
      </c>
      <c r="C113" s="322" t="s">
        <v>1452</v>
      </c>
      <c r="D113" s="266" t="s">
        <v>1208</v>
      </c>
      <c r="E113" s="266"/>
      <c r="F113" s="266" t="s">
        <v>1233</v>
      </c>
      <c r="G113" s="266"/>
      <c r="H113" s="266" t="s">
        <v>1216</v>
      </c>
      <c r="I113" s="267"/>
      <c r="J113" s="267" t="s">
        <v>79</v>
      </c>
      <c r="K113" s="267"/>
      <c r="L113" s="267" t="s">
        <v>1208</v>
      </c>
      <c r="M113" s="126"/>
      <c r="N113" s="209"/>
    </row>
    <row r="114" spans="1:14">
      <c r="A114" s="286"/>
      <c r="B114" s="321" t="s">
        <v>1524</v>
      </c>
      <c r="C114" s="322" t="s">
        <v>1229</v>
      </c>
      <c r="D114" s="266" t="s">
        <v>1208</v>
      </c>
      <c r="E114" s="266"/>
      <c r="F114" s="266" t="s">
        <v>1233</v>
      </c>
      <c r="G114" s="266"/>
      <c r="H114" s="266" t="s">
        <v>1216</v>
      </c>
      <c r="I114" s="267"/>
      <c r="J114" s="267" t="s">
        <v>1226</v>
      </c>
      <c r="K114" s="267"/>
      <c r="L114" s="267" t="s">
        <v>79</v>
      </c>
      <c r="M114" s="126"/>
      <c r="N114" s="209"/>
    </row>
    <row r="115" spans="1:14">
      <c r="A115" s="286"/>
      <c r="B115" s="321" t="s">
        <v>1486</v>
      </c>
      <c r="C115" s="322" t="s">
        <v>1452</v>
      </c>
      <c r="D115" s="266" t="s">
        <v>1208</v>
      </c>
      <c r="E115" s="266"/>
      <c r="F115" s="266" t="s">
        <v>1230</v>
      </c>
      <c r="G115" s="266"/>
      <c r="H115" s="266" t="s">
        <v>1216</v>
      </c>
      <c r="I115" s="267"/>
      <c r="J115" s="267" t="s">
        <v>1227</v>
      </c>
      <c r="K115" s="267"/>
      <c r="L115" s="267" t="s">
        <v>1208</v>
      </c>
      <c r="M115" s="126"/>
      <c r="N115" s="209"/>
    </row>
    <row r="116" spans="1:14">
      <c r="A116" s="286"/>
      <c r="B116" s="321" t="s">
        <v>1457</v>
      </c>
      <c r="C116" s="322" t="s">
        <v>1452</v>
      </c>
      <c r="D116" s="266" t="s">
        <v>1208</v>
      </c>
      <c r="E116" s="266"/>
      <c r="F116" s="266" t="s">
        <v>1230</v>
      </c>
      <c r="G116" s="266"/>
      <c r="H116" s="266" t="s">
        <v>1231</v>
      </c>
      <c r="I116" s="267"/>
      <c r="J116" s="267" t="s">
        <v>79</v>
      </c>
      <c r="K116" s="267"/>
      <c r="L116" s="267" t="s">
        <v>1208</v>
      </c>
      <c r="M116" s="126"/>
      <c r="N116" s="209"/>
    </row>
    <row r="117" spans="1:14">
      <c r="A117" s="286"/>
      <c r="B117" s="321" t="s">
        <v>1475</v>
      </c>
      <c r="C117" s="322" t="s">
        <v>1452</v>
      </c>
      <c r="D117" s="266" t="s">
        <v>1208</v>
      </c>
      <c r="E117" s="266"/>
      <c r="F117" s="266" t="s">
        <v>1233</v>
      </c>
      <c r="G117" s="266"/>
      <c r="H117" s="266" t="s">
        <v>1216</v>
      </c>
      <c r="I117" s="267"/>
      <c r="J117" s="267" t="s">
        <v>79</v>
      </c>
      <c r="K117" s="267"/>
      <c r="L117" s="267" t="s">
        <v>79</v>
      </c>
      <c r="M117" s="126"/>
      <c r="N117" s="209"/>
    </row>
    <row r="118" spans="1:14">
      <c r="A118" s="286"/>
      <c r="B118" s="321" t="s">
        <v>1475</v>
      </c>
      <c r="C118" s="322" t="s">
        <v>1229</v>
      </c>
      <c r="D118" s="266" t="s">
        <v>1208</v>
      </c>
      <c r="E118" s="266"/>
      <c r="F118" s="266" t="s">
        <v>1233</v>
      </c>
      <c r="G118" s="266"/>
      <c r="H118" s="266" t="s">
        <v>1216</v>
      </c>
      <c r="I118" s="267"/>
      <c r="J118" s="267" t="s">
        <v>79</v>
      </c>
      <c r="K118" s="267"/>
      <c r="L118" s="267" t="s">
        <v>79</v>
      </c>
      <c r="M118" s="126"/>
      <c r="N118" s="209"/>
    </row>
    <row r="119" spans="1:14">
      <c r="A119" s="126"/>
      <c r="B119" s="127"/>
      <c r="C119" s="240"/>
      <c r="D119" s="288"/>
      <c r="E119" s="209"/>
      <c r="F119" s="288"/>
      <c r="G119" s="209"/>
      <c r="H119" s="288"/>
      <c r="I119" s="238"/>
      <c r="J119" s="267"/>
      <c r="K119" s="238"/>
      <c r="L119" s="267"/>
      <c r="M119" s="126"/>
      <c r="N119" s="209"/>
    </row>
    <row r="120" spans="1:14">
      <c r="A120" s="126"/>
      <c r="B120" s="127"/>
      <c r="C120" s="240"/>
      <c r="D120" s="288"/>
      <c r="E120" s="209"/>
      <c r="F120" s="288"/>
      <c r="G120" s="209"/>
      <c r="H120" s="288"/>
      <c r="I120" s="399" t="s">
        <v>1448</v>
      </c>
      <c r="J120" s="399"/>
      <c r="K120" s="399" t="s">
        <v>1466</v>
      </c>
      <c r="L120" s="399"/>
      <c r="M120" s="126"/>
      <c r="N120" s="209"/>
    </row>
    <row r="121" spans="1:14">
      <c r="A121" s="126"/>
      <c r="B121" s="127"/>
      <c r="C121" s="240"/>
      <c r="D121" s="288"/>
      <c r="E121" s="209"/>
      <c r="F121" s="288"/>
      <c r="G121" s="209"/>
      <c r="H121" s="288"/>
      <c r="I121" s="238"/>
      <c r="J121" s="267"/>
      <c r="K121" s="238"/>
      <c r="L121" s="267"/>
      <c r="M121" s="126"/>
      <c r="N121" s="209"/>
    </row>
    <row r="122" spans="1:14">
      <c r="A122" s="241" t="s">
        <v>1467</v>
      </c>
      <c r="B122" s="126"/>
      <c r="C122" s="241" t="s">
        <v>1208</v>
      </c>
      <c r="D122" s="289">
        <f>COUNTIF($D$8:$D$118,"Yes")</f>
        <v>87</v>
      </c>
      <c r="E122" s="241" t="s">
        <v>1233</v>
      </c>
      <c r="F122" s="289">
        <f>COUNTIF($F$8:$F$118,"Fully Forecast")</f>
        <v>43</v>
      </c>
      <c r="G122" s="243" t="s">
        <v>1231</v>
      </c>
      <c r="H122" s="289">
        <f>COUNTIF($H$8:$H$118,G122)</f>
        <v>59</v>
      </c>
      <c r="I122" s="242" t="s">
        <v>1226</v>
      </c>
      <c r="J122" s="289">
        <f>COUNTIF($J$8:$J$118,"Full")</f>
        <v>15</v>
      </c>
      <c r="K122" s="242" t="s">
        <v>1208</v>
      </c>
      <c r="L122" s="289">
        <f>COUNTIF($L$8:$L$118,"Yes")</f>
        <v>61</v>
      </c>
      <c r="M122" s="126"/>
      <c r="N122" s="209"/>
    </row>
    <row r="123" spans="1:14">
      <c r="A123" s="241"/>
      <c r="B123" s="126"/>
      <c r="C123" s="241" t="s">
        <v>79</v>
      </c>
      <c r="D123" s="289">
        <f>COUNTIF($D$8:$D$118,"No")</f>
        <v>0</v>
      </c>
      <c r="E123" s="241" t="s">
        <v>1238</v>
      </c>
      <c r="F123" s="289">
        <f>COUNTIF($F$8:$F$118,"Partially Forecast")</f>
        <v>12</v>
      </c>
      <c r="G123" s="243" t="s">
        <v>1216</v>
      </c>
      <c r="H123" s="289">
        <f>COUNTIF($H$8:$H$118,G123)</f>
        <v>52</v>
      </c>
      <c r="I123" s="242" t="s">
        <v>1227</v>
      </c>
      <c r="J123" s="289">
        <f>COUNTIF($J$8:$J$118,"Partial")</f>
        <v>45</v>
      </c>
      <c r="K123" s="242" t="s">
        <v>79</v>
      </c>
      <c r="L123" s="289">
        <f>COUNTIF($L$8:$L$118,"No")</f>
        <v>50</v>
      </c>
      <c r="M123" s="126"/>
      <c r="N123" s="209"/>
    </row>
    <row r="124" spans="1:14">
      <c r="A124" s="244"/>
      <c r="B124" s="126"/>
      <c r="C124" s="245" t="s">
        <v>1472</v>
      </c>
      <c r="D124" s="289">
        <f>COUNTIF($D$8:$D$118,"N/A")</f>
        <v>15</v>
      </c>
      <c r="E124" s="245" t="s">
        <v>1230</v>
      </c>
      <c r="F124" s="289">
        <f>COUNTIF($F$8:$F$118,"Historical")</f>
        <v>56</v>
      </c>
      <c r="G124" s="243"/>
      <c r="H124" s="301"/>
      <c r="I124" s="242" t="s">
        <v>79</v>
      </c>
      <c r="J124" s="289">
        <f>COUNTIF($J$8:$J$118,"No")</f>
        <v>51</v>
      </c>
      <c r="K124" s="242"/>
      <c r="L124" s="296"/>
      <c r="M124" s="238"/>
      <c r="N124" s="238"/>
    </row>
    <row r="125" spans="1:14">
      <c r="A125" s="244"/>
      <c r="B125" s="126"/>
      <c r="C125" s="245" t="s">
        <v>1520</v>
      </c>
      <c r="D125" s="289">
        <f>COUNTIF($D$8:$D$118,"Yes - Sharing Band")</f>
        <v>9</v>
      </c>
      <c r="E125" s="245"/>
      <c r="F125" s="289"/>
      <c r="G125" s="243"/>
      <c r="H125" s="301"/>
      <c r="I125" s="304"/>
      <c r="J125" s="289"/>
      <c r="K125" s="304"/>
      <c r="L125" s="296"/>
      <c r="M125" s="303"/>
      <c r="N125" s="303"/>
    </row>
    <row r="126" spans="1:14">
      <c r="B126" s="126"/>
      <c r="C126" s="245"/>
      <c r="D126" s="289"/>
      <c r="E126" s="245"/>
      <c r="F126" s="289"/>
      <c r="G126" s="243"/>
      <c r="H126" s="301"/>
      <c r="I126" s="242"/>
      <c r="J126" s="289"/>
      <c r="K126" s="242"/>
      <c r="L126" s="296"/>
      <c r="M126" s="126"/>
      <c r="N126" s="209"/>
    </row>
    <row r="127" spans="1:14">
      <c r="A127" s="127"/>
      <c r="B127" s="126"/>
      <c r="C127" s="264" t="s">
        <v>1495</v>
      </c>
      <c r="D127" s="290">
        <f>(D122+D124)/(D122+D123+D124+D125)</f>
        <v>0.91891891891891897</v>
      </c>
      <c r="E127" s="246" t="s">
        <v>1468</v>
      </c>
      <c r="F127" s="290">
        <f>(F122+F123)/(F122+F123+F124)</f>
        <v>0.49549549549549549</v>
      </c>
      <c r="G127" s="247" t="s">
        <v>1231</v>
      </c>
      <c r="H127" s="301">
        <f>H122/(H122+H123)</f>
        <v>0.53153153153153154</v>
      </c>
      <c r="I127" s="248" t="s">
        <v>1469</v>
      </c>
      <c r="J127" s="290">
        <f>(J122+J123)/(J122+J123+J124)</f>
        <v>0.54054054054054057</v>
      </c>
      <c r="K127" s="248" t="s">
        <v>1470</v>
      </c>
      <c r="L127" s="290">
        <f>L122/(L122+L123)</f>
        <v>0.5495495495495496</v>
      </c>
      <c r="M127" s="249"/>
      <c r="N127" s="249"/>
    </row>
    <row r="128" spans="1:14">
      <c r="A128" s="250"/>
      <c r="B128" s="251"/>
      <c r="C128" s="252"/>
      <c r="D128" s="291"/>
      <c r="E128" s="253"/>
      <c r="F128" s="291"/>
      <c r="G128" s="253"/>
      <c r="H128" s="291"/>
      <c r="I128" s="254"/>
      <c r="J128" s="297"/>
      <c r="K128" s="254"/>
      <c r="L128" s="297"/>
      <c r="M128" s="126"/>
      <c r="N128" s="209"/>
    </row>
    <row r="129" spans="1:14" ht="13.5" thickBot="1">
      <c r="A129" s="255" t="s">
        <v>1568</v>
      </c>
      <c r="B129" s="344" t="s">
        <v>1240</v>
      </c>
      <c r="C129" s="256" t="s">
        <v>1452</v>
      </c>
      <c r="D129" s="292" t="s">
        <v>1520</v>
      </c>
      <c r="E129" s="257"/>
      <c r="F129" s="292" t="s">
        <v>1230</v>
      </c>
      <c r="G129" s="257"/>
      <c r="H129" s="292" t="s">
        <v>1231</v>
      </c>
      <c r="I129" s="258"/>
      <c r="J129" s="299" t="s">
        <v>1227</v>
      </c>
      <c r="K129" s="259"/>
      <c r="L129" s="298" t="s">
        <v>79</v>
      </c>
      <c r="M129" s="126"/>
      <c r="N129" s="209"/>
    </row>
    <row r="130" spans="1:14">
      <c r="A130" s="126"/>
      <c r="B130" s="126"/>
      <c r="C130" s="126"/>
      <c r="D130" s="286"/>
      <c r="E130" s="126"/>
      <c r="F130" s="286"/>
      <c r="G130" s="126"/>
      <c r="H130" s="288"/>
      <c r="I130" s="126"/>
      <c r="J130" s="286"/>
      <c r="K130" s="126"/>
      <c r="L130" s="286"/>
      <c r="M130" s="126"/>
      <c r="N130" s="209"/>
    </row>
    <row r="131" spans="1:14">
      <c r="A131" s="126"/>
      <c r="B131" s="126"/>
      <c r="C131" s="126"/>
      <c r="D131" s="286"/>
      <c r="E131" s="126"/>
      <c r="F131" s="286"/>
      <c r="G131" s="126"/>
      <c r="H131" s="286"/>
      <c r="I131" s="126"/>
      <c r="J131" s="286"/>
      <c r="K131" s="126"/>
      <c r="L131" s="286"/>
      <c r="M131" s="126"/>
      <c r="N131" s="209"/>
    </row>
    <row r="132" spans="1:14">
      <c r="A132" s="149" t="s">
        <v>23</v>
      </c>
      <c r="B132" s="126"/>
      <c r="C132" s="126"/>
      <c r="D132" s="286"/>
      <c r="E132" s="126"/>
      <c r="F132" s="286"/>
      <c r="G132" s="126"/>
      <c r="H132" s="286"/>
      <c r="I132" s="126"/>
      <c r="J132" s="286"/>
      <c r="K132" s="126"/>
      <c r="L132" s="286"/>
      <c r="M132" s="126"/>
      <c r="N132" s="209"/>
    </row>
    <row r="133" spans="1:14">
      <c r="A133" s="400" t="s">
        <v>1526</v>
      </c>
      <c r="B133" s="401"/>
      <c r="C133" s="401"/>
      <c r="D133" s="401"/>
      <c r="E133" s="401"/>
      <c r="F133" s="401"/>
      <c r="G133" s="401"/>
      <c r="H133" s="401"/>
      <c r="I133" s="401"/>
      <c r="J133" s="401"/>
      <c r="K133" s="401"/>
      <c r="L133" s="401"/>
      <c r="M133" s="126"/>
      <c r="N133" s="209"/>
    </row>
    <row r="134" spans="1:14" ht="25.5" customHeight="1">
      <c r="A134" s="400" t="s">
        <v>1490</v>
      </c>
      <c r="B134" s="401"/>
      <c r="C134" s="401"/>
      <c r="D134" s="401"/>
      <c r="E134" s="401"/>
      <c r="F134" s="401"/>
      <c r="G134" s="401"/>
      <c r="H134" s="401"/>
      <c r="I134" s="401"/>
      <c r="J134" s="401"/>
      <c r="K134" s="401"/>
      <c r="L134" s="401"/>
      <c r="M134" s="126"/>
      <c r="N134" s="209"/>
    </row>
    <row r="135" spans="1:14">
      <c r="A135" s="268" t="s">
        <v>1527</v>
      </c>
      <c r="B135" s="260"/>
      <c r="C135" s="260"/>
      <c r="D135" s="293"/>
      <c r="E135" s="260"/>
      <c r="F135" s="293"/>
      <c r="G135" s="260"/>
      <c r="H135" s="293"/>
      <c r="I135" s="260"/>
      <c r="J135" s="293"/>
      <c r="K135" s="260"/>
      <c r="L135" s="293"/>
      <c r="M135" s="126"/>
      <c r="N135" s="209"/>
    </row>
    <row r="136" spans="1:14">
      <c r="A136" s="400" t="s">
        <v>1528</v>
      </c>
      <c r="B136" s="401"/>
      <c r="C136" s="401"/>
      <c r="D136" s="401"/>
      <c r="E136" s="401"/>
      <c r="F136" s="401"/>
      <c r="G136" s="401"/>
      <c r="H136" s="401"/>
      <c r="I136" s="401"/>
      <c r="J136" s="401"/>
      <c r="K136" s="401"/>
      <c r="L136" s="401"/>
      <c r="M136" s="126"/>
      <c r="N136" s="209"/>
    </row>
    <row r="137" spans="1:14">
      <c r="A137" s="323" t="s">
        <v>1570</v>
      </c>
      <c r="B137" s="320"/>
      <c r="C137" s="320"/>
      <c r="D137" s="320"/>
      <c r="E137" s="320"/>
      <c r="F137" s="320"/>
      <c r="G137" s="320"/>
      <c r="H137" s="320"/>
      <c r="I137" s="320"/>
      <c r="J137" s="320"/>
      <c r="K137" s="320"/>
      <c r="L137" s="320"/>
      <c r="M137" s="126"/>
      <c r="N137" s="209"/>
    </row>
    <row r="138" spans="1:14">
      <c r="A138" s="268" t="s">
        <v>1569</v>
      </c>
      <c r="B138" s="126"/>
      <c r="C138" s="126"/>
      <c r="D138" s="286"/>
      <c r="E138" s="126"/>
      <c r="F138" s="286"/>
      <c r="G138" s="126"/>
      <c r="H138" s="286"/>
      <c r="I138" s="126"/>
      <c r="J138" s="286"/>
      <c r="K138" s="126"/>
      <c r="L138" s="286"/>
      <c r="M138" s="126"/>
      <c r="N138" s="209"/>
    </row>
    <row r="139" spans="1:14">
      <c r="A139" s="126"/>
      <c r="B139" s="126"/>
      <c r="C139" s="126"/>
      <c r="D139" s="286"/>
      <c r="E139" s="126"/>
      <c r="F139" s="286"/>
      <c r="G139" s="126"/>
      <c r="H139" s="286"/>
      <c r="I139" s="126"/>
      <c r="J139" s="286"/>
      <c r="K139" s="126"/>
      <c r="L139" s="286"/>
      <c r="M139" s="126"/>
      <c r="N139" s="209"/>
    </row>
    <row r="140" spans="1:14">
      <c r="A140" s="126"/>
      <c r="B140" s="126"/>
      <c r="C140" s="126"/>
      <c r="D140" s="286"/>
      <c r="E140" s="126"/>
      <c r="F140" s="286"/>
      <c r="G140" s="126"/>
      <c r="H140" s="286"/>
      <c r="I140" s="126"/>
      <c r="J140" s="286"/>
      <c r="K140" s="126"/>
      <c r="L140" s="286"/>
      <c r="M140" s="126"/>
      <c r="N140" s="209"/>
    </row>
    <row r="141" spans="1:14">
      <c r="A141" s="126"/>
      <c r="B141" s="126"/>
      <c r="C141" s="126"/>
      <c r="D141" s="286"/>
      <c r="E141" s="126"/>
      <c r="F141" s="286"/>
      <c r="G141" s="126"/>
      <c r="H141" s="286"/>
      <c r="I141" s="126"/>
      <c r="J141" s="286"/>
      <c r="K141" s="126"/>
      <c r="L141" s="286"/>
      <c r="M141" s="126"/>
      <c r="N141" s="209"/>
    </row>
    <row r="142" spans="1:14">
      <c r="A142" s="127"/>
      <c r="B142" s="127"/>
      <c r="C142" s="126"/>
      <c r="D142" s="286"/>
      <c r="E142" s="126"/>
      <c r="F142" s="286"/>
      <c r="G142" s="126"/>
      <c r="H142" s="286"/>
      <c r="I142" s="126"/>
      <c r="J142" s="286"/>
      <c r="K142" s="126"/>
      <c r="L142" s="286"/>
      <c r="M142" s="126"/>
      <c r="N142" s="209"/>
    </row>
    <row r="143" spans="1:14">
      <c r="A143" s="126"/>
      <c r="B143" s="126"/>
      <c r="C143" s="126"/>
      <c r="D143" s="286"/>
      <c r="E143" s="126"/>
      <c r="F143" s="286"/>
      <c r="G143" s="126"/>
      <c r="H143" s="286"/>
      <c r="I143" s="126"/>
      <c r="J143" s="286"/>
      <c r="K143" s="126"/>
      <c r="L143" s="286"/>
      <c r="M143" s="126"/>
      <c r="N143" s="209"/>
    </row>
    <row r="144" spans="1:14">
      <c r="A144" s="126"/>
      <c r="B144" s="126"/>
      <c r="C144" s="126"/>
      <c r="D144" s="286"/>
      <c r="E144" s="126"/>
      <c r="F144" s="286"/>
      <c r="G144" s="126"/>
      <c r="H144" s="286"/>
      <c r="I144" s="126"/>
      <c r="J144" s="286"/>
      <c r="K144" s="126"/>
      <c r="L144" s="286"/>
      <c r="M144" s="126"/>
      <c r="N144" s="209"/>
    </row>
    <row r="145" spans="1:14">
      <c r="A145" s="126"/>
      <c r="B145" s="126"/>
      <c r="C145" s="126"/>
      <c r="D145" s="288"/>
      <c r="E145" s="209"/>
      <c r="F145" s="288"/>
      <c r="G145" s="209"/>
      <c r="H145" s="288"/>
      <c r="I145" s="126"/>
      <c r="J145" s="286"/>
      <c r="K145" s="126"/>
      <c r="L145" s="286"/>
      <c r="M145" s="126"/>
      <c r="N145" s="209"/>
    </row>
    <row r="146" spans="1:14">
      <c r="A146" s="126"/>
      <c r="B146" s="126"/>
      <c r="C146" s="126"/>
      <c r="D146" s="288"/>
      <c r="E146" s="209"/>
      <c r="F146" s="288"/>
      <c r="G146" s="209"/>
      <c r="H146" s="288"/>
      <c r="I146" s="126"/>
      <c r="J146" s="286"/>
      <c r="K146" s="126"/>
      <c r="L146" s="286"/>
      <c r="M146" s="126"/>
      <c r="N146" s="209"/>
    </row>
    <row r="147" spans="1:14">
      <c r="A147" s="261"/>
      <c r="B147" s="261"/>
      <c r="C147" s="262"/>
      <c r="D147" s="294"/>
      <c r="E147" s="263"/>
      <c r="F147" s="294"/>
      <c r="G147" s="263"/>
      <c r="H147" s="294"/>
      <c r="I147" s="126"/>
      <c r="J147" s="286"/>
      <c r="K147" s="126"/>
      <c r="L147" s="286"/>
      <c r="M147" s="126"/>
      <c r="N147" s="209"/>
    </row>
    <row r="148" spans="1:14">
      <c r="A148" s="126"/>
      <c r="B148" s="126"/>
      <c r="C148" s="126"/>
      <c r="D148" s="288"/>
      <c r="E148" s="209"/>
      <c r="F148" s="288"/>
      <c r="G148" s="209"/>
      <c r="H148" s="288"/>
      <c r="I148" s="126"/>
      <c r="J148" s="286"/>
      <c r="K148" s="126"/>
      <c r="L148" s="286"/>
      <c r="M148" s="126"/>
      <c r="N148" s="209"/>
    </row>
    <row r="149" spans="1:14">
      <c r="A149" s="126"/>
      <c r="B149" s="126"/>
      <c r="C149" s="126"/>
      <c r="D149" s="288"/>
      <c r="E149" s="209"/>
      <c r="F149" s="288"/>
      <c r="G149" s="209"/>
      <c r="H149" s="288"/>
      <c r="I149" s="126"/>
      <c r="J149" s="286"/>
      <c r="K149" s="126"/>
      <c r="L149" s="286"/>
      <c r="M149" s="126"/>
      <c r="N149" s="209"/>
    </row>
    <row r="150" spans="1:14">
      <c r="A150" s="126"/>
      <c r="B150" s="126"/>
      <c r="C150" s="126"/>
      <c r="D150" s="286"/>
      <c r="E150" s="126"/>
      <c r="F150" s="286"/>
      <c r="G150" s="126"/>
      <c r="H150" s="286"/>
      <c r="I150" s="126"/>
      <c r="J150" s="286"/>
      <c r="K150" s="126"/>
      <c r="L150" s="286"/>
      <c r="M150" s="126"/>
      <c r="N150" s="209"/>
    </row>
    <row r="151" spans="1:14">
      <c r="A151" s="126"/>
      <c r="B151" s="126"/>
      <c r="C151" s="126"/>
      <c r="D151" s="286"/>
      <c r="E151" s="126"/>
      <c r="F151" s="286"/>
      <c r="G151" s="126"/>
      <c r="H151" s="286"/>
      <c r="I151" s="126"/>
      <c r="J151" s="286"/>
      <c r="K151" s="126"/>
      <c r="L151" s="286"/>
      <c r="M151" s="126"/>
      <c r="N151" s="209"/>
    </row>
  </sheetData>
  <mergeCells count="14">
    <mergeCell ref="A2:L2"/>
    <mergeCell ref="A3:L3"/>
    <mergeCell ref="I6:J6"/>
    <mergeCell ref="K6:L6"/>
    <mergeCell ref="G5:H5"/>
    <mergeCell ref="I5:J5"/>
    <mergeCell ref="K5:L5"/>
    <mergeCell ref="G6:H6"/>
    <mergeCell ref="I120:J120"/>
    <mergeCell ref="K120:L120"/>
    <mergeCell ref="A134:L134"/>
    <mergeCell ref="A136:L136"/>
    <mergeCell ref="E5:F5"/>
    <mergeCell ref="A133:L133"/>
  </mergeCells>
  <printOptions horizontalCentered="1"/>
  <pageMargins left="0.7" right="0.7" top="1.25" bottom="0.75" header="0.3" footer="0.3"/>
  <pageSetup scale="66" pageOrder="overThenDown" orientation="landscape" useFirstPageNumber="1" r:id="rId1"/>
  <headerFooter>
    <oddHeader>&amp;RDocket No. UE-19____
PacifiCorp
Exhibit No. AEB-12
Page &amp;P of 3</oddHeader>
  </headerFooter>
  <rowBreaks count="2" manualBreakCount="2">
    <brk id="53" max="11" man="1"/>
    <brk id="10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AM103"/>
  <sheetViews>
    <sheetView zoomScaleNormal="100" workbookViewId="0"/>
  </sheetViews>
  <sheetFormatPr defaultColWidth="9.140625" defaultRowHeight="12.75"/>
  <cols>
    <col min="1" max="1" width="3.140625" style="328" customWidth="1"/>
    <col min="2" max="2" width="42" style="328" customWidth="1"/>
    <col min="3" max="3" width="5.7109375" style="329" bestFit="1" customWidth="1"/>
    <col min="4" max="4" width="8.42578125" style="329" customWidth="1"/>
    <col min="5" max="5" width="8.7109375" style="329" customWidth="1"/>
    <col min="6" max="6" width="8.42578125" style="329" customWidth="1"/>
    <col min="7" max="8" width="8.85546875" style="329" customWidth="1"/>
    <col min="9" max="10" width="8.42578125" style="329" customWidth="1"/>
    <col min="11" max="11" width="8.140625" style="329" customWidth="1"/>
    <col min="12" max="12" width="9.7109375" style="329" customWidth="1"/>
    <col min="13" max="13" width="3" style="328" customWidth="1"/>
    <col min="14" max="14" width="2.28515625" style="328" customWidth="1"/>
    <col min="15" max="15" width="42.28515625" style="328" customWidth="1"/>
    <col min="16" max="16" width="7" style="329" customWidth="1"/>
    <col min="17" max="24" width="7.42578125" style="329" bestFit="1" customWidth="1"/>
    <col min="25" max="25" width="7.5703125" style="329" bestFit="1" customWidth="1"/>
    <col min="26" max="26" width="2.28515625" style="328" customWidth="1"/>
    <col min="27" max="27" width="2.5703125" style="328" customWidth="1"/>
    <col min="28" max="28" width="42.85546875" style="328" customWidth="1"/>
    <col min="29" max="29" width="7.42578125" style="328" customWidth="1"/>
    <col min="30" max="37" width="7.42578125" style="328" bestFit="1" customWidth="1"/>
    <col min="38" max="38" width="9.140625" style="328" customWidth="1"/>
    <col min="39" max="39" width="2.42578125" style="328" customWidth="1"/>
    <col min="40" max="16384" width="9.140625" style="328"/>
  </cols>
  <sheetData>
    <row r="1" spans="2:38">
      <c r="B1" s="408" t="s">
        <v>192</v>
      </c>
      <c r="C1" s="408"/>
      <c r="D1" s="408"/>
      <c r="E1" s="408"/>
      <c r="F1" s="408"/>
      <c r="G1" s="408"/>
      <c r="H1" s="408"/>
      <c r="I1" s="408"/>
      <c r="J1" s="408"/>
      <c r="K1" s="408"/>
      <c r="L1" s="408"/>
      <c r="O1" s="408" t="s">
        <v>192</v>
      </c>
      <c r="P1" s="408"/>
      <c r="Q1" s="408"/>
      <c r="R1" s="408"/>
      <c r="S1" s="408"/>
      <c r="T1" s="408"/>
      <c r="U1" s="408"/>
      <c r="V1" s="408"/>
      <c r="W1" s="408"/>
      <c r="X1" s="408"/>
      <c r="Y1" s="408"/>
      <c r="AB1" s="408" t="s">
        <v>192</v>
      </c>
      <c r="AC1" s="408"/>
      <c r="AD1" s="408"/>
      <c r="AE1" s="408"/>
      <c r="AF1" s="408"/>
      <c r="AG1" s="408"/>
      <c r="AH1" s="408"/>
      <c r="AI1" s="408"/>
      <c r="AJ1" s="408"/>
      <c r="AK1" s="408"/>
      <c r="AL1" s="408"/>
    </row>
    <row r="2" spans="2:38">
      <c r="B2" s="329"/>
      <c r="O2" s="329"/>
      <c r="AB2" s="329"/>
      <c r="AC2" s="329"/>
      <c r="AD2" s="329"/>
      <c r="AE2" s="329"/>
      <c r="AF2" s="329"/>
      <c r="AG2" s="329"/>
      <c r="AH2" s="329"/>
      <c r="AI2" s="329"/>
      <c r="AJ2" s="329"/>
      <c r="AK2" s="329"/>
      <c r="AL2" s="329"/>
    </row>
    <row r="3" spans="2:38">
      <c r="B3" s="408" t="s">
        <v>193</v>
      </c>
      <c r="C3" s="408"/>
      <c r="D3" s="408"/>
      <c r="E3" s="408"/>
      <c r="F3" s="408"/>
      <c r="G3" s="408"/>
      <c r="H3" s="408"/>
      <c r="I3" s="408"/>
      <c r="J3" s="408"/>
      <c r="K3" s="408"/>
      <c r="L3" s="408"/>
      <c r="O3" s="408" t="s">
        <v>194</v>
      </c>
      <c r="P3" s="408"/>
      <c r="Q3" s="408"/>
      <c r="R3" s="408"/>
      <c r="S3" s="408"/>
      <c r="T3" s="408"/>
      <c r="U3" s="408"/>
      <c r="V3" s="408"/>
      <c r="W3" s="408"/>
      <c r="X3" s="408"/>
      <c r="Y3" s="408"/>
      <c r="AB3" s="408" t="s">
        <v>195</v>
      </c>
      <c r="AC3" s="408"/>
      <c r="AD3" s="408"/>
      <c r="AE3" s="408"/>
      <c r="AF3" s="408"/>
      <c r="AG3" s="408"/>
      <c r="AH3" s="408"/>
      <c r="AI3" s="408"/>
      <c r="AJ3" s="408"/>
      <c r="AK3" s="408"/>
      <c r="AL3" s="408"/>
    </row>
    <row r="4" spans="2:38">
      <c r="B4" s="330" t="s">
        <v>196</v>
      </c>
      <c r="C4" s="331" t="s">
        <v>1</v>
      </c>
      <c r="D4" s="35" t="s">
        <v>1549</v>
      </c>
      <c r="E4" s="35" t="s">
        <v>1550</v>
      </c>
      <c r="F4" s="35" t="s">
        <v>1551</v>
      </c>
      <c r="G4" s="35" t="s">
        <v>1552</v>
      </c>
      <c r="H4" s="35" t="s">
        <v>1553</v>
      </c>
      <c r="I4" s="35" t="s">
        <v>1554</v>
      </c>
      <c r="J4" s="35" t="s">
        <v>1555</v>
      </c>
      <c r="K4" s="35" t="s">
        <v>1556</v>
      </c>
      <c r="L4" s="331" t="s">
        <v>1216</v>
      </c>
      <c r="O4" s="330" t="s">
        <v>196</v>
      </c>
      <c r="P4" s="331" t="s">
        <v>1</v>
      </c>
      <c r="Q4" s="35" t="str">
        <f>D4</f>
        <v>2019Q3</v>
      </c>
      <c r="R4" s="35" t="str">
        <f t="shared" ref="R4:X4" si="0">E4</f>
        <v>2019Q2</v>
      </c>
      <c r="S4" s="35" t="str">
        <f t="shared" si="0"/>
        <v>2019Q1</v>
      </c>
      <c r="T4" s="35" t="str">
        <f t="shared" si="0"/>
        <v>2018Q4</v>
      </c>
      <c r="U4" s="35" t="str">
        <f t="shared" si="0"/>
        <v>2018Q3</v>
      </c>
      <c r="V4" s="35" t="str">
        <f t="shared" si="0"/>
        <v>2018Q2</v>
      </c>
      <c r="W4" s="35" t="str">
        <f t="shared" si="0"/>
        <v>2018Q1</v>
      </c>
      <c r="X4" s="35" t="str">
        <f t="shared" si="0"/>
        <v>2017Q4</v>
      </c>
      <c r="Y4" s="331" t="s">
        <v>1216</v>
      </c>
      <c r="AB4" s="330" t="s">
        <v>196</v>
      </c>
      <c r="AC4" s="331" t="s">
        <v>1</v>
      </c>
      <c r="AD4" s="35" t="str">
        <f>Q4</f>
        <v>2019Q3</v>
      </c>
      <c r="AE4" s="35" t="str">
        <f t="shared" ref="AE4:AK4" si="1">R4</f>
        <v>2019Q2</v>
      </c>
      <c r="AF4" s="35" t="str">
        <f t="shared" si="1"/>
        <v>2019Q1</v>
      </c>
      <c r="AG4" s="35" t="str">
        <f t="shared" si="1"/>
        <v>2018Q4</v>
      </c>
      <c r="AH4" s="35" t="str">
        <f t="shared" si="1"/>
        <v>2018Q3</v>
      </c>
      <c r="AI4" s="35" t="str">
        <f t="shared" si="1"/>
        <v>2018Q2</v>
      </c>
      <c r="AJ4" s="35" t="str">
        <f t="shared" si="1"/>
        <v>2018Q1</v>
      </c>
      <c r="AK4" s="35" t="str">
        <f t="shared" si="1"/>
        <v>2017Q4</v>
      </c>
      <c r="AL4" s="331" t="s">
        <v>1216</v>
      </c>
    </row>
    <row r="5" spans="2:38" s="335" customFormat="1">
      <c r="B5" s="332" t="s">
        <v>1267</v>
      </c>
      <c r="C5" s="154" t="s">
        <v>1268</v>
      </c>
      <c r="D5" s="333">
        <v>0.59300520524339706</v>
      </c>
      <c r="E5" s="333">
        <v>0.60870850472852855</v>
      </c>
      <c r="F5" s="333">
        <v>0.60796917142958085</v>
      </c>
      <c r="G5" s="333">
        <v>0.61272757185570681</v>
      </c>
      <c r="H5" s="333">
        <v>0.60329441466642075</v>
      </c>
      <c r="I5" s="333">
        <v>0.60256266651954715</v>
      </c>
      <c r="J5" s="333">
        <v>0.60500898750523058</v>
      </c>
      <c r="K5" s="333">
        <v>0.60148072837606947</v>
      </c>
      <c r="L5" s="334">
        <f>AVERAGE(D5:K5)</f>
        <v>0.60434465629056011</v>
      </c>
      <c r="O5" s="36" t="str">
        <f>B5</f>
        <v>ALLETE, Inc.</v>
      </c>
      <c r="P5" s="36" t="str">
        <f>C5</f>
        <v>ALE</v>
      </c>
      <c r="Q5" s="333">
        <v>0.406994794756603</v>
      </c>
      <c r="R5" s="333">
        <v>0.39129149527147139</v>
      </c>
      <c r="S5" s="333">
        <v>0.39203082857041915</v>
      </c>
      <c r="T5" s="333">
        <v>0.38727242814429319</v>
      </c>
      <c r="U5" s="333">
        <v>0.39670558533357925</v>
      </c>
      <c r="V5" s="333">
        <v>0.3974373334804529</v>
      </c>
      <c r="W5" s="333">
        <v>0.39499101249476948</v>
      </c>
      <c r="X5" s="333">
        <v>0.39851927162393053</v>
      </c>
      <c r="Y5" s="334">
        <f>AVERAGE(Q5:X5)</f>
        <v>0.39565534370943989</v>
      </c>
      <c r="AB5" s="36" t="str">
        <f>O5</f>
        <v>ALLETE, Inc.</v>
      </c>
      <c r="AC5" s="36" t="str">
        <f t="shared" ref="AC5:AC27" si="2">P5</f>
        <v>ALE</v>
      </c>
      <c r="AD5" s="355">
        <v>0</v>
      </c>
      <c r="AE5" s="355">
        <v>0</v>
      </c>
      <c r="AF5" s="355">
        <v>0</v>
      </c>
      <c r="AG5" s="355">
        <v>0</v>
      </c>
      <c r="AH5" s="355">
        <v>0</v>
      </c>
      <c r="AI5" s="355">
        <v>0</v>
      </c>
      <c r="AJ5" s="355">
        <v>0</v>
      </c>
      <c r="AK5" s="355">
        <v>0</v>
      </c>
      <c r="AL5" s="334">
        <f>AVERAGE(AD5:AK5)</f>
        <v>0</v>
      </c>
    </row>
    <row r="6" spans="2:38" s="335" customFormat="1">
      <c r="B6" s="332" t="s">
        <v>1269</v>
      </c>
      <c r="C6" s="154" t="s">
        <v>1102</v>
      </c>
      <c r="D6" s="333">
        <v>0.50483552269474097</v>
      </c>
      <c r="E6" s="333">
        <v>0.49651933557768352</v>
      </c>
      <c r="F6" s="333">
        <v>0.52169055903719819</v>
      </c>
      <c r="G6" s="333">
        <v>0.52108671633235992</v>
      </c>
      <c r="H6" s="333">
        <v>0.4987557202347328</v>
      </c>
      <c r="I6" s="333">
        <v>0.49853662839856766</v>
      </c>
      <c r="J6" s="333">
        <v>0.48676402730699453</v>
      </c>
      <c r="K6" s="333">
        <v>0.48737121793267085</v>
      </c>
      <c r="L6" s="334">
        <f t="shared" ref="L6:L26" si="3">AVERAGE(D6:K6)</f>
        <v>0.50194496593936855</v>
      </c>
      <c r="O6" s="36" t="str">
        <f t="shared" ref="O6:P27" si="4">B6</f>
        <v>Alliant Energy Corporation</v>
      </c>
      <c r="P6" s="36" t="str">
        <f t="shared" si="4"/>
        <v>LNT</v>
      </c>
      <c r="Q6" s="333">
        <v>0.47710379213885201</v>
      </c>
      <c r="R6" s="333">
        <v>0.484944060700704</v>
      </c>
      <c r="S6" s="333">
        <v>0.45880626106683564</v>
      </c>
      <c r="T6" s="333">
        <v>0.45891018518768556</v>
      </c>
      <c r="U6" s="333">
        <v>0.4813469460278853</v>
      </c>
      <c r="V6" s="333">
        <v>0.48040917979606068</v>
      </c>
      <c r="W6" s="333">
        <v>0.49131004046540422</v>
      </c>
      <c r="X6" s="333">
        <v>0.4905631254855134</v>
      </c>
      <c r="Y6" s="334">
        <f t="shared" ref="Y6:Y27" si="5">AVERAGE(Q6:X6)</f>
        <v>0.47792419885861759</v>
      </c>
      <c r="AB6" s="36" t="str">
        <f t="shared" ref="AB6:AB27" si="6">O6</f>
        <v>Alliant Energy Corporation</v>
      </c>
      <c r="AC6" s="36" t="str">
        <f t="shared" si="2"/>
        <v>LNT</v>
      </c>
      <c r="AD6" s="333">
        <v>1.8060685166407089E-2</v>
      </c>
      <c r="AE6" s="333">
        <v>1.8536603721612466E-2</v>
      </c>
      <c r="AF6" s="333">
        <v>1.9503179895966137E-2</v>
      </c>
      <c r="AG6" s="333">
        <v>2.0003098479954545E-2</v>
      </c>
      <c r="AH6" s="333">
        <v>1.9897333737381857E-2</v>
      </c>
      <c r="AI6" s="333">
        <v>2.1054191805371682E-2</v>
      </c>
      <c r="AJ6" s="333">
        <v>2.1925932227601263E-2</v>
      </c>
      <c r="AK6" s="333">
        <v>2.2065656581815758E-2</v>
      </c>
      <c r="AL6" s="334">
        <f t="shared" ref="AL6:AL27" si="7">AVERAGE(AD6:AK6)</f>
        <v>2.013083520201385E-2</v>
      </c>
    </row>
    <row r="7" spans="2:38" s="335" customFormat="1">
      <c r="B7" s="332" t="s">
        <v>1270</v>
      </c>
      <c r="C7" s="154" t="s">
        <v>930</v>
      </c>
      <c r="D7" s="333">
        <v>0.53132298264297595</v>
      </c>
      <c r="E7" s="333">
        <v>0.52479828558234409</v>
      </c>
      <c r="F7" s="333">
        <v>0.52265663899062842</v>
      </c>
      <c r="G7" s="333">
        <v>0.52179850936939642</v>
      </c>
      <c r="H7" s="333">
        <v>0.5271505794971364</v>
      </c>
      <c r="I7" s="333">
        <v>0.51433379101971266</v>
      </c>
      <c r="J7" s="333">
        <v>0.52376044105632424</v>
      </c>
      <c r="K7" s="333">
        <v>0.52024419388856369</v>
      </c>
      <c r="L7" s="334">
        <f t="shared" si="3"/>
        <v>0.52325817775588523</v>
      </c>
      <c r="O7" s="36" t="str">
        <f t="shared" si="4"/>
        <v>Ameren Corporation</v>
      </c>
      <c r="P7" s="36" t="str">
        <f t="shared" si="4"/>
        <v>AEE</v>
      </c>
      <c r="Q7" s="333">
        <v>0.45956609615274857</v>
      </c>
      <c r="R7" s="333">
        <v>0.4659637270548167</v>
      </c>
      <c r="S7" s="333">
        <v>0.46806350282191317</v>
      </c>
      <c r="T7" s="333">
        <v>0.46874941709491591</v>
      </c>
      <c r="U7" s="333">
        <v>0.46325417462131857</v>
      </c>
      <c r="V7" s="333">
        <v>0.47608178637289122</v>
      </c>
      <c r="W7" s="333">
        <v>0.466094482613718</v>
      </c>
      <c r="X7" s="333">
        <v>0.46953533882034826</v>
      </c>
      <c r="Y7" s="334">
        <f t="shared" si="5"/>
        <v>0.46716356569408379</v>
      </c>
      <c r="AB7" s="36" t="str">
        <f t="shared" si="6"/>
        <v>Ameren Corporation</v>
      </c>
      <c r="AC7" s="36" t="str">
        <f t="shared" si="2"/>
        <v>AEE</v>
      </c>
      <c r="AD7" s="333">
        <v>9.1109212042755142E-3</v>
      </c>
      <c r="AE7" s="333">
        <v>9.2379873628391593E-3</v>
      </c>
      <c r="AF7" s="333">
        <v>9.2798581874584535E-3</v>
      </c>
      <c r="AG7" s="333">
        <v>9.4520735356876644E-3</v>
      </c>
      <c r="AH7" s="333">
        <v>9.5952458815450215E-3</v>
      </c>
      <c r="AI7" s="333">
        <v>9.5844226073961564E-3</v>
      </c>
      <c r="AJ7" s="333">
        <v>1.0145076329957793E-2</v>
      </c>
      <c r="AK7" s="333">
        <v>1.0220467291088085E-2</v>
      </c>
      <c r="AL7" s="334">
        <f t="shared" si="7"/>
        <v>9.5782565500309794E-3</v>
      </c>
    </row>
    <row r="8" spans="2:38" s="335" customFormat="1">
      <c r="B8" s="332" t="s">
        <v>1271</v>
      </c>
      <c r="C8" s="154" t="s">
        <v>319</v>
      </c>
      <c r="D8" s="333">
        <v>0.48827705287628542</v>
      </c>
      <c r="E8" s="333">
        <v>0.48036184978469193</v>
      </c>
      <c r="F8" s="333">
        <v>0.48716408794038102</v>
      </c>
      <c r="G8" s="333">
        <v>0.48548693340373433</v>
      </c>
      <c r="H8" s="333">
        <v>0.47518754799563689</v>
      </c>
      <c r="I8" s="333">
        <v>0.47926240240805074</v>
      </c>
      <c r="J8" s="333">
        <v>0.48539819392651207</v>
      </c>
      <c r="K8" s="333">
        <v>0.48879926404460949</v>
      </c>
      <c r="L8" s="334">
        <f t="shared" si="3"/>
        <v>0.48374216654748775</v>
      </c>
      <c r="O8" s="36" t="str">
        <f t="shared" si="4"/>
        <v>American Electric Power Company, Inc.</v>
      </c>
      <c r="P8" s="36" t="str">
        <f t="shared" si="4"/>
        <v>AEP</v>
      </c>
      <c r="Q8" s="333">
        <v>0.51172294712371458</v>
      </c>
      <c r="R8" s="333">
        <v>0.51963815021530813</v>
      </c>
      <c r="S8" s="333">
        <v>0.51283591205961898</v>
      </c>
      <c r="T8" s="333">
        <v>0.51451306659626561</v>
      </c>
      <c r="U8" s="333">
        <v>0.52481245200436311</v>
      </c>
      <c r="V8" s="333">
        <v>0.52073759759194926</v>
      </c>
      <c r="W8" s="333">
        <v>0.51460180607348793</v>
      </c>
      <c r="X8" s="333">
        <v>0.51120073595539051</v>
      </c>
      <c r="Y8" s="334">
        <f t="shared" si="5"/>
        <v>0.51625783345251219</v>
      </c>
      <c r="AB8" s="36" t="str">
        <f t="shared" si="6"/>
        <v>American Electric Power Company, Inc.</v>
      </c>
      <c r="AC8" s="36" t="str">
        <f t="shared" si="2"/>
        <v>AEP</v>
      </c>
      <c r="AD8" s="333">
        <v>0</v>
      </c>
      <c r="AE8" s="333">
        <v>0</v>
      </c>
      <c r="AF8" s="333">
        <v>0</v>
      </c>
      <c r="AG8" s="333">
        <v>0</v>
      </c>
      <c r="AH8" s="333">
        <v>0</v>
      </c>
      <c r="AI8" s="333">
        <v>0</v>
      </c>
      <c r="AJ8" s="333">
        <v>0</v>
      </c>
      <c r="AK8" s="333">
        <v>0</v>
      </c>
      <c r="AL8" s="334">
        <f t="shared" si="7"/>
        <v>0</v>
      </c>
    </row>
    <row r="9" spans="2:38" s="335" customFormat="1">
      <c r="B9" s="332" t="s">
        <v>1272</v>
      </c>
      <c r="C9" s="154" t="s">
        <v>1273</v>
      </c>
      <c r="D9" s="333">
        <v>0.61277731597887308</v>
      </c>
      <c r="E9" s="333">
        <v>0.61238106559029193</v>
      </c>
      <c r="F9" s="333">
        <v>0.61021344711635905</v>
      </c>
      <c r="G9" s="333">
        <v>0.60288254324609103</v>
      </c>
      <c r="H9" s="333">
        <v>0.61938014788349982</v>
      </c>
      <c r="I9" s="333">
        <v>0.61778180947187633</v>
      </c>
      <c r="J9" s="333">
        <v>0.61527018292620372</v>
      </c>
      <c r="K9" s="333">
        <v>0.60767902913637073</v>
      </c>
      <c r="L9" s="334">
        <f t="shared" si="3"/>
        <v>0.61229569266869566</v>
      </c>
      <c r="O9" s="36" t="str">
        <f t="shared" si="4"/>
        <v>Avista Corporation</v>
      </c>
      <c r="P9" s="36" t="str">
        <f t="shared" si="4"/>
        <v>AVA</v>
      </c>
      <c r="Q9" s="333">
        <v>0.38722268402112686</v>
      </c>
      <c r="R9" s="333">
        <v>0.38761893440970807</v>
      </c>
      <c r="S9" s="333">
        <v>0.38978655288364089</v>
      </c>
      <c r="T9" s="333">
        <v>0.39711745675390897</v>
      </c>
      <c r="U9" s="333">
        <v>0.38061985211650012</v>
      </c>
      <c r="V9" s="333">
        <v>0.38221819052812361</v>
      </c>
      <c r="W9" s="333">
        <v>0.38472981707379633</v>
      </c>
      <c r="X9" s="333">
        <v>0.39232097086362921</v>
      </c>
      <c r="Y9" s="334">
        <f t="shared" si="5"/>
        <v>0.38770430733130423</v>
      </c>
      <c r="AB9" s="36" t="str">
        <f t="shared" si="6"/>
        <v>Avista Corporation</v>
      </c>
      <c r="AC9" s="36" t="str">
        <f t="shared" si="2"/>
        <v>AVA</v>
      </c>
      <c r="AD9" s="333">
        <v>0</v>
      </c>
      <c r="AE9" s="333">
        <v>0</v>
      </c>
      <c r="AF9" s="333">
        <v>0</v>
      </c>
      <c r="AG9" s="333">
        <v>0</v>
      </c>
      <c r="AH9" s="333">
        <v>0</v>
      </c>
      <c r="AI9" s="333">
        <v>0</v>
      </c>
      <c r="AJ9" s="333">
        <v>0</v>
      </c>
      <c r="AK9" s="333">
        <v>0</v>
      </c>
      <c r="AL9" s="334">
        <f t="shared" si="7"/>
        <v>0</v>
      </c>
    </row>
    <row r="10" spans="2:38" s="335" customFormat="1">
      <c r="B10" s="332" t="s">
        <v>1274</v>
      </c>
      <c r="C10" s="154" t="s">
        <v>474</v>
      </c>
      <c r="D10" s="333">
        <v>0.44237431547723649</v>
      </c>
      <c r="E10" s="333">
        <v>0.42772574564807092</v>
      </c>
      <c r="F10" s="333">
        <v>0.41946791978505193</v>
      </c>
      <c r="G10" s="333">
        <v>0.40585208494110531</v>
      </c>
      <c r="H10" s="333">
        <v>0.38574765411736206</v>
      </c>
      <c r="I10" s="333">
        <v>0.37514421593784492</v>
      </c>
      <c r="J10" s="333">
        <v>0.36721345422283153</v>
      </c>
      <c r="K10" s="333">
        <v>0.37472802439402247</v>
      </c>
      <c r="L10" s="334">
        <f t="shared" si="3"/>
        <v>0.39978167681544069</v>
      </c>
      <c r="O10" s="36" t="str">
        <f t="shared" si="4"/>
        <v>CenterPoint Energy, Inc.</v>
      </c>
      <c r="P10" s="36" t="str">
        <f t="shared" si="4"/>
        <v>CNP</v>
      </c>
      <c r="Q10" s="333">
        <v>0.55762568452276351</v>
      </c>
      <c r="R10" s="333">
        <v>0.57227425435192913</v>
      </c>
      <c r="S10" s="333">
        <v>0.58053208021494807</v>
      </c>
      <c r="T10" s="333">
        <v>0.59414791505889464</v>
      </c>
      <c r="U10" s="333">
        <v>0.614252345882638</v>
      </c>
      <c r="V10" s="333">
        <v>0.62485578406215503</v>
      </c>
      <c r="W10" s="333">
        <v>0.63278654577716842</v>
      </c>
      <c r="X10" s="333">
        <v>0.62527197560597747</v>
      </c>
      <c r="Y10" s="334">
        <f t="shared" si="5"/>
        <v>0.60021832318455925</v>
      </c>
      <c r="AB10" s="36" t="str">
        <f t="shared" si="6"/>
        <v>CenterPoint Energy, Inc.</v>
      </c>
      <c r="AC10" s="36" t="str">
        <f t="shared" si="2"/>
        <v>CNP</v>
      </c>
      <c r="AD10" s="333">
        <v>0</v>
      </c>
      <c r="AE10" s="333">
        <v>0</v>
      </c>
      <c r="AF10" s="333">
        <v>0</v>
      </c>
      <c r="AG10" s="333">
        <v>0</v>
      </c>
      <c r="AH10" s="333">
        <v>0</v>
      </c>
      <c r="AI10" s="333">
        <v>0</v>
      </c>
      <c r="AJ10" s="333">
        <v>0</v>
      </c>
      <c r="AK10" s="333">
        <v>0</v>
      </c>
      <c r="AL10" s="334">
        <f t="shared" si="7"/>
        <v>0</v>
      </c>
    </row>
    <row r="11" spans="2:38" s="335" customFormat="1">
      <c r="B11" s="332" t="s">
        <v>1275</v>
      </c>
      <c r="C11" s="154" t="s">
        <v>381</v>
      </c>
      <c r="D11" s="333">
        <v>0.51567963082546309</v>
      </c>
      <c r="E11" s="333">
        <v>0.53495264685982236</v>
      </c>
      <c r="F11" s="333">
        <v>0.5238128950469978</v>
      </c>
      <c r="G11" s="333">
        <v>0.50136540366584814</v>
      </c>
      <c r="H11" s="333">
        <v>0.52861455691057257</v>
      </c>
      <c r="I11" s="333">
        <v>0.52706947615000133</v>
      </c>
      <c r="J11" s="333">
        <v>0.52972942005161061</v>
      </c>
      <c r="K11" s="333">
        <v>0.52095041657633478</v>
      </c>
      <c r="L11" s="334">
        <f t="shared" si="3"/>
        <v>0.52277180576083127</v>
      </c>
      <c r="O11" s="36" t="str">
        <f t="shared" si="4"/>
        <v>CMS Energy Corporation</v>
      </c>
      <c r="P11" s="36" t="str">
        <f t="shared" si="4"/>
        <v>CMS</v>
      </c>
      <c r="Q11" s="333">
        <v>0.4818212856949019</v>
      </c>
      <c r="R11" s="333">
        <v>0.46242451114203525</v>
      </c>
      <c r="S11" s="333">
        <v>0.47350512297011377</v>
      </c>
      <c r="T11" s="333">
        <v>0.49591697110526761</v>
      </c>
      <c r="U11" s="333">
        <v>0.46852091291267872</v>
      </c>
      <c r="V11" s="333">
        <v>0.47005971347135173</v>
      </c>
      <c r="W11" s="333">
        <v>0.46730964751374909</v>
      </c>
      <c r="X11" s="333">
        <v>0.47603663659371886</v>
      </c>
      <c r="Y11" s="334">
        <f t="shared" si="5"/>
        <v>0.47444935017547707</v>
      </c>
      <c r="AB11" s="36" t="str">
        <f t="shared" si="6"/>
        <v>CMS Energy Corporation</v>
      </c>
      <c r="AC11" s="36" t="str">
        <f t="shared" si="2"/>
        <v>CMS</v>
      </c>
      <c r="AD11" s="333">
        <v>2.4990834796350314E-3</v>
      </c>
      <c r="AE11" s="333">
        <v>2.6228419981423967E-3</v>
      </c>
      <c r="AF11" s="333">
        <v>2.6819819828885023E-3</v>
      </c>
      <c r="AG11" s="333">
        <v>2.7176252288842739E-3</v>
      </c>
      <c r="AH11" s="333">
        <v>2.8645301767487663E-3</v>
      </c>
      <c r="AI11" s="333">
        <v>2.8708103786469256E-3</v>
      </c>
      <c r="AJ11" s="333">
        <v>2.9609324346402829E-3</v>
      </c>
      <c r="AK11" s="333">
        <v>3.012946829946342E-3</v>
      </c>
      <c r="AL11" s="334">
        <f t="shared" si="7"/>
        <v>2.778844063691565E-3</v>
      </c>
    </row>
    <row r="12" spans="2:38" s="335" customFormat="1">
      <c r="B12" s="332" t="s">
        <v>1276</v>
      </c>
      <c r="C12" s="154" t="s">
        <v>405</v>
      </c>
      <c r="D12" s="333">
        <v>0.53432148210432329</v>
      </c>
      <c r="E12" s="333">
        <v>0.52195846870138618</v>
      </c>
      <c r="F12" s="333">
        <v>0.51504545210087871</v>
      </c>
      <c r="G12" s="333">
        <v>0.50522041376162985</v>
      </c>
      <c r="H12" s="333">
        <v>0.52453380875167677</v>
      </c>
      <c r="I12" s="333">
        <v>0.51812833100918831</v>
      </c>
      <c r="J12" s="333">
        <v>0.5052525376726672</v>
      </c>
      <c r="K12" s="333">
        <v>0.51072115315829603</v>
      </c>
      <c r="L12" s="334">
        <f t="shared" si="3"/>
        <v>0.51689770590750572</v>
      </c>
      <c r="O12" s="36" t="str">
        <f t="shared" si="4"/>
        <v>Dominion Resources, Inc.</v>
      </c>
      <c r="P12" s="36" t="str">
        <f t="shared" si="4"/>
        <v>D</v>
      </c>
      <c r="Q12" s="333">
        <v>0.46567545518536613</v>
      </c>
      <c r="R12" s="333">
        <v>0.47803839947044546</v>
      </c>
      <c r="S12" s="333">
        <v>0.48495144993428596</v>
      </c>
      <c r="T12" s="333">
        <v>0.49477664573172964</v>
      </c>
      <c r="U12" s="333">
        <v>0.4754632641799777</v>
      </c>
      <c r="V12" s="333">
        <v>0.48186869351391859</v>
      </c>
      <c r="W12" s="333">
        <v>0.49474451648629625</v>
      </c>
      <c r="X12" s="333">
        <v>0.48927585365294446</v>
      </c>
      <c r="Y12" s="334">
        <f t="shared" si="5"/>
        <v>0.48309928476937058</v>
      </c>
      <c r="AB12" s="36" t="str">
        <f t="shared" si="6"/>
        <v>Dominion Resources, Inc.</v>
      </c>
      <c r="AC12" s="36" t="str">
        <f t="shared" si="2"/>
        <v>D</v>
      </c>
      <c r="AD12" s="333">
        <v>3.0627103105744453E-6</v>
      </c>
      <c r="AE12" s="333">
        <v>3.1318281683640759E-6</v>
      </c>
      <c r="AF12" s="333">
        <v>3.0979648353729095E-6</v>
      </c>
      <c r="AG12" s="333">
        <v>2.9405066404726334E-6</v>
      </c>
      <c r="AH12" s="333">
        <v>2.9270683455237926E-6</v>
      </c>
      <c r="AI12" s="333">
        <v>2.9754768930712986E-6</v>
      </c>
      <c r="AJ12" s="333">
        <v>2.9458410365849008E-6</v>
      </c>
      <c r="AK12" s="333">
        <v>2.9931887595226058E-6</v>
      </c>
      <c r="AL12" s="334">
        <f t="shared" si="7"/>
        <v>3.0093231236858327E-6</v>
      </c>
    </row>
    <row r="13" spans="2:38" s="335" customFormat="1">
      <c r="B13" s="332" t="s">
        <v>1277</v>
      </c>
      <c r="C13" s="154" t="s">
        <v>983</v>
      </c>
      <c r="D13" s="333">
        <v>0.49402151349762918</v>
      </c>
      <c r="E13" s="333">
        <v>0.48764034930749484</v>
      </c>
      <c r="F13" s="333">
        <v>0.48693402583502116</v>
      </c>
      <c r="G13" s="333">
        <v>0.50960692407728059</v>
      </c>
      <c r="H13" s="333">
        <v>0.49965418108152515</v>
      </c>
      <c r="I13" s="333">
        <v>0.49227750931366288</v>
      </c>
      <c r="J13" s="333">
        <v>0.51117751175104242</v>
      </c>
      <c r="K13" s="333">
        <v>0.51021484806259432</v>
      </c>
      <c r="L13" s="334">
        <f t="shared" si="3"/>
        <v>0.4989408578657813</v>
      </c>
      <c r="O13" s="36" t="str">
        <f t="shared" si="4"/>
        <v>DTE Energy Company</v>
      </c>
      <c r="P13" s="36" t="str">
        <f t="shared" si="4"/>
        <v>DTE</v>
      </c>
      <c r="Q13" s="333">
        <v>0.50597848650237087</v>
      </c>
      <c r="R13" s="333">
        <v>0.51235965069250522</v>
      </c>
      <c r="S13" s="333">
        <v>0.5130659741649789</v>
      </c>
      <c r="T13" s="333">
        <v>0.49039307592271941</v>
      </c>
      <c r="U13" s="333">
        <v>0.50034581891847485</v>
      </c>
      <c r="V13" s="333">
        <v>0.50772249068633712</v>
      </c>
      <c r="W13" s="333">
        <v>0.48882248824895763</v>
      </c>
      <c r="X13" s="333">
        <v>0.48978515193740568</v>
      </c>
      <c r="Y13" s="334">
        <f t="shared" si="5"/>
        <v>0.50105914213421876</v>
      </c>
      <c r="AB13" s="36" t="str">
        <f t="shared" si="6"/>
        <v>DTE Energy Company</v>
      </c>
      <c r="AC13" s="36" t="str">
        <f t="shared" si="2"/>
        <v>DTE</v>
      </c>
      <c r="AD13" s="333">
        <v>0</v>
      </c>
      <c r="AE13" s="333">
        <v>0</v>
      </c>
      <c r="AF13" s="333">
        <v>0</v>
      </c>
      <c r="AG13" s="333">
        <v>0</v>
      </c>
      <c r="AH13" s="333">
        <v>0</v>
      </c>
      <c r="AI13" s="333">
        <v>0</v>
      </c>
      <c r="AJ13" s="333">
        <v>0</v>
      </c>
      <c r="AK13" s="333">
        <v>0</v>
      </c>
      <c r="AL13" s="334">
        <f t="shared" si="7"/>
        <v>0</v>
      </c>
    </row>
    <row r="14" spans="2:38" s="335" customFormat="1">
      <c r="B14" s="332" t="s">
        <v>1278</v>
      </c>
      <c r="C14" s="154" t="s">
        <v>409</v>
      </c>
      <c r="D14" s="333">
        <v>0.52624428375001597</v>
      </c>
      <c r="E14" s="333">
        <v>0.53117786772258702</v>
      </c>
      <c r="F14" s="333">
        <v>0.5215886079708103</v>
      </c>
      <c r="G14" s="333">
        <v>0.52708060074246543</v>
      </c>
      <c r="H14" s="333">
        <v>0.52854307510672971</v>
      </c>
      <c r="I14" s="333">
        <v>0.53037792247832916</v>
      </c>
      <c r="J14" s="333">
        <v>0.52881483482556346</v>
      </c>
      <c r="K14" s="333">
        <v>0.53013629014332686</v>
      </c>
      <c r="L14" s="334">
        <f t="shared" si="3"/>
        <v>0.5279954353424785</v>
      </c>
      <c r="O14" s="36" t="str">
        <f t="shared" si="4"/>
        <v>Duke Energy Corporation</v>
      </c>
      <c r="P14" s="36" t="str">
        <f t="shared" si="4"/>
        <v>DUK</v>
      </c>
      <c r="Q14" s="333">
        <v>0.47375571624998403</v>
      </c>
      <c r="R14" s="333">
        <v>0.46882213227741298</v>
      </c>
      <c r="S14" s="333">
        <v>0.4784113920291897</v>
      </c>
      <c r="T14" s="333">
        <v>0.47291939925753457</v>
      </c>
      <c r="U14" s="333">
        <v>0.47145692489327023</v>
      </c>
      <c r="V14" s="333">
        <v>0.46962207752167084</v>
      </c>
      <c r="W14" s="333">
        <v>0.47118516517443654</v>
      </c>
      <c r="X14" s="333">
        <v>0.46986370985667314</v>
      </c>
      <c r="Y14" s="334">
        <f t="shared" si="5"/>
        <v>0.47200456465752155</v>
      </c>
      <c r="AB14" s="36" t="str">
        <f t="shared" si="6"/>
        <v>Duke Energy Corporation</v>
      </c>
      <c r="AC14" s="36" t="str">
        <f t="shared" si="2"/>
        <v>DUK</v>
      </c>
      <c r="AD14" s="333">
        <v>0</v>
      </c>
      <c r="AE14" s="333">
        <v>0</v>
      </c>
      <c r="AF14" s="333">
        <v>0</v>
      </c>
      <c r="AG14" s="333">
        <v>0</v>
      </c>
      <c r="AH14" s="333">
        <v>0</v>
      </c>
      <c r="AI14" s="333">
        <v>0</v>
      </c>
      <c r="AJ14" s="333">
        <v>0</v>
      </c>
      <c r="AK14" s="333">
        <v>0</v>
      </c>
      <c r="AL14" s="334">
        <f t="shared" si="7"/>
        <v>0</v>
      </c>
    </row>
    <row r="15" spans="2:38" s="335" customFormat="1">
      <c r="B15" s="332" t="s">
        <v>1279</v>
      </c>
      <c r="C15" s="154" t="s">
        <v>423</v>
      </c>
      <c r="D15" s="333">
        <v>0.47641278802157699</v>
      </c>
      <c r="E15" s="333">
        <v>0.46798499137557159</v>
      </c>
      <c r="F15" s="333">
        <v>0.47030137779721792</v>
      </c>
      <c r="G15" s="333">
        <v>0.48732148642196693</v>
      </c>
      <c r="H15" s="333">
        <v>0.48307181810559713</v>
      </c>
      <c r="I15" s="333">
        <v>0.48003945141732229</v>
      </c>
      <c r="J15" s="333">
        <v>0.46003991552326484</v>
      </c>
      <c r="K15" s="333">
        <v>0.47409996089285222</v>
      </c>
      <c r="L15" s="334">
        <f t="shared" si="3"/>
        <v>0.47490897369442125</v>
      </c>
      <c r="O15" s="36" t="str">
        <f t="shared" si="4"/>
        <v>Entergy Corporation</v>
      </c>
      <c r="P15" s="36" t="str">
        <f t="shared" si="4"/>
        <v>ETR</v>
      </c>
      <c r="Q15" s="333">
        <v>0.52229844763849842</v>
      </c>
      <c r="R15" s="333">
        <v>0.53201500862442841</v>
      </c>
      <c r="S15" s="333">
        <v>0.52969862220278208</v>
      </c>
      <c r="T15" s="333">
        <v>0.51267851357803307</v>
      </c>
      <c r="U15" s="333">
        <v>0.51481757785430426</v>
      </c>
      <c r="V15" s="333">
        <v>0.51777556585228179</v>
      </c>
      <c r="W15" s="333">
        <v>0.53774141647697771</v>
      </c>
      <c r="X15" s="333">
        <v>0.52357281966404379</v>
      </c>
      <c r="Y15" s="334">
        <f t="shared" si="5"/>
        <v>0.52382474648641875</v>
      </c>
      <c r="AB15" s="36" t="str">
        <f t="shared" si="6"/>
        <v>Entergy Corporation</v>
      </c>
      <c r="AC15" s="36" t="str">
        <f t="shared" si="2"/>
        <v>ETR</v>
      </c>
      <c r="AD15" s="333">
        <v>1.2887643399245943E-3</v>
      </c>
      <c r="AE15" s="333">
        <v>0</v>
      </c>
      <c r="AF15" s="333">
        <v>0</v>
      </c>
      <c r="AG15" s="333">
        <v>0</v>
      </c>
      <c r="AH15" s="333">
        <v>2.1106040400986617E-3</v>
      </c>
      <c r="AI15" s="333">
        <v>2.1849827303959141E-3</v>
      </c>
      <c r="AJ15" s="333">
        <v>2.2186679997574224E-3</v>
      </c>
      <c r="AK15" s="333">
        <v>2.3272194431039586E-3</v>
      </c>
      <c r="AL15" s="334">
        <f t="shared" si="7"/>
        <v>1.2662798191600689E-3</v>
      </c>
    </row>
    <row r="16" spans="2:38" s="335" customFormat="1">
      <c r="B16" s="332" t="s">
        <v>1281</v>
      </c>
      <c r="C16" s="154" t="s">
        <v>1034</v>
      </c>
      <c r="D16" s="333">
        <v>0.59747426968173745</v>
      </c>
      <c r="E16" s="333">
        <v>0.60091306712422154</v>
      </c>
      <c r="F16" s="333">
        <v>0.57719144305419412</v>
      </c>
      <c r="G16" s="333">
        <v>0.59300634633207117</v>
      </c>
      <c r="H16" s="333">
        <v>0.5948918314818884</v>
      </c>
      <c r="I16" s="333">
        <v>0.5846387318098577</v>
      </c>
      <c r="J16" s="333">
        <v>0.58587241362733489</v>
      </c>
      <c r="K16" s="333">
        <v>0.58443394096654577</v>
      </c>
      <c r="L16" s="334">
        <f t="shared" si="3"/>
        <v>0.58980275550973138</v>
      </c>
      <c r="O16" s="36" t="str">
        <f t="shared" si="4"/>
        <v xml:space="preserve">Evergy, Inc. </v>
      </c>
      <c r="P16" s="36" t="str">
        <f t="shared" si="4"/>
        <v>EVRG</v>
      </c>
      <c r="Q16" s="333">
        <v>0.40252573031826255</v>
      </c>
      <c r="R16" s="333">
        <v>0.39908693287577846</v>
      </c>
      <c r="S16" s="333">
        <v>0.42280855694580588</v>
      </c>
      <c r="T16" s="333">
        <v>0.40699365366792889</v>
      </c>
      <c r="U16" s="333">
        <v>0.4051081685181116</v>
      </c>
      <c r="V16" s="333">
        <v>0.4153612681901423</v>
      </c>
      <c r="W16" s="333">
        <v>0.41412758637266517</v>
      </c>
      <c r="X16" s="333">
        <v>0.41556605903345423</v>
      </c>
      <c r="Y16" s="334">
        <f t="shared" si="5"/>
        <v>0.41019724449026862</v>
      </c>
      <c r="AB16" s="36" t="str">
        <f t="shared" si="6"/>
        <v xml:space="preserve">Evergy, Inc. </v>
      </c>
      <c r="AC16" s="36" t="str">
        <f t="shared" si="2"/>
        <v>EVRG</v>
      </c>
      <c r="AD16" s="333">
        <v>0</v>
      </c>
      <c r="AE16" s="333">
        <v>0</v>
      </c>
      <c r="AF16" s="333">
        <v>0</v>
      </c>
      <c r="AG16" s="333">
        <v>0</v>
      </c>
      <c r="AH16" s="333">
        <v>0</v>
      </c>
      <c r="AI16" s="333">
        <v>0</v>
      </c>
      <c r="AJ16" s="333">
        <v>0</v>
      </c>
      <c r="AK16" s="333">
        <v>0</v>
      </c>
      <c r="AL16" s="334">
        <f t="shared" si="7"/>
        <v>0</v>
      </c>
    </row>
    <row r="17" spans="2:38" s="335" customFormat="1">
      <c r="B17" s="332" t="s">
        <v>1280</v>
      </c>
      <c r="C17" s="154" t="s">
        <v>922</v>
      </c>
      <c r="D17" s="333">
        <v>0.5761601547225732</v>
      </c>
      <c r="E17" s="333">
        <v>0.57808641044037223</v>
      </c>
      <c r="F17" s="333">
        <v>0.5836516718678163</v>
      </c>
      <c r="G17" s="333">
        <v>0.58902065957295557</v>
      </c>
      <c r="H17" s="333">
        <v>0.5948044928832017</v>
      </c>
      <c r="I17" s="333">
        <v>0.59000911478763274</v>
      </c>
      <c r="J17" s="333">
        <v>0.57544294841572863</v>
      </c>
      <c r="K17" s="333">
        <v>0.56974070976484625</v>
      </c>
      <c r="L17" s="334">
        <f t="shared" si="3"/>
        <v>0.58211452030689081</v>
      </c>
      <c r="O17" s="36" t="str">
        <f t="shared" si="4"/>
        <v>FirstEnergy Corporation</v>
      </c>
      <c r="P17" s="36" t="str">
        <f t="shared" si="4"/>
        <v>FE</v>
      </c>
      <c r="Q17" s="333">
        <v>0.4238398452774268</v>
      </c>
      <c r="R17" s="333">
        <v>0.42191358955962782</v>
      </c>
      <c r="S17" s="333">
        <v>0.4163483281321837</v>
      </c>
      <c r="T17" s="333">
        <v>0.41097934042704437</v>
      </c>
      <c r="U17" s="333">
        <v>0.4051955071167983</v>
      </c>
      <c r="V17" s="333">
        <v>0.40999088521236732</v>
      </c>
      <c r="W17" s="333">
        <v>0.42455705158427143</v>
      </c>
      <c r="X17" s="333">
        <v>0.43025929023515369</v>
      </c>
      <c r="Y17" s="334">
        <f t="shared" si="5"/>
        <v>0.41788547969310919</v>
      </c>
      <c r="AB17" s="36" t="str">
        <f t="shared" si="6"/>
        <v>FirstEnergy Corporation</v>
      </c>
      <c r="AC17" s="36" t="str">
        <f t="shared" si="2"/>
        <v>FE</v>
      </c>
      <c r="AD17" s="333">
        <v>0</v>
      </c>
      <c r="AE17" s="333">
        <v>0</v>
      </c>
      <c r="AF17" s="333">
        <v>0</v>
      </c>
      <c r="AG17" s="333">
        <v>0</v>
      </c>
      <c r="AH17" s="333">
        <v>0</v>
      </c>
      <c r="AI17" s="333">
        <v>0</v>
      </c>
      <c r="AJ17" s="333">
        <v>0</v>
      </c>
      <c r="AK17" s="333">
        <v>0</v>
      </c>
      <c r="AL17" s="334">
        <f t="shared" si="7"/>
        <v>0</v>
      </c>
    </row>
    <row r="18" spans="2:38" s="335" customFormat="1">
      <c r="B18" s="332" t="s">
        <v>1282</v>
      </c>
      <c r="C18" s="154" t="s">
        <v>1283</v>
      </c>
      <c r="D18" s="333">
        <v>0.5520069976140537</v>
      </c>
      <c r="E18" s="333">
        <v>0.54580200064587625</v>
      </c>
      <c r="F18" s="333">
        <v>0.54360194294941067</v>
      </c>
      <c r="G18" s="333">
        <v>0.54248160653181332</v>
      </c>
      <c r="H18" s="333">
        <v>0.54252896407142559</v>
      </c>
      <c r="I18" s="333">
        <v>0.53436565022653959</v>
      </c>
      <c r="J18" s="333">
        <v>0.51372366457422092</v>
      </c>
      <c r="K18" s="333">
        <v>0.54218292459439121</v>
      </c>
      <c r="L18" s="334">
        <f t="shared" si="3"/>
        <v>0.53958671890096643</v>
      </c>
      <c r="O18" s="36" t="str">
        <f t="shared" si="4"/>
        <v>IDACORP, Inc.</v>
      </c>
      <c r="P18" s="36" t="str">
        <f t="shared" si="4"/>
        <v>IDA</v>
      </c>
      <c r="Q18" s="333">
        <v>0.4479930023859463</v>
      </c>
      <c r="R18" s="333">
        <v>0.45419799935412375</v>
      </c>
      <c r="S18" s="333">
        <v>0.45639805705058939</v>
      </c>
      <c r="T18" s="333">
        <v>0.45751839346818662</v>
      </c>
      <c r="U18" s="333">
        <v>0.45747103592857447</v>
      </c>
      <c r="V18" s="333">
        <v>0.46563434977346047</v>
      </c>
      <c r="W18" s="333">
        <v>0.48627633542577908</v>
      </c>
      <c r="X18" s="333">
        <v>0.45781707540560879</v>
      </c>
      <c r="Y18" s="334">
        <f t="shared" si="5"/>
        <v>0.46041328109903362</v>
      </c>
      <c r="AB18" s="36" t="str">
        <f t="shared" si="6"/>
        <v>IDACORP, Inc.</v>
      </c>
      <c r="AC18" s="36" t="str">
        <f t="shared" si="2"/>
        <v>IDA</v>
      </c>
      <c r="AD18" s="333">
        <v>0</v>
      </c>
      <c r="AE18" s="333">
        <v>0</v>
      </c>
      <c r="AF18" s="333">
        <v>0</v>
      </c>
      <c r="AG18" s="333">
        <v>0</v>
      </c>
      <c r="AH18" s="333">
        <v>0</v>
      </c>
      <c r="AI18" s="333">
        <v>0</v>
      </c>
      <c r="AJ18" s="333">
        <v>0</v>
      </c>
      <c r="AK18" s="333">
        <v>0</v>
      </c>
      <c r="AL18" s="334">
        <f t="shared" si="7"/>
        <v>0</v>
      </c>
    </row>
    <row r="19" spans="2:38" s="335" customFormat="1">
      <c r="B19" s="332" t="s">
        <v>1284</v>
      </c>
      <c r="C19" s="154" t="s">
        <v>438</v>
      </c>
      <c r="D19" s="333">
        <v>0.59148871269225956</v>
      </c>
      <c r="E19" s="333">
        <v>0.61286513452627922</v>
      </c>
      <c r="F19" s="333">
        <v>0.63510018831585147</v>
      </c>
      <c r="G19" s="333">
        <v>0.63952883641521741</v>
      </c>
      <c r="H19" s="333">
        <v>0.64006926055391367</v>
      </c>
      <c r="I19" s="333">
        <v>0.60337484107807826</v>
      </c>
      <c r="J19" s="333">
        <v>0.60626059812547628</v>
      </c>
      <c r="K19" s="333">
        <v>0.59414261843587568</v>
      </c>
      <c r="L19" s="334">
        <f t="shared" si="3"/>
        <v>0.61535377376786893</v>
      </c>
      <c r="O19" s="36" t="str">
        <f t="shared" si="4"/>
        <v>NextEra Energy, Inc.</v>
      </c>
      <c r="P19" s="36" t="str">
        <f t="shared" si="4"/>
        <v>NEE</v>
      </c>
      <c r="Q19" s="333">
        <v>0.40851128730774044</v>
      </c>
      <c r="R19" s="333">
        <v>0.38713486547372072</v>
      </c>
      <c r="S19" s="333">
        <v>0.36489981168414853</v>
      </c>
      <c r="T19" s="333">
        <v>0.36047116358478254</v>
      </c>
      <c r="U19" s="333">
        <v>0.35993073944608628</v>
      </c>
      <c r="V19" s="333">
        <v>0.39662515892192179</v>
      </c>
      <c r="W19" s="333">
        <v>0.39373940187452366</v>
      </c>
      <c r="X19" s="333">
        <v>0.40585738156412432</v>
      </c>
      <c r="Y19" s="334">
        <f t="shared" si="5"/>
        <v>0.38464622623213102</v>
      </c>
      <c r="AB19" s="36" t="str">
        <f t="shared" si="6"/>
        <v>NextEra Energy, Inc.</v>
      </c>
      <c r="AC19" s="36" t="str">
        <f t="shared" si="2"/>
        <v>NEE</v>
      </c>
      <c r="AD19" s="333">
        <v>0</v>
      </c>
      <c r="AE19" s="333">
        <v>0</v>
      </c>
      <c r="AF19" s="333">
        <v>0</v>
      </c>
      <c r="AG19" s="333">
        <v>0</v>
      </c>
      <c r="AH19" s="333">
        <v>0</v>
      </c>
      <c r="AI19" s="333">
        <v>0</v>
      </c>
      <c r="AJ19" s="333">
        <v>0</v>
      </c>
      <c r="AK19" s="333">
        <v>0</v>
      </c>
      <c r="AL19" s="334">
        <f t="shared" si="7"/>
        <v>0</v>
      </c>
    </row>
    <row r="20" spans="2:38" s="335" customFormat="1">
      <c r="B20" s="332" t="s">
        <v>1285</v>
      </c>
      <c r="C20" s="154" t="s">
        <v>1286</v>
      </c>
      <c r="D20" s="333">
        <v>0.47804603734509599</v>
      </c>
      <c r="E20" s="333">
        <v>0.480682810597372</v>
      </c>
      <c r="F20" s="333">
        <v>0.4874040706148054</v>
      </c>
      <c r="G20" s="333">
        <v>0.47877061427876338</v>
      </c>
      <c r="H20" s="333">
        <v>0.48361514731820016</v>
      </c>
      <c r="I20" s="333">
        <v>0.48406960775110908</v>
      </c>
      <c r="J20" s="333">
        <v>0.47476683110526496</v>
      </c>
      <c r="K20" s="333">
        <v>0.49892915148637434</v>
      </c>
      <c r="L20" s="334">
        <f t="shared" si="3"/>
        <v>0.48328553381212314</v>
      </c>
      <c r="O20" s="36" t="str">
        <f t="shared" si="4"/>
        <v>NorthWestern Corporation</v>
      </c>
      <c r="P20" s="36" t="str">
        <f t="shared" si="4"/>
        <v>NWE</v>
      </c>
      <c r="Q20" s="333">
        <v>0.52195396265490401</v>
      </c>
      <c r="R20" s="333">
        <v>0.51931718940262805</v>
      </c>
      <c r="S20" s="333">
        <v>0.5125959293851946</v>
      </c>
      <c r="T20" s="333">
        <v>0.52122938572123667</v>
      </c>
      <c r="U20" s="333">
        <v>0.5163848526817999</v>
      </c>
      <c r="V20" s="333">
        <v>0.51593039224889092</v>
      </c>
      <c r="W20" s="333">
        <v>0.52523316889473504</v>
      </c>
      <c r="X20" s="333">
        <v>0.5010708485136256</v>
      </c>
      <c r="Y20" s="334">
        <f t="shared" si="5"/>
        <v>0.51671446618787686</v>
      </c>
      <c r="AB20" s="36" t="str">
        <f t="shared" si="6"/>
        <v>NorthWestern Corporation</v>
      </c>
      <c r="AC20" s="36" t="str">
        <f t="shared" si="2"/>
        <v>NWE</v>
      </c>
      <c r="AD20" s="333">
        <v>0</v>
      </c>
      <c r="AE20" s="333">
        <v>0</v>
      </c>
      <c r="AF20" s="333">
        <v>0</v>
      </c>
      <c r="AG20" s="333">
        <v>0</v>
      </c>
      <c r="AH20" s="333">
        <v>0</v>
      </c>
      <c r="AI20" s="333">
        <v>0</v>
      </c>
      <c r="AJ20" s="333">
        <v>0</v>
      </c>
      <c r="AK20" s="333">
        <v>0</v>
      </c>
      <c r="AL20" s="334">
        <f t="shared" si="7"/>
        <v>0</v>
      </c>
    </row>
    <row r="21" spans="2:38" s="335" customFormat="1">
      <c r="B21" s="332" t="s">
        <v>1287</v>
      </c>
      <c r="C21" s="154" t="s">
        <v>1288</v>
      </c>
      <c r="D21" s="333">
        <v>0.54959090362170615</v>
      </c>
      <c r="E21" s="333">
        <v>0.53470727953189123</v>
      </c>
      <c r="F21" s="333">
        <v>0.55379103464927426</v>
      </c>
      <c r="G21" s="333">
        <v>0.53199720304995124</v>
      </c>
      <c r="H21" s="333">
        <v>0.53048487850486115</v>
      </c>
      <c r="I21" s="333">
        <v>0.54247083074805136</v>
      </c>
      <c r="J21" s="333">
        <v>0.53593435783718402</v>
      </c>
      <c r="K21" s="333">
        <v>0.53362908849677226</v>
      </c>
      <c r="L21" s="334">
        <f t="shared" si="3"/>
        <v>0.5390756970549615</v>
      </c>
      <c r="O21" s="36" t="str">
        <f t="shared" si="4"/>
        <v>OGE Energy Corporation</v>
      </c>
      <c r="P21" s="36" t="str">
        <f t="shared" si="4"/>
        <v>OGE</v>
      </c>
      <c r="Q21" s="333">
        <v>0.45040909637829385</v>
      </c>
      <c r="R21" s="333">
        <v>0.46529272046810877</v>
      </c>
      <c r="S21" s="333">
        <v>0.44620896535072574</v>
      </c>
      <c r="T21" s="333">
        <v>0.46800279695004882</v>
      </c>
      <c r="U21" s="333">
        <v>0.46951512149513885</v>
      </c>
      <c r="V21" s="333">
        <v>0.45752916925194864</v>
      </c>
      <c r="W21" s="333">
        <v>0.46406564216281598</v>
      </c>
      <c r="X21" s="333">
        <v>0.46637091150322768</v>
      </c>
      <c r="Y21" s="334">
        <f t="shared" si="5"/>
        <v>0.4609243029450385</v>
      </c>
      <c r="AB21" s="36" t="str">
        <f t="shared" si="6"/>
        <v>OGE Energy Corporation</v>
      </c>
      <c r="AC21" s="36" t="str">
        <f t="shared" si="2"/>
        <v>OGE</v>
      </c>
      <c r="AD21" s="333">
        <v>0</v>
      </c>
      <c r="AE21" s="333">
        <v>0</v>
      </c>
      <c r="AF21" s="333">
        <v>0</v>
      </c>
      <c r="AG21" s="333">
        <v>0</v>
      </c>
      <c r="AH21" s="333">
        <v>0</v>
      </c>
      <c r="AI21" s="333">
        <v>0</v>
      </c>
      <c r="AJ21" s="333">
        <v>0</v>
      </c>
      <c r="AK21" s="333">
        <v>0</v>
      </c>
      <c r="AL21" s="334">
        <f t="shared" si="7"/>
        <v>0</v>
      </c>
    </row>
    <row r="22" spans="2:38" s="335" customFormat="1">
      <c r="B22" s="332" t="s">
        <v>1289</v>
      </c>
      <c r="C22" s="154" t="s">
        <v>589</v>
      </c>
      <c r="D22" s="333">
        <v>0.54252082563367143</v>
      </c>
      <c r="E22" s="333">
        <v>0.54408309637487118</v>
      </c>
      <c r="F22" s="333">
        <v>0.54481715277237219</v>
      </c>
      <c r="G22" s="333">
        <v>0.54360204423307701</v>
      </c>
      <c r="H22" s="333">
        <v>0.53681865870605439</v>
      </c>
      <c r="I22" s="333">
        <v>0.53708218374079175</v>
      </c>
      <c r="J22" s="333">
        <v>0.53180454473086247</v>
      </c>
      <c r="K22" s="333">
        <v>0.53138444251440253</v>
      </c>
      <c r="L22" s="334">
        <f t="shared" si="3"/>
        <v>0.53901411858826287</v>
      </c>
      <c r="O22" s="36" t="str">
        <f t="shared" si="4"/>
        <v>Pinnacle West Capital Corporation</v>
      </c>
      <c r="P22" s="36" t="str">
        <f t="shared" si="4"/>
        <v>PNW</v>
      </c>
      <c r="Q22" s="333">
        <v>0.45747917436632857</v>
      </c>
      <c r="R22" s="333">
        <v>0.45591690362512882</v>
      </c>
      <c r="S22" s="333">
        <v>0.45518284722762775</v>
      </c>
      <c r="T22" s="333">
        <v>0.45639795576692299</v>
      </c>
      <c r="U22" s="333">
        <v>0.46318134129394556</v>
      </c>
      <c r="V22" s="333">
        <v>0.46291781625920825</v>
      </c>
      <c r="W22" s="333">
        <v>0.46819545526913753</v>
      </c>
      <c r="X22" s="333">
        <v>0.46861555748559747</v>
      </c>
      <c r="Y22" s="334">
        <f t="shared" si="5"/>
        <v>0.46098588141173713</v>
      </c>
      <c r="AB22" s="36" t="str">
        <f t="shared" si="6"/>
        <v>Pinnacle West Capital Corporation</v>
      </c>
      <c r="AC22" s="36" t="str">
        <f t="shared" si="2"/>
        <v>PNW</v>
      </c>
      <c r="AD22" s="333">
        <v>0</v>
      </c>
      <c r="AE22" s="333">
        <v>0</v>
      </c>
      <c r="AF22" s="333">
        <v>0</v>
      </c>
      <c r="AG22" s="333">
        <v>0</v>
      </c>
      <c r="AH22" s="333">
        <v>0</v>
      </c>
      <c r="AI22" s="333">
        <v>0</v>
      </c>
      <c r="AJ22" s="333">
        <v>0</v>
      </c>
      <c r="AK22" s="333">
        <v>0</v>
      </c>
      <c r="AL22" s="334">
        <f t="shared" si="7"/>
        <v>0</v>
      </c>
    </row>
    <row r="23" spans="2:38" s="335" customFormat="1">
      <c r="B23" s="332" t="s">
        <v>1290</v>
      </c>
      <c r="C23" s="154" t="s">
        <v>1291</v>
      </c>
      <c r="D23" s="333">
        <v>0.46312612968256645</v>
      </c>
      <c r="E23" s="333">
        <v>0.46028959359801086</v>
      </c>
      <c r="F23" s="333">
        <v>0.43883114971554255</v>
      </c>
      <c r="G23" s="333">
        <v>0.47909211155345316</v>
      </c>
      <c r="H23" s="333">
        <v>0.49434154518265094</v>
      </c>
      <c r="I23" s="333">
        <v>0.48723390132965211</v>
      </c>
      <c r="J23" s="333">
        <v>0.49000525000644135</v>
      </c>
      <c r="K23" s="333">
        <v>0.48803777337918397</v>
      </c>
      <c r="L23" s="334">
        <f t="shared" si="3"/>
        <v>0.47511968180593772</v>
      </c>
      <c r="O23" s="36" t="str">
        <f t="shared" si="4"/>
        <v>PNM Resources, Inc.</v>
      </c>
      <c r="P23" s="36" t="str">
        <f t="shared" si="4"/>
        <v>PNM</v>
      </c>
      <c r="Q23" s="333">
        <v>0.53434399578858949</v>
      </c>
      <c r="R23" s="333">
        <v>0.53708144799991431</v>
      </c>
      <c r="S23" s="333">
        <v>0.55862086646036446</v>
      </c>
      <c r="T23" s="333">
        <v>0.51824142407561291</v>
      </c>
      <c r="U23" s="333">
        <v>0.50305254583000314</v>
      </c>
      <c r="V23" s="333">
        <v>0.51009976380190813</v>
      </c>
      <c r="W23" s="333">
        <v>0.50726952152609017</v>
      </c>
      <c r="X23" s="333">
        <v>0.50922632869266127</v>
      </c>
      <c r="Y23" s="334">
        <f t="shared" si="5"/>
        <v>0.52224198677189304</v>
      </c>
      <c r="AB23" s="36" t="str">
        <f t="shared" si="6"/>
        <v>PNM Resources, Inc.</v>
      </c>
      <c r="AC23" s="36" t="str">
        <f t="shared" si="2"/>
        <v>PNM</v>
      </c>
      <c r="AD23" s="333">
        <v>2.5298745288440585E-3</v>
      </c>
      <c r="AE23" s="333">
        <v>2.628958402074891E-3</v>
      </c>
      <c r="AF23" s="333">
        <v>2.5479838240929785E-3</v>
      </c>
      <c r="AG23" s="333">
        <v>2.6664643709338963E-3</v>
      </c>
      <c r="AH23" s="333">
        <v>2.6059089873458922E-3</v>
      </c>
      <c r="AI23" s="333">
        <v>2.6663348684397674E-3</v>
      </c>
      <c r="AJ23" s="333">
        <v>2.7252284674685158E-3</v>
      </c>
      <c r="AK23" s="333">
        <v>2.7358979281547368E-3</v>
      </c>
      <c r="AL23" s="334">
        <f t="shared" si="7"/>
        <v>2.6383314221693423E-3</v>
      </c>
    </row>
    <row r="24" spans="2:38" s="335" customFormat="1">
      <c r="B24" s="332" t="s">
        <v>1292</v>
      </c>
      <c r="C24" s="154" t="s">
        <v>1293</v>
      </c>
      <c r="D24" s="333">
        <v>0.51781203349664506</v>
      </c>
      <c r="E24" s="333">
        <v>0.51563988369679603</v>
      </c>
      <c r="F24" s="333">
        <v>0.50604896764417928</v>
      </c>
      <c r="G24" s="333">
        <v>0.5019083572028169</v>
      </c>
      <c r="H24" s="333">
        <v>0.50510644608824085</v>
      </c>
      <c r="I24" s="333">
        <v>0.50293459574446375</v>
      </c>
      <c r="J24" s="333">
        <v>0.5013507435998581</v>
      </c>
      <c r="K24" s="333">
        <v>0.49796728698453629</v>
      </c>
      <c r="L24" s="334">
        <f t="shared" si="3"/>
        <v>0.50609603930719205</v>
      </c>
      <c r="O24" s="36" t="str">
        <f t="shared" si="4"/>
        <v>Portland General Electric Company</v>
      </c>
      <c r="P24" s="36" t="str">
        <f t="shared" si="4"/>
        <v>POR</v>
      </c>
      <c r="Q24" s="333">
        <v>0.48218796650335494</v>
      </c>
      <c r="R24" s="333">
        <v>0.48436011630320391</v>
      </c>
      <c r="S24" s="333">
        <v>0.49395103235582072</v>
      </c>
      <c r="T24" s="333">
        <v>0.4980916427971831</v>
      </c>
      <c r="U24" s="333">
        <v>0.49489355391175915</v>
      </c>
      <c r="V24" s="333">
        <v>0.49706540425553625</v>
      </c>
      <c r="W24" s="333">
        <v>0.4986492564001419</v>
      </c>
      <c r="X24" s="333">
        <v>0.50203271301546371</v>
      </c>
      <c r="Y24" s="334">
        <f t="shared" si="5"/>
        <v>0.49390396069280801</v>
      </c>
      <c r="AB24" s="36" t="str">
        <f t="shared" si="6"/>
        <v>Portland General Electric Company</v>
      </c>
      <c r="AC24" s="36" t="str">
        <f t="shared" si="2"/>
        <v>POR</v>
      </c>
      <c r="AD24" s="333">
        <v>0</v>
      </c>
      <c r="AE24" s="333">
        <v>0</v>
      </c>
      <c r="AF24" s="333">
        <v>0</v>
      </c>
      <c r="AG24" s="333">
        <v>0</v>
      </c>
      <c r="AH24" s="333">
        <v>0</v>
      </c>
      <c r="AI24" s="333">
        <v>0</v>
      </c>
      <c r="AJ24" s="333">
        <v>0</v>
      </c>
      <c r="AK24" s="333">
        <v>0</v>
      </c>
      <c r="AL24" s="334">
        <f t="shared" si="7"/>
        <v>0</v>
      </c>
    </row>
    <row r="25" spans="2:38" s="335" customFormat="1">
      <c r="B25" s="332" t="s">
        <v>1294</v>
      </c>
      <c r="C25" s="154" t="s">
        <v>581</v>
      </c>
      <c r="D25" s="333">
        <v>0.53929154240349475</v>
      </c>
      <c r="E25" s="333">
        <v>0.53837267963893332</v>
      </c>
      <c r="F25" s="333">
        <v>0.55184306478169465</v>
      </c>
      <c r="G25" s="333">
        <v>0.54917551066953529</v>
      </c>
      <c r="H25" s="333">
        <v>0.54847222136213503</v>
      </c>
      <c r="I25" s="333">
        <v>0.5451039028740301</v>
      </c>
      <c r="J25" s="333">
        <v>0.5459975101481932</v>
      </c>
      <c r="K25" s="333">
        <v>0.54595862821187169</v>
      </c>
      <c r="L25" s="334">
        <f t="shared" si="3"/>
        <v>0.54552688251123604</v>
      </c>
      <c r="O25" s="36" t="str">
        <f t="shared" si="4"/>
        <v>PPL Corporation</v>
      </c>
      <c r="P25" s="36" t="str">
        <f t="shared" si="4"/>
        <v>PPL</v>
      </c>
      <c r="Q25" s="333">
        <v>0.46070845759650525</v>
      </c>
      <c r="R25" s="333">
        <v>0.46162732036106663</v>
      </c>
      <c r="S25" s="333">
        <v>0.4481569352183053</v>
      </c>
      <c r="T25" s="333">
        <v>0.45082448933046471</v>
      </c>
      <c r="U25" s="333">
        <v>0.45152777863786497</v>
      </c>
      <c r="V25" s="333">
        <v>0.4548960971259699</v>
      </c>
      <c r="W25" s="333">
        <v>0.4540024898518068</v>
      </c>
      <c r="X25" s="333">
        <v>0.45404137178812831</v>
      </c>
      <c r="Y25" s="334">
        <f t="shared" si="5"/>
        <v>0.45447311748876401</v>
      </c>
      <c r="AB25" s="36" t="str">
        <f t="shared" si="6"/>
        <v>PPL Corporation</v>
      </c>
      <c r="AC25" s="36" t="str">
        <f t="shared" si="2"/>
        <v>PPL</v>
      </c>
      <c r="AD25" s="333">
        <v>0</v>
      </c>
      <c r="AE25" s="333">
        <v>0</v>
      </c>
      <c r="AF25" s="333">
        <v>0</v>
      </c>
      <c r="AG25" s="333">
        <v>0</v>
      </c>
      <c r="AH25" s="333">
        <v>0</v>
      </c>
      <c r="AI25" s="333">
        <v>0</v>
      </c>
      <c r="AJ25" s="333">
        <v>0</v>
      </c>
      <c r="AK25" s="333">
        <v>0</v>
      </c>
      <c r="AL25" s="334">
        <f t="shared" si="7"/>
        <v>0</v>
      </c>
    </row>
    <row r="26" spans="2:38" s="335" customFormat="1">
      <c r="B26" s="332" t="s">
        <v>1295</v>
      </c>
      <c r="C26" s="154" t="s">
        <v>617</v>
      </c>
      <c r="D26" s="333">
        <v>0.53238009370205164</v>
      </c>
      <c r="E26" s="333">
        <v>0.54145236174136258</v>
      </c>
      <c r="F26" s="333">
        <v>0.54045335223496871</v>
      </c>
      <c r="G26" s="333">
        <v>0.53920783430227837</v>
      </c>
      <c r="H26" s="333">
        <v>0.52638489889239115</v>
      </c>
      <c r="I26" s="333">
        <v>0.50949241602502637</v>
      </c>
      <c r="J26" s="333">
        <v>0.50903454501316647</v>
      </c>
      <c r="K26" s="333">
        <v>0.47761630153428791</v>
      </c>
      <c r="L26" s="334">
        <f t="shared" si="3"/>
        <v>0.52200272543069159</v>
      </c>
      <c r="O26" s="36" t="str">
        <f t="shared" si="4"/>
        <v>Southern Company</v>
      </c>
      <c r="P26" s="36" t="str">
        <f t="shared" si="4"/>
        <v>SO</v>
      </c>
      <c r="Q26" s="333">
        <v>0.46140430149301787</v>
      </c>
      <c r="R26" s="333">
        <v>0.45204041794135602</v>
      </c>
      <c r="S26" s="333">
        <v>0.45300834510894583</v>
      </c>
      <c r="T26" s="333">
        <v>0.45393742307877782</v>
      </c>
      <c r="U26" s="333">
        <v>0.46599905445243334</v>
      </c>
      <c r="V26" s="333">
        <v>0.48266330885842762</v>
      </c>
      <c r="W26" s="333">
        <v>0.48334264724977105</v>
      </c>
      <c r="X26" s="333">
        <v>0.51452450240623204</v>
      </c>
      <c r="Y26" s="334">
        <f t="shared" si="5"/>
        <v>0.4708650000736202</v>
      </c>
      <c r="AB26" s="36" t="str">
        <f t="shared" si="6"/>
        <v>Southern Company</v>
      </c>
      <c r="AC26" s="36" t="str">
        <f t="shared" si="2"/>
        <v>SO</v>
      </c>
      <c r="AD26" s="333">
        <v>6.2156048049304326E-3</v>
      </c>
      <c r="AE26" s="333">
        <v>6.5072203172814522E-3</v>
      </c>
      <c r="AF26" s="333">
        <v>6.5383026560854604E-3</v>
      </c>
      <c r="AG26" s="333">
        <v>6.8547426189438229E-3</v>
      </c>
      <c r="AH26" s="333">
        <v>7.6160466551755384E-3</v>
      </c>
      <c r="AI26" s="333">
        <v>7.8442751165460328E-3</v>
      </c>
      <c r="AJ26" s="333">
        <v>7.6228077370624377E-3</v>
      </c>
      <c r="AK26" s="333">
        <v>7.8591960594799875E-3</v>
      </c>
      <c r="AL26" s="334">
        <f t="shared" si="7"/>
        <v>7.132274495688146E-3</v>
      </c>
    </row>
    <row r="27" spans="2:38" s="335" customFormat="1">
      <c r="B27" s="332" t="s">
        <v>1296</v>
      </c>
      <c r="C27" s="154" t="s">
        <v>733</v>
      </c>
      <c r="D27" s="336">
        <v>0.54131689793176807</v>
      </c>
      <c r="E27" s="336">
        <v>0.55253722800506833</v>
      </c>
      <c r="F27" s="336">
        <v>0.5492288895005647</v>
      </c>
      <c r="G27" s="336">
        <v>0.54476907486393122</v>
      </c>
      <c r="H27" s="336">
        <v>0.54292528031135501</v>
      </c>
      <c r="I27" s="336">
        <v>0.53512375370567378</v>
      </c>
      <c r="J27" s="336">
        <v>0.54401769536168654</v>
      </c>
      <c r="K27" s="336">
        <v>0.54228196494996639</v>
      </c>
      <c r="L27" s="337">
        <f>AVERAGE(D27:K27)</f>
        <v>0.54402509807875177</v>
      </c>
      <c r="O27" s="235" t="str">
        <f t="shared" si="4"/>
        <v>Xcel Energy Inc.</v>
      </c>
      <c r="P27" s="235" t="str">
        <f t="shared" si="4"/>
        <v>XEL</v>
      </c>
      <c r="Q27" s="336">
        <v>0.45868310206823193</v>
      </c>
      <c r="R27" s="336">
        <v>0.44746277199493162</v>
      </c>
      <c r="S27" s="336">
        <v>0.4507711104994353</v>
      </c>
      <c r="T27" s="336">
        <v>0.45523092513606872</v>
      </c>
      <c r="U27" s="336">
        <v>0.45707471968864505</v>
      </c>
      <c r="V27" s="336">
        <v>0.46487624629432628</v>
      </c>
      <c r="W27" s="336">
        <v>0.45598230463831341</v>
      </c>
      <c r="X27" s="336">
        <v>0.45771803505003361</v>
      </c>
      <c r="Y27" s="337">
        <f t="shared" si="5"/>
        <v>0.45597490192124823</v>
      </c>
      <c r="AB27" s="235" t="str">
        <f t="shared" si="6"/>
        <v>Xcel Energy Inc.</v>
      </c>
      <c r="AC27" s="235" t="str">
        <f t="shared" si="2"/>
        <v>XEL</v>
      </c>
      <c r="AD27" s="336">
        <v>0</v>
      </c>
      <c r="AE27" s="336">
        <v>0</v>
      </c>
      <c r="AF27" s="336">
        <v>0</v>
      </c>
      <c r="AG27" s="336">
        <v>0</v>
      </c>
      <c r="AH27" s="336">
        <v>0</v>
      </c>
      <c r="AI27" s="336">
        <v>0</v>
      </c>
      <c r="AJ27" s="336">
        <v>0</v>
      </c>
      <c r="AK27" s="336">
        <v>0</v>
      </c>
      <c r="AL27" s="337">
        <f t="shared" si="7"/>
        <v>0</v>
      </c>
    </row>
    <row r="28" spans="2:38">
      <c r="B28" s="236" t="s">
        <v>2</v>
      </c>
      <c r="C28" s="237"/>
      <c r="D28" s="334">
        <f>AVERAGE(D5:D27)</f>
        <v>0.53045594311478872</v>
      </c>
      <c r="E28" s="334">
        <f t="shared" ref="E28:K28" si="8">AVERAGE(E5:E27)</f>
        <v>0.53041915899128378</v>
      </c>
      <c r="F28" s="334">
        <f t="shared" si="8"/>
        <v>0.5303829178761218</v>
      </c>
      <c r="G28" s="334">
        <f t="shared" si="8"/>
        <v>0.53099953855754123</v>
      </c>
      <c r="H28" s="334">
        <f t="shared" si="8"/>
        <v>0.53105987520466125</v>
      </c>
      <c r="I28" s="334">
        <f t="shared" si="8"/>
        <v>0.52571364060630477</v>
      </c>
      <c r="J28" s="334">
        <f t="shared" si="8"/>
        <v>0.52315828736146364</v>
      </c>
      <c r="K28" s="334">
        <f t="shared" si="8"/>
        <v>0.52316217208368554</v>
      </c>
      <c r="L28" s="334">
        <f>AVERAGE(L5:L27)</f>
        <v>0.52816894172448126</v>
      </c>
      <c r="O28" s="36" t="s">
        <v>2</v>
      </c>
      <c r="Q28" s="334">
        <f t="shared" ref="Q28:Y28" si="9">AVERAGE(Q5:Q27)</f>
        <v>0.46781762226632745</v>
      </c>
      <c r="R28" s="334">
        <f t="shared" si="9"/>
        <v>0.4678618521552329</v>
      </c>
      <c r="S28" s="334">
        <f t="shared" si="9"/>
        <v>0.46785384714512501</v>
      </c>
      <c r="T28" s="334">
        <f t="shared" si="9"/>
        <v>0.46718755080154373</v>
      </c>
      <c r="U28" s="334">
        <f t="shared" si="9"/>
        <v>0.46699696842374572</v>
      </c>
      <c r="V28" s="334">
        <f t="shared" si="9"/>
        <v>0.47227731622049124</v>
      </c>
      <c r="W28" s="334">
        <f t="shared" si="9"/>
        <v>0.47477207824560058</v>
      </c>
      <c r="X28" s="334">
        <f t="shared" si="9"/>
        <v>0.47474111585882101</v>
      </c>
      <c r="Y28" s="334">
        <f t="shared" si="9"/>
        <v>0.46993854388961109</v>
      </c>
      <c r="AB28" s="36" t="s">
        <v>2</v>
      </c>
      <c r="AC28" s="37"/>
      <c r="AD28" s="334">
        <f t="shared" ref="AD28:AL28" si="10">AVERAGE(AD5:AD27)</f>
        <v>1.7264346188837956E-3</v>
      </c>
      <c r="AE28" s="334">
        <f t="shared" si="10"/>
        <v>1.7189888534834229E-3</v>
      </c>
      <c r="AF28" s="334">
        <f t="shared" si="10"/>
        <v>1.7632349787533434E-3</v>
      </c>
      <c r="AG28" s="334">
        <f t="shared" si="10"/>
        <v>1.8129106409149858E-3</v>
      </c>
      <c r="AH28" s="334">
        <f t="shared" si="10"/>
        <v>1.9431563715930982E-3</v>
      </c>
      <c r="AI28" s="334">
        <f t="shared" si="10"/>
        <v>2.0090431732038934E-3</v>
      </c>
      <c r="AJ28" s="334">
        <f t="shared" si="10"/>
        <v>2.0696343929358391E-3</v>
      </c>
      <c r="AK28" s="334">
        <f t="shared" si="10"/>
        <v>2.0967120574934086E-3</v>
      </c>
      <c r="AL28" s="334">
        <f t="shared" si="10"/>
        <v>1.8925143859077232E-3</v>
      </c>
    </row>
    <row r="29" spans="2:38">
      <c r="B29" s="36" t="s">
        <v>197</v>
      </c>
      <c r="C29" s="37"/>
      <c r="D29" s="334">
        <f t="shared" ref="D29:L29" si="11">MIN(D5:D27)</f>
        <v>0.44237431547723649</v>
      </c>
      <c r="E29" s="334">
        <f t="shared" si="11"/>
        <v>0.42772574564807092</v>
      </c>
      <c r="F29" s="334">
        <f t="shared" si="11"/>
        <v>0.41946791978505193</v>
      </c>
      <c r="G29" s="334">
        <f t="shared" si="11"/>
        <v>0.40585208494110531</v>
      </c>
      <c r="H29" s="334">
        <f t="shared" si="11"/>
        <v>0.38574765411736206</v>
      </c>
      <c r="I29" s="334">
        <f t="shared" si="11"/>
        <v>0.37514421593784492</v>
      </c>
      <c r="J29" s="334">
        <f t="shared" si="11"/>
        <v>0.36721345422283153</v>
      </c>
      <c r="K29" s="334">
        <f t="shared" si="11"/>
        <v>0.37472802439402247</v>
      </c>
      <c r="L29" s="334">
        <f t="shared" si="11"/>
        <v>0.39978167681544069</v>
      </c>
      <c r="O29" s="36" t="s">
        <v>197</v>
      </c>
      <c r="Q29" s="334">
        <f t="shared" ref="Q29:Y29" si="12">MIN(Q5:Q27)</f>
        <v>0.38722268402112686</v>
      </c>
      <c r="R29" s="334">
        <f t="shared" si="12"/>
        <v>0.38713486547372072</v>
      </c>
      <c r="S29" s="334">
        <f t="shared" si="12"/>
        <v>0.36489981168414853</v>
      </c>
      <c r="T29" s="334">
        <f t="shared" si="12"/>
        <v>0.36047116358478254</v>
      </c>
      <c r="U29" s="334">
        <f t="shared" si="12"/>
        <v>0.35993073944608628</v>
      </c>
      <c r="V29" s="334">
        <f t="shared" si="12"/>
        <v>0.38221819052812361</v>
      </c>
      <c r="W29" s="334">
        <f t="shared" si="12"/>
        <v>0.38472981707379633</v>
      </c>
      <c r="X29" s="334">
        <f t="shared" si="12"/>
        <v>0.39232097086362921</v>
      </c>
      <c r="Y29" s="334">
        <f t="shared" si="12"/>
        <v>0.38464622623213102</v>
      </c>
      <c r="AB29" s="36" t="s">
        <v>197</v>
      </c>
      <c r="AC29" s="37"/>
      <c r="AD29" s="334">
        <f t="shared" ref="AD29:AL29" si="13">MIN(AD5:AD27)</f>
        <v>0</v>
      </c>
      <c r="AE29" s="334">
        <f t="shared" si="13"/>
        <v>0</v>
      </c>
      <c r="AF29" s="334">
        <f t="shared" si="13"/>
        <v>0</v>
      </c>
      <c r="AG29" s="334">
        <f t="shared" si="13"/>
        <v>0</v>
      </c>
      <c r="AH29" s="334">
        <f t="shared" si="13"/>
        <v>0</v>
      </c>
      <c r="AI29" s="334">
        <f t="shared" si="13"/>
        <v>0</v>
      </c>
      <c r="AJ29" s="334">
        <f t="shared" si="13"/>
        <v>0</v>
      </c>
      <c r="AK29" s="334">
        <f t="shared" si="13"/>
        <v>0</v>
      </c>
      <c r="AL29" s="334">
        <f t="shared" si="13"/>
        <v>0</v>
      </c>
    </row>
    <row r="30" spans="2:38">
      <c r="B30" s="36" t="s">
        <v>198</v>
      </c>
      <c r="C30" s="37"/>
      <c r="D30" s="334">
        <f t="shared" ref="D30:L30" si="14">MAX(D5:D27)</f>
        <v>0.61277731597887308</v>
      </c>
      <c r="E30" s="334">
        <f t="shared" si="14"/>
        <v>0.61286513452627922</v>
      </c>
      <c r="F30" s="334">
        <f t="shared" si="14"/>
        <v>0.63510018831585147</v>
      </c>
      <c r="G30" s="334">
        <f t="shared" si="14"/>
        <v>0.63952883641521741</v>
      </c>
      <c r="H30" s="334">
        <f t="shared" si="14"/>
        <v>0.64006926055391367</v>
      </c>
      <c r="I30" s="334">
        <f t="shared" si="14"/>
        <v>0.61778180947187633</v>
      </c>
      <c r="J30" s="334">
        <f t="shared" si="14"/>
        <v>0.61527018292620372</v>
      </c>
      <c r="K30" s="334">
        <f t="shared" si="14"/>
        <v>0.60767902913637073</v>
      </c>
      <c r="L30" s="334">
        <f t="shared" si="14"/>
        <v>0.61535377376786893</v>
      </c>
      <c r="O30" s="36" t="s">
        <v>198</v>
      </c>
      <c r="Q30" s="334">
        <f t="shared" ref="Q30:Y30" si="15">MAX(Q5:Q27)</f>
        <v>0.55762568452276351</v>
      </c>
      <c r="R30" s="334">
        <f t="shared" si="15"/>
        <v>0.57227425435192913</v>
      </c>
      <c r="S30" s="334">
        <f t="shared" si="15"/>
        <v>0.58053208021494807</v>
      </c>
      <c r="T30" s="334">
        <f t="shared" si="15"/>
        <v>0.59414791505889464</v>
      </c>
      <c r="U30" s="334">
        <f t="shared" si="15"/>
        <v>0.614252345882638</v>
      </c>
      <c r="V30" s="334">
        <f t="shared" si="15"/>
        <v>0.62485578406215503</v>
      </c>
      <c r="W30" s="334">
        <f t="shared" si="15"/>
        <v>0.63278654577716842</v>
      </c>
      <c r="X30" s="334">
        <f t="shared" si="15"/>
        <v>0.62527197560597747</v>
      </c>
      <c r="Y30" s="334">
        <f t="shared" si="15"/>
        <v>0.60021832318455925</v>
      </c>
      <c r="AB30" s="36" t="s">
        <v>198</v>
      </c>
      <c r="AC30" s="37"/>
      <c r="AD30" s="334">
        <f t="shared" ref="AD30:AL30" si="16">MAX(AD5:AD27)</f>
        <v>1.8060685166407089E-2</v>
      </c>
      <c r="AE30" s="334">
        <f t="shared" si="16"/>
        <v>1.8536603721612466E-2</v>
      </c>
      <c r="AF30" s="334">
        <f t="shared" si="16"/>
        <v>1.9503179895966137E-2</v>
      </c>
      <c r="AG30" s="334">
        <f t="shared" si="16"/>
        <v>2.0003098479954545E-2</v>
      </c>
      <c r="AH30" s="334">
        <f t="shared" si="16"/>
        <v>1.9897333737381857E-2</v>
      </c>
      <c r="AI30" s="334">
        <f t="shared" si="16"/>
        <v>2.1054191805371682E-2</v>
      </c>
      <c r="AJ30" s="334">
        <f t="shared" si="16"/>
        <v>2.1925932227601263E-2</v>
      </c>
      <c r="AK30" s="334">
        <f t="shared" si="16"/>
        <v>2.2065656581815758E-2</v>
      </c>
      <c r="AL30" s="334">
        <f t="shared" si="16"/>
        <v>2.013083520201385E-2</v>
      </c>
    </row>
    <row r="31" spans="2:38">
      <c r="B31" s="36"/>
      <c r="C31" s="37"/>
      <c r="AB31" s="36"/>
      <c r="AC31" s="37"/>
      <c r="AD31" s="329"/>
      <c r="AE31" s="329"/>
      <c r="AF31" s="329"/>
      <c r="AG31" s="329"/>
      <c r="AH31" s="329"/>
      <c r="AI31" s="329"/>
      <c r="AJ31" s="329"/>
      <c r="AK31" s="329"/>
      <c r="AL31" s="329"/>
    </row>
    <row r="32" spans="2:38">
      <c r="B32" s="408" t="s">
        <v>199</v>
      </c>
      <c r="C32" s="408"/>
      <c r="D32" s="408"/>
      <c r="E32" s="408"/>
      <c r="F32" s="408"/>
      <c r="G32" s="408"/>
      <c r="H32" s="408"/>
      <c r="I32" s="408"/>
      <c r="J32" s="408"/>
      <c r="K32" s="408"/>
      <c r="L32" s="408"/>
      <c r="O32" s="408" t="s">
        <v>200</v>
      </c>
      <c r="P32" s="408"/>
      <c r="Q32" s="408"/>
      <c r="R32" s="408"/>
      <c r="S32" s="408"/>
      <c r="T32" s="408"/>
      <c r="U32" s="408"/>
      <c r="V32" s="408"/>
      <c r="W32" s="408"/>
      <c r="X32" s="408"/>
      <c r="Y32" s="408"/>
      <c r="AB32" s="408" t="s">
        <v>201</v>
      </c>
      <c r="AC32" s="408"/>
      <c r="AD32" s="408"/>
      <c r="AE32" s="408"/>
      <c r="AF32" s="408"/>
      <c r="AG32" s="408"/>
      <c r="AH32" s="408"/>
      <c r="AI32" s="408"/>
      <c r="AJ32" s="408"/>
      <c r="AK32" s="408"/>
      <c r="AL32" s="408"/>
    </row>
    <row r="33" spans="2:38">
      <c r="B33" s="330" t="s">
        <v>202</v>
      </c>
      <c r="C33" s="331" t="s">
        <v>1</v>
      </c>
      <c r="D33" s="35" t="s">
        <v>1549</v>
      </c>
      <c r="E33" s="35" t="s">
        <v>1550</v>
      </c>
      <c r="F33" s="35" t="s">
        <v>1551</v>
      </c>
      <c r="G33" s="35" t="s">
        <v>1552</v>
      </c>
      <c r="H33" s="35" t="s">
        <v>1553</v>
      </c>
      <c r="I33" s="35" t="s">
        <v>1554</v>
      </c>
      <c r="J33" s="35" t="s">
        <v>1555</v>
      </c>
      <c r="K33" s="35" t="s">
        <v>1556</v>
      </c>
      <c r="L33" s="331" t="s">
        <v>1216</v>
      </c>
      <c r="O33" s="330" t="s">
        <v>202</v>
      </c>
      <c r="P33" s="331" t="s">
        <v>1</v>
      </c>
      <c r="Q33" s="35" t="str">
        <f>D33</f>
        <v>2019Q3</v>
      </c>
      <c r="R33" s="35" t="str">
        <f t="shared" ref="R33:X33" si="17">E33</f>
        <v>2019Q2</v>
      </c>
      <c r="S33" s="35" t="str">
        <f t="shared" si="17"/>
        <v>2019Q1</v>
      </c>
      <c r="T33" s="35" t="str">
        <f t="shared" si="17"/>
        <v>2018Q4</v>
      </c>
      <c r="U33" s="35" t="str">
        <f t="shared" si="17"/>
        <v>2018Q3</v>
      </c>
      <c r="V33" s="35" t="str">
        <f t="shared" si="17"/>
        <v>2018Q2</v>
      </c>
      <c r="W33" s="35" t="str">
        <f t="shared" si="17"/>
        <v>2018Q1</v>
      </c>
      <c r="X33" s="35" t="str">
        <f t="shared" si="17"/>
        <v>2017Q4</v>
      </c>
      <c r="Y33" s="331" t="s">
        <v>1216</v>
      </c>
      <c r="AB33" s="330" t="s">
        <v>202</v>
      </c>
      <c r="AC33" s="331" t="s">
        <v>1</v>
      </c>
      <c r="AD33" s="35" t="str">
        <f>Q33</f>
        <v>2019Q3</v>
      </c>
      <c r="AE33" s="35" t="str">
        <f t="shared" ref="AE33:AK33" si="18">R33</f>
        <v>2019Q2</v>
      </c>
      <c r="AF33" s="35" t="str">
        <f t="shared" si="18"/>
        <v>2019Q1</v>
      </c>
      <c r="AG33" s="35" t="str">
        <f t="shared" si="18"/>
        <v>2018Q4</v>
      </c>
      <c r="AH33" s="35" t="str">
        <f t="shared" si="18"/>
        <v>2018Q3</v>
      </c>
      <c r="AI33" s="35" t="str">
        <f t="shared" si="18"/>
        <v>2018Q2</v>
      </c>
      <c r="AJ33" s="35" t="str">
        <f t="shared" si="18"/>
        <v>2018Q1</v>
      </c>
      <c r="AK33" s="35" t="str">
        <f t="shared" si="18"/>
        <v>2017Q4</v>
      </c>
      <c r="AL33" s="331" t="s">
        <v>1216</v>
      </c>
    </row>
    <row r="34" spans="2:38">
      <c r="B34" s="338" t="s">
        <v>1385</v>
      </c>
      <c r="C34" s="329" t="s">
        <v>1268</v>
      </c>
      <c r="D34" s="339">
        <v>0.59332524813099108</v>
      </c>
      <c r="E34" s="339">
        <v>0.60936209668440133</v>
      </c>
      <c r="F34" s="339">
        <v>0.60865107317884493</v>
      </c>
      <c r="G34" s="339">
        <v>0.61387790540444365</v>
      </c>
      <c r="H34" s="339">
        <v>0.60426864628900723</v>
      </c>
      <c r="I34" s="339">
        <v>0.60333515715206276</v>
      </c>
      <c r="J34" s="339">
        <v>0.60378432811128857</v>
      </c>
      <c r="K34" s="339">
        <v>0.60037747235689565</v>
      </c>
      <c r="L34" s="334">
        <f>AVERAGE(D34:K34)</f>
        <v>0.604622740913492</v>
      </c>
      <c r="O34" s="338" t="str">
        <f>B34</f>
        <v>ALLETE (Minnesota Power)</v>
      </c>
      <c r="P34" s="338" t="str">
        <f>C34</f>
        <v>ALE</v>
      </c>
      <c r="Q34" s="340">
        <v>0.40667475186900898</v>
      </c>
      <c r="R34" s="340">
        <v>0.39063790331559867</v>
      </c>
      <c r="S34" s="340">
        <v>0.39134892682115513</v>
      </c>
      <c r="T34" s="340">
        <v>0.3861220945955563</v>
      </c>
      <c r="U34" s="340">
        <v>0.39573135371099277</v>
      </c>
      <c r="V34" s="340">
        <v>0.39666484284793729</v>
      </c>
      <c r="W34" s="340">
        <v>0.39621567188871148</v>
      </c>
      <c r="X34" s="340">
        <v>0.39962252764310441</v>
      </c>
      <c r="Y34" s="334">
        <f>AVERAGE(Q34:X34)</f>
        <v>0.39537725908650811</v>
      </c>
      <c r="AB34" s="36" t="str">
        <f>O34</f>
        <v>ALLETE (Minnesota Power)</v>
      </c>
      <c r="AC34" s="36" t="str">
        <f>P34</f>
        <v>ALE</v>
      </c>
      <c r="AD34" s="339">
        <v>0</v>
      </c>
      <c r="AE34" s="339">
        <v>0</v>
      </c>
      <c r="AF34" s="339">
        <v>0</v>
      </c>
      <c r="AG34" s="339">
        <v>0</v>
      </c>
      <c r="AH34" s="339">
        <v>0</v>
      </c>
      <c r="AI34" s="339">
        <v>0</v>
      </c>
      <c r="AJ34" s="339">
        <v>0</v>
      </c>
      <c r="AK34" s="339">
        <v>0</v>
      </c>
      <c r="AL34" s="334">
        <f>AVERAGE(AD34:AK34)</f>
        <v>0</v>
      </c>
    </row>
    <row r="35" spans="2:38">
      <c r="B35" s="338" t="s">
        <v>1386</v>
      </c>
      <c r="C35" s="329" t="s">
        <v>1268</v>
      </c>
      <c r="D35" s="339">
        <v>0.58034974396022354</v>
      </c>
      <c r="E35" s="339">
        <v>0.5837811637267919</v>
      </c>
      <c r="F35" s="339">
        <v>0.5818866965873486</v>
      </c>
      <c r="G35" s="339">
        <v>0.56859361518550477</v>
      </c>
      <c r="H35" s="339">
        <v>0.56576705326224375</v>
      </c>
      <c r="I35" s="339">
        <v>0.57339266235379249</v>
      </c>
      <c r="J35" s="339">
        <v>0.65795169034055578</v>
      </c>
      <c r="K35" s="339">
        <v>0.64989114797509773</v>
      </c>
      <c r="L35" s="334">
        <f t="shared" ref="L35:L98" si="19">AVERAGE(D35:K35)</f>
        <v>0.59520172167394469</v>
      </c>
      <c r="O35" s="338" t="str">
        <f t="shared" ref="O35:P97" si="20">B35</f>
        <v>Superior Water, Light and Power Company</v>
      </c>
      <c r="P35" s="338" t="str">
        <f t="shared" si="20"/>
        <v>ALE</v>
      </c>
      <c r="Q35" s="340">
        <v>0.41965025603977646</v>
      </c>
      <c r="R35" s="340">
        <v>0.41621883627320816</v>
      </c>
      <c r="S35" s="340">
        <v>0.41811330341265135</v>
      </c>
      <c r="T35" s="340">
        <v>0.43140638481449528</v>
      </c>
      <c r="U35" s="340">
        <v>0.43423294673775625</v>
      </c>
      <c r="V35" s="340">
        <v>0.42660733764620751</v>
      </c>
      <c r="W35" s="340">
        <v>0.34204830965944427</v>
      </c>
      <c r="X35" s="340">
        <v>0.35010885202490227</v>
      </c>
      <c r="Y35" s="334">
        <f t="shared" ref="Y35:Y98" si="21">AVERAGE(Q35:X35)</f>
        <v>0.40479827832605525</v>
      </c>
      <c r="AB35" s="36" t="str">
        <f t="shared" ref="AB35:AC97" si="22">O35</f>
        <v>Superior Water, Light and Power Company</v>
      </c>
      <c r="AC35" s="36" t="str">
        <f t="shared" si="22"/>
        <v>ALE</v>
      </c>
      <c r="AD35" s="339">
        <v>0</v>
      </c>
      <c r="AE35" s="339">
        <v>0</v>
      </c>
      <c r="AF35" s="339">
        <v>0</v>
      </c>
      <c r="AG35" s="339">
        <v>0</v>
      </c>
      <c r="AH35" s="339">
        <v>0</v>
      </c>
      <c r="AI35" s="339">
        <v>0</v>
      </c>
      <c r="AJ35" s="339">
        <v>0</v>
      </c>
      <c r="AK35" s="339">
        <v>0</v>
      </c>
      <c r="AL35" s="334">
        <f t="shared" ref="AL35:AL98" si="23">AVERAGE(AD35:AK35)</f>
        <v>0</v>
      </c>
    </row>
    <row r="36" spans="2:38">
      <c r="B36" s="338" t="s">
        <v>1387</v>
      </c>
      <c r="C36" s="329" t="s">
        <v>1102</v>
      </c>
      <c r="D36" s="339">
        <v>0.48563642106618327</v>
      </c>
      <c r="E36" s="339">
        <v>0.50113093006185894</v>
      </c>
      <c r="F36" s="339">
        <v>0.5158541320804344</v>
      </c>
      <c r="G36" s="339">
        <v>0.51697227349504216</v>
      </c>
      <c r="H36" s="339">
        <v>0.47962578246703563</v>
      </c>
      <c r="I36" s="339">
        <v>0.48623490571611433</v>
      </c>
      <c r="J36" s="339">
        <v>0.48014806570725549</v>
      </c>
      <c r="K36" s="339">
        <v>0.48372943657681883</v>
      </c>
      <c r="L36" s="334">
        <f t="shared" si="19"/>
        <v>0.49366649339634289</v>
      </c>
      <c r="O36" s="338" t="str">
        <f t="shared" si="20"/>
        <v>Interstate Power and Light Company</v>
      </c>
      <c r="P36" s="338" t="str">
        <f t="shared" si="20"/>
        <v>LNT</v>
      </c>
      <c r="Q36" s="340">
        <v>0.48442386255275005</v>
      </c>
      <c r="R36" s="340">
        <v>0.46703878393028914</v>
      </c>
      <c r="S36" s="340">
        <v>0.45134975675124345</v>
      </c>
      <c r="T36" s="340">
        <v>0.44895626331448896</v>
      </c>
      <c r="U36" s="340">
        <v>0.48662991799966493</v>
      </c>
      <c r="V36" s="340">
        <v>0.47718231376209452</v>
      </c>
      <c r="W36" s="340">
        <v>0.4817240805420408</v>
      </c>
      <c r="X36" s="340">
        <v>0.47781269325079762</v>
      </c>
      <c r="Y36" s="334">
        <f t="shared" si="21"/>
        <v>0.47188970901292121</v>
      </c>
      <c r="AB36" s="36" t="str">
        <f t="shared" si="22"/>
        <v>Interstate Power and Light Company</v>
      </c>
      <c r="AC36" s="36" t="str">
        <f t="shared" si="22"/>
        <v>LNT</v>
      </c>
      <c r="AD36" s="339">
        <v>2.9939716381066721E-2</v>
      </c>
      <c r="AE36" s="339">
        <v>3.1830286007851892E-2</v>
      </c>
      <c r="AF36" s="339">
        <v>3.2796111168322102E-2</v>
      </c>
      <c r="AG36" s="339">
        <v>3.4071463190468852E-2</v>
      </c>
      <c r="AH36" s="339">
        <v>3.3744299533299466E-2</v>
      </c>
      <c r="AI36" s="339">
        <v>3.6582780521791175E-2</v>
      </c>
      <c r="AJ36" s="339">
        <v>3.8127853750703697E-2</v>
      </c>
      <c r="AK36" s="339">
        <v>3.8457870172383557E-2</v>
      </c>
      <c r="AL36" s="334">
        <f t="shared" si="23"/>
        <v>3.4443797590735931E-2</v>
      </c>
    </row>
    <row r="37" spans="2:38">
      <c r="B37" s="338" t="s">
        <v>1388</v>
      </c>
      <c r="C37" s="329" t="s">
        <v>1102</v>
      </c>
      <c r="D37" s="339">
        <v>0.53402552343851528</v>
      </c>
      <c r="E37" s="339">
        <v>0.49008896529822982</v>
      </c>
      <c r="F37" s="339">
        <v>0.53025367296257819</v>
      </c>
      <c r="G37" s="339">
        <v>0.52693683515985235</v>
      </c>
      <c r="H37" s="339">
        <v>0.52624439621972274</v>
      </c>
      <c r="I37" s="339">
        <v>0.51521572484594802</v>
      </c>
      <c r="J37" s="339">
        <v>0.4957173558025959</v>
      </c>
      <c r="K37" s="339">
        <v>0.49227344155855923</v>
      </c>
      <c r="L37" s="334">
        <f t="shared" si="19"/>
        <v>0.51384448941075012</v>
      </c>
      <c r="O37" s="338" t="str">
        <f t="shared" si="20"/>
        <v>Wisconsin Power and Light Company</v>
      </c>
      <c r="P37" s="338" t="str">
        <f t="shared" si="20"/>
        <v>LNT</v>
      </c>
      <c r="Q37" s="340">
        <v>0.46597447656148472</v>
      </c>
      <c r="R37" s="340">
        <v>0.50991103470177024</v>
      </c>
      <c r="S37" s="340">
        <v>0.46974632703742181</v>
      </c>
      <c r="T37" s="340">
        <v>0.47306316484014771</v>
      </c>
      <c r="U37" s="340">
        <v>0.47375560378027726</v>
      </c>
      <c r="V37" s="340">
        <v>0.48478427515405198</v>
      </c>
      <c r="W37" s="340">
        <v>0.5042826441974041</v>
      </c>
      <c r="X37" s="340">
        <v>0.50772655844144077</v>
      </c>
      <c r="Y37" s="334">
        <f t="shared" si="21"/>
        <v>0.48615551058924988</v>
      </c>
      <c r="AB37" s="36" t="str">
        <f t="shared" si="22"/>
        <v>Wisconsin Power and Light Company</v>
      </c>
      <c r="AC37" s="36" t="str">
        <f t="shared" si="22"/>
        <v>LNT</v>
      </c>
      <c r="AD37" s="339">
        <v>0</v>
      </c>
      <c r="AE37" s="339">
        <v>0</v>
      </c>
      <c r="AF37" s="339">
        <v>0</v>
      </c>
      <c r="AG37" s="339">
        <v>0</v>
      </c>
      <c r="AH37" s="339">
        <v>0</v>
      </c>
      <c r="AI37" s="339">
        <v>0</v>
      </c>
      <c r="AJ37" s="339">
        <v>0</v>
      </c>
      <c r="AK37" s="339">
        <v>0</v>
      </c>
      <c r="AL37" s="334">
        <f t="shared" si="23"/>
        <v>0</v>
      </c>
    </row>
    <row r="38" spans="2:38">
      <c r="B38" s="338" t="s">
        <v>1389</v>
      </c>
      <c r="C38" s="329" t="s">
        <v>930</v>
      </c>
      <c r="D38" s="339">
        <v>0.54005107472867664</v>
      </c>
      <c r="E38" s="339">
        <v>0.53594759637815492</v>
      </c>
      <c r="F38" s="339">
        <v>0.53191435307719448</v>
      </c>
      <c r="G38" s="339">
        <v>0.52400315611993764</v>
      </c>
      <c r="H38" s="339">
        <v>0.52694785278351675</v>
      </c>
      <c r="I38" s="339">
        <v>0.52247907355988932</v>
      </c>
      <c r="J38" s="339">
        <v>0.53707140818501586</v>
      </c>
      <c r="K38" s="339">
        <v>0.52843548766562787</v>
      </c>
      <c r="L38" s="334">
        <f t="shared" si="19"/>
        <v>0.5308562503122517</v>
      </c>
      <c r="O38" s="338" t="str">
        <f t="shared" si="20"/>
        <v>Ameren Illinois Company</v>
      </c>
      <c r="P38" s="338" t="str">
        <f t="shared" si="20"/>
        <v>AEE</v>
      </c>
      <c r="Q38" s="340">
        <v>0.45154168827064123</v>
      </c>
      <c r="R38" s="340">
        <v>0.45557005247794152</v>
      </c>
      <c r="S38" s="340">
        <v>0.4595294508649696</v>
      </c>
      <c r="T38" s="340">
        <v>0.4672959141969068</v>
      </c>
      <c r="U38" s="340">
        <v>0.46389797806813643</v>
      </c>
      <c r="V38" s="340">
        <v>0.46827979609297149</v>
      </c>
      <c r="W38" s="340">
        <v>0.45308506888405736</v>
      </c>
      <c r="X38" s="340">
        <v>0.46153678444322455</v>
      </c>
      <c r="Y38" s="334">
        <f t="shared" si="21"/>
        <v>0.4600920916623561</v>
      </c>
      <c r="AB38" s="36" t="str">
        <f t="shared" si="22"/>
        <v>Ameren Illinois Company</v>
      </c>
      <c r="AC38" s="36" t="str">
        <f t="shared" si="22"/>
        <v>AEE</v>
      </c>
      <c r="AD38" s="339">
        <v>8.4072370006821884E-3</v>
      </c>
      <c r="AE38" s="339">
        <v>8.4823511439035167E-3</v>
      </c>
      <c r="AF38" s="339">
        <v>8.5561960578359533E-3</v>
      </c>
      <c r="AG38" s="339">
        <v>8.7009296831555439E-3</v>
      </c>
      <c r="AH38" s="339">
        <v>9.1541691483467934E-3</v>
      </c>
      <c r="AI38" s="339">
        <v>9.2411303471391509E-3</v>
      </c>
      <c r="AJ38" s="339">
        <v>9.8435229309268412E-3</v>
      </c>
      <c r="AK38" s="339">
        <v>1.0027727891147607E-2</v>
      </c>
      <c r="AL38" s="334">
        <f t="shared" si="23"/>
        <v>9.0516580253921994E-3</v>
      </c>
    </row>
    <row r="39" spans="2:38">
      <c r="B39" s="338" t="s">
        <v>1390</v>
      </c>
      <c r="C39" s="329" t="s">
        <v>930</v>
      </c>
      <c r="D39" s="339">
        <v>0.52361208977367613</v>
      </c>
      <c r="E39" s="339">
        <v>0.51485578319743019</v>
      </c>
      <c r="F39" s="339">
        <v>0.51446536229767381</v>
      </c>
      <c r="G39" s="339">
        <v>0.51984187940485516</v>
      </c>
      <c r="H39" s="339">
        <v>0.5273189354768163</v>
      </c>
      <c r="I39" s="339">
        <v>0.50769869845869686</v>
      </c>
      <c r="J39" s="339">
        <v>0.51304035653408286</v>
      </c>
      <c r="K39" s="339">
        <v>0.51377800805200591</v>
      </c>
      <c r="L39" s="334">
        <f t="shared" si="19"/>
        <v>0.5168263891494046</v>
      </c>
      <c r="O39" s="338" t="str">
        <f t="shared" si="20"/>
        <v>Union Electric Company</v>
      </c>
      <c r="P39" s="338" t="str">
        <f t="shared" si="20"/>
        <v>AEE</v>
      </c>
      <c r="Q39" s="340">
        <v>0.46665531438176627</v>
      </c>
      <c r="R39" s="340">
        <v>0.4752323837602544</v>
      </c>
      <c r="S39" s="340">
        <v>0.47561447925494155</v>
      </c>
      <c r="T39" s="340">
        <v>0.47003940485512918</v>
      </c>
      <c r="U39" s="340">
        <v>0.46271952303014402</v>
      </c>
      <c r="V39" s="340">
        <v>0.48243723535972144</v>
      </c>
      <c r="W39" s="340">
        <v>0.47657170890527428</v>
      </c>
      <c r="X39" s="340">
        <v>0.47584937667980243</v>
      </c>
      <c r="Y39" s="334">
        <f t="shared" si="21"/>
        <v>0.47313992827837925</v>
      </c>
      <c r="AB39" s="36" t="str">
        <f t="shared" si="22"/>
        <v>Union Electric Company</v>
      </c>
      <c r="AC39" s="36" t="str">
        <f t="shared" si="22"/>
        <v>AEE</v>
      </c>
      <c r="AD39" s="339">
        <v>9.7325958445575733E-3</v>
      </c>
      <c r="AE39" s="339">
        <v>9.911833042315403E-3</v>
      </c>
      <c r="AF39" s="339">
        <v>9.920158447384652E-3</v>
      </c>
      <c r="AG39" s="339">
        <v>1.0118715740015662E-2</v>
      </c>
      <c r="AH39" s="339">
        <v>9.961541493039688E-3</v>
      </c>
      <c r="AI39" s="339">
        <v>9.8640661815816294E-3</v>
      </c>
      <c r="AJ39" s="339">
        <v>1.0387934560642848E-2</v>
      </c>
      <c r="AK39" s="339">
        <v>1.03726152681917E-2</v>
      </c>
      <c r="AL39" s="334">
        <f t="shared" si="23"/>
        <v>1.0033682572216145E-2</v>
      </c>
    </row>
    <row r="40" spans="2:38">
      <c r="B40" s="338" t="s">
        <v>1391</v>
      </c>
      <c r="C40" s="329" t="s">
        <v>319</v>
      </c>
      <c r="D40" s="339">
        <v>0.46972684373880846</v>
      </c>
      <c r="E40" s="339">
        <v>0.46318250087843305</v>
      </c>
      <c r="F40" s="339">
        <v>0.47538335488037003</v>
      </c>
      <c r="G40" s="339">
        <v>0.45375084753392247</v>
      </c>
      <c r="H40" s="339">
        <v>0.43800430290232428</v>
      </c>
      <c r="I40" s="339">
        <v>0.43204573155457521</v>
      </c>
      <c r="J40" s="339">
        <v>0.46753511014950844</v>
      </c>
      <c r="K40" s="339">
        <v>0.45136152129281598</v>
      </c>
      <c r="L40" s="334">
        <f t="shared" si="19"/>
        <v>0.45637377661634471</v>
      </c>
      <c r="O40" s="338" t="str">
        <f t="shared" si="20"/>
        <v>AEP Texas, Inc.</v>
      </c>
      <c r="P40" s="338" t="str">
        <f t="shared" si="20"/>
        <v>AEP</v>
      </c>
      <c r="Q40" s="340">
        <v>0.53027315626119154</v>
      </c>
      <c r="R40" s="340">
        <v>0.53681749912156695</v>
      </c>
      <c r="S40" s="340">
        <v>0.52461664511962991</v>
      </c>
      <c r="T40" s="340">
        <v>0.54624915246607753</v>
      </c>
      <c r="U40" s="340">
        <v>0.56199569709767572</v>
      </c>
      <c r="V40" s="340">
        <v>0.56795426844542485</v>
      </c>
      <c r="W40" s="340">
        <v>0.53246488985049156</v>
      </c>
      <c r="X40" s="340">
        <v>0.54863847870718396</v>
      </c>
      <c r="Y40" s="334">
        <f t="shared" si="21"/>
        <v>0.54362622338365529</v>
      </c>
      <c r="AB40" s="36" t="str">
        <f t="shared" si="22"/>
        <v>AEP Texas, Inc.</v>
      </c>
      <c r="AC40" s="36" t="str">
        <f t="shared" si="22"/>
        <v>AEP</v>
      </c>
      <c r="AD40" s="339">
        <v>0</v>
      </c>
      <c r="AE40" s="339">
        <v>0</v>
      </c>
      <c r="AF40" s="339">
        <v>0</v>
      </c>
      <c r="AG40" s="339">
        <v>0</v>
      </c>
      <c r="AH40" s="339">
        <v>0</v>
      </c>
      <c r="AI40" s="339">
        <v>0</v>
      </c>
      <c r="AJ40" s="339">
        <v>0</v>
      </c>
      <c r="AK40" s="339">
        <v>0</v>
      </c>
      <c r="AL40" s="334">
        <f t="shared" si="23"/>
        <v>0</v>
      </c>
    </row>
    <row r="41" spans="2:38">
      <c r="B41" s="338" t="s">
        <v>1392</v>
      </c>
      <c r="C41" s="329" t="s">
        <v>319</v>
      </c>
      <c r="D41" s="339">
        <v>0.48735033629798874</v>
      </c>
      <c r="E41" s="339">
        <v>0.48191303825758669</v>
      </c>
      <c r="F41" s="339">
        <v>0.4777063270051794</v>
      </c>
      <c r="G41" s="339">
        <v>0.49511564533371233</v>
      </c>
      <c r="H41" s="339">
        <v>0.49297723941950244</v>
      </c>
      <c r="I41" s="339">
        <v>0.48932798027890279</v>
      </c>
      <c r="J41" s="339">
        <v>0.49345867360253598</v>
      </c>
      <c r="K41" s="339">
        <v>0.4872144780196595</v>
      </c>
      <c r="L41" s="334">
        <f t="shared" si="19"/>
        <v>0.48813296477688345</v>
      </c>
      <c r="O41" s="338" t="str">
        <f t="shared" si="20"/>
        <v>Appalachian Power Company</v>
      </c>
      <c r="P41" s="338" t="str">
        <f t="shared" si="20"/>
        <v>AEP</v>
      </c>
      <c r="Q41" s="340">
        <v>0.51264966370201126</v>
      </c>
      <c r="R41" s="340">
        <v>0.51808696174241331</v>
      </c>
      <c r="S41" s="340">
        <v>0.52229367299482066</v>
      </c>
      <c r="T41" s="340">
        <v>0.50488435466628767</v>
      </c>
      <c r="U41" s="340">
        <v>0.50702276058049756</v>
      </c>
      <c r="V41" s="340">
        <v>0.51067201972109721</v>
      </c>
      <c r="W41" s="340">
        <v>0.50654132639746408</v>
      </c>
      <c r="X41" s="340">
        <v>0.51278552198034044</v>
      </c>
      <c r="Y41" s="334">
        <f t="shared" si="21"/>
        <v>0.51186703522311661</v>
      </c>
      <c r="AB41" s="36" t="str">
        <f t="shared" si="22"/>
        <v>Appalachian Power Company</v>
      </c>
      <c r="AC41" s="36" t="str">
        <f t="shared" si="22"/>
        <v>AEP</v>
      </c>
      <c r="AD41" s="339">
        <v>0</v>
      </c>
      <c r="AE41" s="339">
        <v>0</v>
      </c>
      <c r="AF41" s="339">
        <v>0</v>
      </c>
      <c r="AG41" s="339">
        <v>0</v>
      </c>
      <c r="AH41" s="339">
        <v>0</v>
      </c>
      <c r="AI41" s="339">
        <v>0</v>
      </c>
      <c r="AJ41" s="339">
        <v>0</v>
      </c>
      <c r="AK41" s="339">
        <v>0</v>
      </c>
      <c r="AL41" s="334">
        <f t="shared" si="23"/>
        <v>0</v>
      </c>
    </row>
    <row r="42" spans="2:38">
      <c r="B42" s="338" t="s">
        <v>1393</v>
      </c>
      <c r="C42" s="329" t="s">
        <v>319</v>
      </c>
      <c r="D42" s="339">
        <v>0.46507136047141984</v>
      </c>
      <c r="E42" s="339">
        <v>0.45831601114822779</v>
      </c>
      <c r="F42" s="339">
        <v>0.45432460558506899</v>
      </c>
      <c r="G42" s="339">
        <v>0.44624149540197428</v>
      </c>
      <c r="H42" s="339">
        <v>0.44525736273854222</v>
      </c>
      <c r="I42" s="339">
        <v>0.4414654618029879</v>
      </c>
      <c r="J42" s="339">
        <v>0.46639259393212851</v>
      </c>
      <c r="K42" s="339">
        <v>0.46326003333198246</v>
      </c>
      <c r="L42" s="334">
        <f t="shared" si="19"/>
        <v>0.45504111555154148</v>
      </c>
      <c r="O42" s="338" t="str">
        <f t="shared" si="20"/>
        <v>Indiana Michigan Power Company</v>
      </c>
      <c r="P42" s="338" t="str">
        <f t="shared" si="20"/>
        <v>AEP</v>
      </c>
      <c r="Q42" s="340">
        <v>0.53492863952858016</v>
      </c>
      <c r="R42" s="340">
        <v>0.54168398885177216</v>
      </c>
      <c r="S42" s="340">
        <v>0.54567539441493107</v>
      </c>
      <c r="T42" s="340">
        <v>0.55375850459802578</v>
      </c>
      <c r="U42" s="340">
        <v>0.55474263726145778</v>
      </c>
      <c r="V42" s="340">
        <v>0.55853453819701215</v>
      </c>
      <c r="W42" s="340">
        <v>0.53360740606787149</v>
      </c>
      <c r="X42" s="340">
        <v>0.5367399666680176</v>
      </c>
      <c r="Y42" s="334">
        <f t="shared" si="21"/>
        <v>0.54495888444845852</v>
      </c>
      <c r="AB42" s="36" t="str">
        <f t="shared" si="22"/>
        <v>Indiana Michigan Power Company</v>
      </c>
      <c r="AC42" s="36" t="str">
        <f t="shared" si="22"/>
        <v>AEP</v>
      </c>
      <c r="AD42" s="339">
        <v>0</v>
      </c>
      <c r="AE42" s="339">
        <v>0</v>
      </c>
      <c r="AF42" s="339">
        <v>0</v>
      </c>
      <c r="AG42" s="339">
        <v>0</v>
      </c>
      <c r="AH42" s="339">
        <v>0</v>
      </c>
      <c r="AI42" s="339">
        <v>0</v>
      </c>
      <c r="AJ42" s="339">
        <v>0</v>
      </c>
      <c r="AK42" s="339">
        <v>0</v>
      </c>
      <c r="AL42" s="334">
        <f t="shared" si="23"/>
        <v>0</v>
      </c>
    </row>
    <row r="43" spans="2:38">
      <c r="B43" s="338" t="s">
        <v>1394</v>
      </c>
      <c r="C43" s="329" t="s">
        <v>319</v>
      </c>
      <c r="D43" s="339">
        <v>0.46943713988808172</v>
      </c>
      <c r="E43" s="339">
        <v>0.46498512105172857</v>
      </c>
      <c r="F43" s="339">
        <v>0.46416396336359678</v>
      </c>
      <c r="G43" s="339">
        <v>0.45722665279163305</v>
      </c>
      <c r="H43" s="339">
        <v>0.45275068264634671</v>
      </c>
      <c r="I43" s="339">
        <v>0.44892797488631764</v>
      </c>
      <c r="J43" s="339">
        <v>0.44399673044514132</v>
      </c>
      <c r="K43" s="339">
        <v>0.43516139776129142</v>
      </c>
      <c r="L43" s="334">
        <f t="shared" si="19"/>
        <v>0.45458120785426714</v>
      </c>
      <c r="O43" s="338" t="str">
        <f t="shared" si="20"/>
        <v>Kentucky Power Company</v>
      </c>
      <c r="P43" s="338" t="str">
        <f t="shared" si="20"/>
        <v>AEP</v>
      </c>
      <c r="Q43" s="340">
        <v>0.53056286011191822</v>
      </c>
      <c r="R43" s="340">
        <v>0.53501487894827149</v>
      </c>
      <c r="S43" s="340">
        <v>0.53583603663640322</v>
      </c>
      <c r="T43" s="340">
        <v>0.5427733472083669</v>
      </c>
      <c r="U43" s="340">
        <v>0.54724931735365323</v>
      </c>
      <c r="V43" s="340">
        <v>0.55107202511368236</v>
      </c>
      <c r="W43" s="340">
        <v>0.55600326955485868</v>
      </c>
      <c r="X43" s="340">
        <v>0.56483860223870863</v>
      </c>
      <c r="Y43" s="334">
        <f t="shared" si="21"/>
        <v>0.54541879214573286</v>
      </c>
      <c r="AB43" s="36" t="str">
        <f t="shared" si="22"/>
        <v>Kentucky Power Company</v>
      </c>
      <c r="AC43" s="36" t="str">
        <f t="shared" si="22"/>
        <v>AEP</v>
      </c>
      <c r="AD43" s="339">
        <v>0</v>
      </c>
      <c r="AE43" s="339">
        <v>0</v>
      </c>
      <c r="AF43" s="339">
        <v>0</v>
      </c>
      <c r="AG43" s="339">
        <v>0</v>
      </c>
      <c r="AH43" s="339">
        <v>0</v>
      </c>
      <c r="AI43" s="339">
        <v>0</v>
      </c>
      <c r="AJ43" s="339">
        <v>0</v>
      </c>
      <c r="AK43" s="339">
        <v>0</v>
      </c>
      <c r="AL43" s="334">
        <f t="shared" si="23"/>
        <v>0</v>
      </c>
    </row>
    <row r="44" spans="2:38">
      <c r="B44" s="338" t="s">
        <v>1395</v>
      </c>
      <c r="C44" s="329" t="s">
        <v>319</v>
      </c>
      <c r="D44" s="339">
        <v>0.54243702692641771</v>
      </c>
      <c r="E44" s="339">
        <v>0.50178176352366954</v>
      </c>
      <c r="F44" s="339">
        <v>0.51544753265883625</v>
      </c>
      <c r="G44" s="339">
        <v>0.50785463994645463</v>
      </c>
      <c r="H44" s="339">
        <v>0.5071123685222243</v>
      </c>
      <c r="I44" s="339">
        <v>0.47693820547959537</v>
      </c>
      <c r="J44" s="339">
        <v>0.47276293312525042</v>
      </c>
      <c r="K44" s="339">
        <v>0.46533785301068253</v>
      </c>
      <c r="L44" s="334">
        <f t="shared" si="19"/>
        <v>0.49870904039914127</v>
      </c>
      <c r="O44" s="338" t="str">
        <f t="shared" si="20"/>
        <v>Kingsport Power Company</v>
      </c>
      <c r="P44" s="338" t="str">
        <f t="shared" si="20"/>
        <v>AEP</v>
      </c>
      <c r="Q44" s="340">
        <v>0.45756297307358235</v>
      </c>
      <c r="R44" s="340">
        <v>0.4982182364763304</v>
      </c>
      <c r="S44" s="340">
        <v>0.4845524673411637</v>
      </c>
      <c r="T44" s="340">
        <v>0.49214536005354542</v>
      </c>
      <c r="U44" s="340">
        <v>0.4928876314777757</v>
      </c>
      <c r="V44" s="340">
        <v>0.52306179452040469</v>
      </c>
      <c r="W44" s="340">
        <v>0.52723706687474958</v>
      </c>
      <c r="X44" s="340">
        <v>0.53466214698931747</v>
      </c>
      <c r="Y44" s="334">
        <f t="shared" si="21"/>
        <v>0.50129095960085868</v>
      </c>
      <c r="AB44" s="36" t="str">
        <f t="shared" si="22"/>
        <v>Kingsport Power Company</v>
      </c>
      <c r="AC44" s="36" t="str">
        <f t="shared" si="22"/>
        <v>AEP</v>
      </c>
      <c r="AD44" s="339">
        <v>0</v>
      </c>
      <c r="AE44" s="339">
        <v>0</v>
      </c>
      <c r="AF44" s="339">
        <v>0</v>
      </c>
      <c r="AG44" s="339">
        <v>0</v>
      </c>
      <c r="AH44" s="339">
        <v>0</v>
      </c>
      <c r="AI44" s="339">
        <v>0</v>
      </c>
      <c r="AJ44" s="339">
        <v>0</v>
      </c>
      <c r="AK44" s="339">
        <v>0</v>
      </c>
      <c r="AL44" s="334">
        <f t="shared" si="23"/>
        <v>0</v>
      </c>
    </row>
    <row r="45" spans="2:38">
      <c r="B45" s="338" t="s">
        <v>1396</v>
      </c>
      <c r="C45" s="329" t="s">
        <v>319</v>
      </c>
      <c r="D45" s="339">
        <v>0.53627174131356059</v>
      </c>
      <c r="E45" s="339">
        <v>0.52922337923474816</v>
      </c>
      <c r="F45" s="339">
        <v>0.58862692768665825</v>
      </c>
      <c r="G45" s="339">
        <v>0.57801020354250809</v>
      </c>
      <c r="H45" s="339">
        <v>0.56845778425487947</v>
      </c>
      <c r="I45" s="339">
        <v>0.57113482520565428</v>
      </c>
      <c r="J45" s="339">
        <v>0.52909641873790225</v>
      </c>
      <c r="K45" s="339">
        <v>0.58634955537722255</v>
      </c>
      <c r="L45" s="334">
        <f t="shared" si="19"/>
        <v>0.56089635441914165</v>
      </c>
      <c r="O45" s="338" t="str">
        <f t="shared" si="20"/>
        <v>Ohio Power Company</v>
      </c>
      <c r="P45" s="338" t="str">
        <f t="shared" si="20"/>
        <v>AEP</v>
      </c>
      <c r="Q45" s="340">
        <v>0.46372825868643941</v>
      </c>
      <c r="R45" s="340">
        <v>0.47077662076525184</v>
      </c>
      <c r="S45" s="340">
        <v>0.41137307231334169</v>
      </c>
      <c r="T45" s="340">
        <v>0.42198979645749185</v>
      </c>
      <c r="U45" s="340">
        <v>0.43154221574512058</v>
      </c>
      <c r="V45" s="340">
        <v>0.42886517479434566</v>
      </c>
      <c r="W45" s="340">
        <v>0.47090358126209775</v>
      </c>
      <c r="X45" s="340">
        <v>0.41365044462277745</v>
      </c>
      <c r="Y45" s="334">
        <f t="shared" si="21"/>
        <v>0.43910364558085829</v>
      </c>
      <c r="AB45" s="36" t="str">
        <f t="shared" si="22"/>
        <v>Ohio Power Company</v>
      </c>
      <c r="AC45" s="36" t="str">
        <f t="shared" si="22"/>
        <v>AEP</v>
      </c>
      <c r="AD45" s="339">
        <v>0</v>
      </c>
      <c r="AE45" s="339">
        <v>0</v>
      </c>
      <c r="AF45" s="339">
        <v>0</v>
      </c>
      <c r="AG45" s="339">
        <v>0</v>
      </c>
      <c r="AH45" s="339">
        <v>0</v>
      </c>
      <c r="AI45" s="339">
        <v>0</v>
      </c>
      <c r="AJ45" s="339">
        <v>0</v>
      </c>
      <c r="AK45" s="339">
        <v>0</v>
      </c>
      <c r="AL45" s="334">
        <f t="shared" si="23"/>
        <v>0</v>
      </c>
    </row>
    <row r="46" spans="2:38">
      <c r="B46" s="338" t="s">
        <v>1397</v>
      </c>
      <c r="C46" s="329" t="s">
        <v>319</v>
      </c>
      <c r="D46" s="339">
        <v>0.49892934699175695</v>
      </c>
      <c r="E46" s="339">
        <v>0.48017675328001075</v>
      </c>
      <c r="F46" s="339">
        <v>0.47194199470849441</v>
      </c>
      <c r="G46" s="339">
        <v>0.49163553141328775</v>
      </c>
      <c r="H46" s="339">
        <v>0.49547033532888252</v>
      </c>
      <c r="I46" s="339">
        <v>0.48588883790148596</v>
      </c>
      <c r="J46" s="339">
        <v>0.48095160728605246</v>
      </c>
      <c r="K46" s="339">
        <v>0.48496176245837563</v>
      </c>
      <c r="L46" s="334">
        <f t="shared" si="19"/>
        <v>0.48624452117104333</v>
      </c>
      <c r="O46" s="338" t="str">
        <f t="shared" si="20"/>
        <v>Public Service Company of Oklahoma</v>
      </c>
      <c r="P46" s="338" t="str">
        <f t="shared" si="20"/>
        <v>AEP</v>
      </c>
      <c r="Q46" s="340">
        <v>0.50107065300824305</v>
      </c>
      <c r="R46" s="340">
        <v>0.51982324671998925</v>
      </c>
      <c r="S46" s="340">
        <v>0.52805800529150559</v>
      </c>
      <c r="T46" s="340">
        <v>0.50836446858671225</v>
      </c>
      <c r="U46" s="340">
        <v>0.50452966467111748</v>
      </c>
      <c r="V46" s="340">
        <v>0.51411116209851404</v>
      </c>
      <c r="W46" s="340">
        <v>0.51904839271394754</v>
      </c>
      <c r="X46" s="340">
        <v>0.51503823754162437</v>
      </c>
      <c r="Y46" s="334">
        <f t="shared" si="21"/>
        <v>0.51375547882895667</v>
      </c>
      <c r="AB46" s="36" t="str">
        <f t="shared" si="22"/>
        <v>Public Service Company of Oklahoma</v>
      </c>
      <c r="AC46" s="36" t="str">
        <f t="shared" si="22"/>
        <v>AEP</v>
      </c>
      <c r="AD46" s="339">
        <v>0</v>
      </c>
      <c r="AE46" s="339">
        <v>0</v>
      </c>
      <c r="AF46" s="339">
        <v>0</v>
      </c>
      <c r="AG46" s="339">
        <v>0</v>
      </c>
      <c r="AH46" s="339">
        <v>0</v>
      </c>
      <c r="AI46" s="339">
        <v>0</v>
      </c>
      <c r="AJ46" s="339">
        <v>0</v>
      </c>
      <c r="AK46" s="339">
        <v>0</v>
      </c>
      <c r="AL46" s="334">
        <f t="shared" si="23"/>
        <v>0</v>
      </c>
    </row>
    <row r="47" spans="2:38">
      <c r="B47" s="338" t="s">
        <v>1398</v>
      </c>
      <c r="C47" s="329" t="s">
        <v>319</v>
      </c>
      <c r="D47" s="339">
        <v>0.48625865054506712</v>
      </c>
      <c r="E47" s="339">
        <v>0.47451200527068171</v>
      </c>
      <c r="F47" s="339">
        <v>0.47585896844558079</v>
      </c>
      <c r="G47" s="339">
        <v>0.46973004305019966</v>
      </c>
      <c r="H47" s="339">
        <v>0.43431217335447242</v>
      </c>
      <c r="I47" s="339">
        <v>0.47913718515885678</v>
      </c>
      <c r="J47" s="339">
        <v>0.47716328577658979</v>
      </c>
      <c r="K47" s="339">
        <v>0.48521757897321738</v>
      </c>
      <c r="L47" s="334">
        <f t="shared" si="19"/>
        <v>0.47277373632183323</v>
      </c>
      <c r="O47" s="338" t="str">
        <f t="shared" si="20"/>
        <v>Southwestern Electric Power Company</v>
      </c>
      <c r="P47" s="338" t="str">
        <f t="shared" si="20"/>
        <v>AEP</v>
      </c>
      <c r="Q47" s="340">
        <v>0.51374134945493288</v>
      </c>
      <c r="R47" s="340">
        <v>0.52548799472931829</v>
      </c>
      <c r="S47" s="340">
        <v>0.52414103155441916</v>
      </c>
      <c r="T47" s="340">
        <v>0.53026995694980028</v>
      </c>
      <c r="U47" s="340">
        <v>0.56568782664552764</v>
      </c>
      <c r="V47" s="340">
        <v>0.52086281484114327</v>
      </c>
      <c r="W47" s="340">
        <v>0.52283671422341016</v>
      </c>
      <c r="X47" s="340">
        <v>0.51478242102678262</v>
      </c>
      <c r="Y47" s="334">
        <f t="shared" si="21"/>
        <v>0.52722626367816683</v>
      </c>
      <c r="AB47" s="36" t="str">
        <f t="shared" si="22"/>
        <v>Southwestern Electric Power Company</v>
      </c>
      <c r="AC47" s="36" t="str">
        <f t="shared" si="22"/>
        <v>AEP</v>
      </c>
      <c r="AD47" s="339">
        <v>0</v>
      </c>
      <c r="AE47" s="339">
        <v>0</v>
      </c>
      <c r="AF47" s="339">
        <v>0</v>
      </c>
      <c r="AG47" s="339">
        <v>0</v>
      </c>
      <c r="AH47" s="339">
        <v>0</v>
      </c>
      <c r="AI47" s="339">
        <v>0</v>
      </c>
      <c r="AJ47" s="339">
        <v>0</v>
      </c>
      <c r="AK47" s="339">
        <v>0</v>
      </c>
      <c r="AL47" s="334">
        <f t="shared" si="23"/>
        <v>0</v>
      </c>
    </row>
    <row r="48" spans="2:38">
      <c r="B48" s="338" t="s">
        <v>1399</v>
      </c>
      <c r="C48" s="329" t="s">
        <v>319</v>
      </c>
      <c r="D48" s="339">
        <v>0.53662698869767034</v>
      </c>
      <c r="E48" s="339">
        <v>0.53833896999467112</v>
      </c>
      <c r="F48" s="339">
        <v>0.54273888953486094</v>
      </c>
      <c r="G48" s="339">
        <v>0.54620242742804392</v>
      </c>
      <c r="H48" s="339">
        <v>0.54697600008283864</v>
      </c>
      <c r="I48" s="339">
        <v>0.54191179838883841</v>
      </c>
      <c r="J48" s="339">
        <v>0.54268033747577837</v>
      </c>
      <c r="K48" s="339">
        <v>0.54260144773176056</v>
      </c>
      <c r="L48" s="334">
        <f t="shared" si="19"/>
        <v>0.54225960741680779</v>
      </c>
      <c r="O48" s="338" t="str">
        <f t="shared" si="20"/>
        <v>Wheeling Power Company</v>
      </c>
      <c r="P48" s="338" t="str">
        <f t="shared" si="20"/>
        <v>AEP</v>
      </c>
      <c r="Q48" s="340">
        <v>0.46337301130232972</v>
      </c>
      <c r="R48" s="340">
        <v>0.46166103000532888</v>
      </c>
      <c r="S48" s="340">
        <v>0.45726111046513906</v>
      </c>
      <c r="T48" s="340">
        <v>0.45379757257195608</v>
      </c>
      <c r="U48" s="340">
        <v>0.4530239999171613</v>
      </c>
      <c r="V48" s="340">
        <v>0.45808820161116165</v>
      </c>
      <c r="W48" s="340">
        <v>0.45731966252422163</v>
      </c>
      <c r="X48" s="340">
        <v>0.45739855226823944</v>
      </c>
      <c r="Y48" s="334">
        <f t="shared" si="21"/>
        <v>0.45774039258319221</v>
      </c>
      <c r="AB48" s="36" t="str">
        <f t="shared" si="22"/>
        <v>Wheeling Power Company</v>
      </c>
      <c r="AC48" s="36" t="str">
        <f t="shared" si="22"/>
        <v>AEP</v>
      </c>
      <c r="AD48" s="339">
        <v>0</v>
      </c>
      <c r="AE48" s="339">
        <v>0</v>
      </c>
      <c r="AF48" s="339">
        <v>0</v>
      </c>
      <c r="AG48" s="339">
        <v>0</v>
      </c>
      <c r="AH48" s="339">
        <v>0</v>
      </c>
      <c r="AI48" s="339">
        <v>0</v>
      </c>
      <c r="AJ48" s="339">
        <v>0</v>
      </c>
      <c r="AK48" s="339">
        <v>0</v>
      </c>
      <c r="AL48" s="334">
        <f t="shared" si="23"/>
        <v>0</v>
      </c>
    </row>
    <row r="49" spans="2:38">
      <c r="B49" s="338" t="s">
        <v>1400</v>
      </c>
      <c r="C49" s="329" t="s">
        <v>1273</v>
      </c>
      <c r="D49" s="339">
        <v>0.61277731597887308</v>
      </c>
      <c r="E49" s="339">
        <v>0.61238106559029193</v>
      </c>
      <c r="F49" s="339">
        <v>0.61021344711635905</v>
      </c>
      <c r="G49" s="339">
        <v>0.60288254324609103</v>
      </c>
      <c r="H49" s="339">
        <v>0.61938014788349982</v>
      </c>
      <c r="I49" s="339">
        <v>0.61778180947187633</v>
      </c>
      <c r="J49" s="339">
        <v>0.61527018292620372</v>
      </c>
      <c r="K49" s="339">
        <v>0.60767902913637073</v>
      </c>
      <c r="L49" s="334">
        <f t="shared" si="19"/>
        <v>0.61229569266869566</v>
      </c>
      <c r="O49" s="338" t="str">
        <f t="shared" si="20"/>
        <v>Alaska Electric Light and Power Company</v>
      </c>
      <c r="P49" s="338" t="str">
        <f t="shared" si="20"/>
        <v>AVA</v>
      </c>
      <c r="Q49" s="340">
        <v>0.38722268402112686</v>
      </c>
      <c r="R49" s="340">
        <v>0.38761893440970807</v>
      </c>
      <c r="S49" s="340">
        <v>0.38978655288364089</v>
      </c>
      <c r="T49" s="340">
        <v>0.39711745675390897</v>
      </c>
      <c r="U49" s="340">
        <v>0.38061985211650012</v>
      </c>
      <c r="V49" s="340">
        <v>0.38221819052812361</v>
      </c>
      <c r="W49" s="340">
        <v>0.38472981707379633</v>
      </c>
      <c r="X49" s="340">
        <v>0.39232097086362921</v>
      </c>
      <c r="Y49" s="334">
        <f t="shared" si="21"/>
        <v>0.38770430733130423</v>
      </c>
      <c r="AB49" s="36" t="str">
        <f t="shared" si="22"/>
        <v>Alaska Electric Light and Power Company</v>
      </c>
      <c r="AC49" s="36" t="str">
        <f t="shared" si="22"/>
        <v>AVA</v>
      </c>
      <c r="AD49" s="339">
        <v>0</v>
      </c>
      <c r="AE49" s="339">
        <v>0</v>
      </c>
      <c r="AF49" s="339">
        <v>0</v>
      </c>
      <c r="AG49" s="339">
        <v>0</v>
      </c>
      <c r="AH49" s="339">
        <v>0</v>
      </c>
      <c r="AI49" s="339">
        <v>0</v>
      </c>
      <c r="AJ49" s="339">
        <v>0</v>
      </c>
      <c r="AK49" s="339">
        <v>0</v>
      </c>
      <c r="AL49" s="334">
        <f t="shared" si="23"/>
        <v>0</v>
      </c>
    </row>
    <row r="50" spans="2:38">
      <c r="B50" s="338" t="s">
        <v>1493</v>
      </c>
      <c r="C50" s="329" t="s">
        <v>474</v>
      </c>
      <c r="D50" s="339">
        <v>0.4096683133380381</v>
      </c>
      <c r="E50" s="339">
        <v>0.39394650398873771</v>
      </c>
      <c r="F50" s="339">
        <v>0.38490477310134025</v>
      </c>
      <c r="G50" s="339">
        <v>0.36253041362530414</v>
      </c>
      <c r="H50" s="339">
        <v>0.34770154139953624</v>
      </c>
      <c r="I50" s="339">
        <v>0.33373967221996481</v>
      </c>
      <c r="J50" s="339">
        <v>0.32447817836812143</v>
      </c>
      <c r="K50" s="339">
        <v>0.33263128334737435</v>
      </c>
      <c r="L50" s="334">
        <f t="shared" si="19"/>
        <v>0.36120008492355204</v>
      </c>
      <c r="O50" s="338" t="str">
        <f t="shared" si="20"/>
        <v>CenterPoint Energy Houston Electric, LLC</v>
      </c>
      <c r="P50" s="338" t="str">
        <f t="shared" si="20"/>
        <v>CNP</v>
      </c>
      <c r="Q50" s="340">
        <v>0.5903316866619619</v>
      </c>
      <c r="R50" s="340">
        <v>0.60605349601126235</v>
      </c>
      <c r="S50" s="340">
        <v>0.61509522689865981</v>
      </c>
      <c r="T50" s="340">
        <v>0.63746958637469586</v>
      </c>
      <c r="U50" s="340">
        <v>0.65229845860046376</v>
      </c>
      <c r="V50" s="340">
        <v>0.66626032778003519</v>
      </c>
      <c r="W50" s="340">
        <v>0.67552182163187857</v>
      </c>
      <c r="X50" s="340">
        <v>0.66736871665262565</v>
      </c>
      <c r="Y50" s="334">
        <f t="shared" si="21"/>
        <v>0.63879991507644796</v>
      </c>
      <c r="AB50" s="36" t="str">
        <f t="shared" si="22"/>
        <v>CenterPoint Energy Houston Electric, LLC</v>
      </c>
      <c r="AC50" s="36" t="str">
        <f t="shared" si="22"/>
        <v>CNP</v>
      </c>
      <c r="AD50" s="339">
        <v>0</v>
      </c>
      <c r="AE50" s="339">
        <v>0</v>
      </c>
      <c r="AF50" s="339">
        <v>0</v>
      </c>
      <c r="AG50" s="339">
        <v>0</v>
      </c>
      <c r="AH50" s="339">
        <v>0</v>
      </c>
      <c r="AI50" s="339">
        <v>0</v>
      </c>
      <c r="AJ50" s="339">
        <v>0</v>
      </c>
      <c r="AK50" s="339">
        <v>0</v>
      </c>
      <c r="AL50" s="334">
        <f t="shared" si="23"/>
        <v>0</v>
      </c>
    </row>
    <row r="51" spans="2:38">
      <c r="B51" s="338" t="s">
        <v>1401</v>
      </c>
      <c r="C51" s="329" t="s">
        <v>474</v>
      </c>
      <c r="D51" s="339">
        <v>0.59464094741977935</v>
      </c>
      <c r="E51" s="339">
        <v>0.58798721845565061</v>
      </c>
      <c r="F51" s="339">
        <v>0.5844932582434329</v>
      </c>
      <c r="G51" s="339">
        <v>0.58537454271289791</v>
      </c>
      <c r="H51" s="339">
        <v>0.5538592006692733</v>
      </c>
      <c r="I51" s="339">
        <v>0.56744352237213591</v>
      </c>
      <c r="J51" s="339">
        <v>0.56615449846551447</v>
      </c>
      <c r="K51" s="339">
        <v>0.56458546000754839</v>
      </c>
      <c r="L51" s="334">
        <f t="shared" si="19"/>
        <v>0.57556733104327917</v>
      </c>
      <c r="O51" s="338" t="str">
        <f t="shared" si="20"/>
        <v>Southern Indiana Gas and Electric Company, Inc.</v>
      </c>
      <c r="P51" s="338" t="str">
        <f t="shared" si="20"/>
        <v>CNP</v>
      </c>
      <c r="Q51" s="340">
        <v>0.4053590525802207</v>
      </c>
      <c r="R51" s="340">
        <v>0.41201278154434939</v>
      </c>
      <c r="S51" s="340">
        <v>0.41550674175656704</v>
      </c>
      <c r="T51" s="340">
        <v>0.41462545728710209</v>
      </c>
      <c r="U51" s="340">
        <v>0.4461407993307267</v>
      </c>
      <c r="V51" s="340">
        <v>0.43255647762786414</v>
      </c>
      <c r="W51" s="340">
        <v>0.43384550153448553</v>
      </c>
      <c r="X51" s="340">
        <v>0.43541453999245161</v>
      </c>
      <c r="Y51" s="334">
        <f t="shared" si="21"/>
        <v>0.42443266895672094</v>
      </c>
      <c r="AB51" s="36" t="str">
        <f t="shared" si="22"/>
        <v>Southern Indiana Gas and Electric Company, Inc.</v>
      </c>
      <c r="AC51" s="36" t="str">
        <f t="shared" si="22"/>
        <v>CNP</v>
      </c>
      <c r="AD51" s="339">
        <v>0</v>
      </c>
      <c r="AE51" s="339">
        <v>0</v>
      </c>
      <c r="AF51" s="339">
        <v>0</v>
      </c>
      <c r="AG51" s="339">
        <v>0</v>
      </c>
      <c r="AH51" s="339">
        <v>0</v>
      </c>
      <c r="AI51" s="339">
        <v>0</v>
      </c>
      <c r="AJ51" s="339">
        <v>0</v>
      </c>
      <c r="AK51" s="339">
        <v>0</v>
      </c>
      <c r="AL51" s="334">
        <f t="shared" si="23"/>
        <v>0</v>
      </c>
    </row>
    <row r="52" spans="2:38">
      <c r="B52" s="338" t="s">
        <v>1402</v>
      </c>
      <c r="C52" s="329" t="s">
        <v>381</v>
      </c>
      <c r="D52" s="339">
        <v>0.51567963082546309</v>
      </c>
      <c r="E52" s="339">
        <v>0.53495264685982236</v>
      </c>
      <c r="F52" s="339">
        <v>0.5238128950469978</v>
      </c>
      <c r="G52" s="339">
        <v>0.50136540366584814</v>
      </c>
      <c r="H52" s="339">
        <v>0.52861455691057257</v>
      </c>
      <c r="I52" s="339">
        <v>0.52706947615000133</v>
      </c>
      <c r="J52" s="339">
        <v>0.52972942005161061</v>
      </c>
      <c r="K52" s="339">
        <v>0.52095041657633478</v>
      </c>
      <c r="L52" s="334">
        <f t="shared" si="19"/>
        <v>0.52277180576083127</v>
      </c>
      <c r="O52" s="338" t="str">
        <f t="shared" si="20"/>
        <v>Consumers Energy Company</v>
      </c>
      <c r="P52" s="338" t="str">
        <f t="shared" si="20"/>
        <v>CMS</v>
      </c>
      <c r="Q52" s="340">
        <v>0.4818212856949019</v>
      </c>
      <c r="R52" s="340">
        <v>0.46242451114203525</v>
      </c>
      <c r="S52" s="340">
        <v>0.47350512297011377</v>
      </c>
      <c r="T52" s="340">
        <v>0.49591697110526761</v>
      </c>
      <c r="U52" s="340">
        <v>0.46852091291267872</v>
      </c>
      <c r="V52" s="340">
        <v>0.47005971347135173</v>
      </c>
      <c r="W52" s="340">
        <v>0.46730964751374909</v>
      </c>
      <c r="X52" s="340">
        <v>0.47603663659371886</v>
      </c>
      <c r="Y52" s="334">
        <f t="shared" si="21"/>
        <v>0.47444935017547707</v>
      </c>
      <c r="AB52" s="36" t="str">
        <f t="shared" si="22"/>
        <v>Consumers Energy Company</v>
      </c>
      <c r="AC52" s="36" t="str">
        <f t="shared" si="22"/>
        <v>CMS</v>
      </c>
      <c r="AD52" s="339">
        <v>2.4990834796350314E-3</v>
      </c>
      <c r="AE52" s="339">
        <v>2.6228419981423967E-3</v>
      </c>
      <c r="AF52" s="339">
        <v>2.6819819828885023E-3</v>
      </c>
      <c r="AG52" s="339">
        <v>2.7176252288842739E-3</v>
      </c>
      <c r="AH52" s="339">
        <v>2.8645301767487663E-3</v>
      </c>
      <c r="AI52" s="339">
        <v>2.8708103786469256E-3</v>
      </c>
      <c r="AJ52" s="339">
        <v>2.9609324346402829E-3</v>
      </c>
      <c r="AK52" s="339">
        <v>3.012946829946342E-3</v>
      </c>
      <c r="AL52" s="334">
        <f t="shared" si="23"/>
        <v>2.778844063691565E-3</v>
      </c>
    </row>
    <row r="53" spans="2:38">
      <c r="B53" s="338" t="s">
        <v>1403</v>
      </c>
      <c r="C53" s="329" t="s">
        <v>405</v>
      </c>
      <c r="D53" s="339">
        <v>0.53328724446210329</v>
      </c>
      <c r="E53" s="339">
        <v>0.5329916791959175</v>
      </c>
      <c r="F53" s="339">
        <v>0.5242058158336097</v>
      </c>
      <c r="G53" s="339">
        <v>0.52617406468506578</v>
      </c>
      <c r="H53" s="339">
        <v>0.53635857641827034</v>
      </c>
      <c r="I53" s="339">
        <v>0.52812330978295829</v>
      </c>
      <c r="J53" s="339">
        <v>0.51031441848493897</v>
      </c>
      <c r="K53" s="339">
        <v>0.51706397711332108</v>
      </c>
      <c r="L53" s="334">
        <f t="shared" si="19"/>
        <v>0.52606488574702315</v>
      </c>
      <c r="O53" s="338" t="str">
        <f t="shared" si="20"/>
        <v>Virginia Electric and Power Company</v>
      </c>
      <c r="P53" s="338" t="str">
        <f t="shared" si="20"/>
        <v>D</v>
      </c>
      <c r="Q53" s="340">
        <v>0.46671275553789671</v>
      </c>
      <c r="R53" s="340">
        <v>0.4670083208040825</v>
      </c>
      <c r="S53" s="340">
        <v>0.4757941841663903</v>
      </c>
      <c r="T53" s="340">
        <v>0.47382593531493422</v>
      </c>
      <c r="U53" s="340">
        <v>0.46364142358172966</v>
      </c>
      <c r="V53" s="340">
        <v>0.47187669021704171</v>
      </c>
      <c r="W53" s="340">
        <v>0.48968558151506109</v>
      </c>
      <c r="X53" s="340">
        <v>0.48293602288667897</v>
      </c>
      <c r="Y53" s="334">
        <f t="shared" si="21"/>
        <v>0.47393511425297685</v>
      </c>
      <c r="AB53" s="36" t="str">
        <f t="shared" si="22"/>
        <v>Virginia Electric and Power Company</v>
      </c>
      <c r="AC53" s="36" t="str">
        <f t="shared" si="22"/>
        <v>D</v>
      </c>
      <c r="AD53" s="339">
        <v>0</v>
      </c>
      <c r="AE53" s="339">
        <v>0</v>
      </c>
      <c r="AF53" s="339">
        <v>0</v>
      </c>
      <c r="AG53" s="339">
        <v>0</v>
      </c>
      <c r="AH53" s="339">
        <v>0</v>
      </c>
      <c r="AI53" s="339">
        <v>0</v>
      </c>
      <c r="AJ53" s="339">
        <v>0</v>
      </c>
      <c r="AK53" s="339">
        <v>0</v>
      </c>
      <c r="AL53" s="334">
        <f t="shared" si="23"/>
        <v>0</v>
      </c>
    </row>
    <row r="54" spans="2:38">
      <c r="B54" s="338" t="s">
        <v>1404</v>
      </c>
      <c r="C54" s="329" t="s">
        <v>405</v>
      </c>
      <c r="D54" s="339">
        <v>0.53794925134439919</v>
      </c>
      <c r="E54" s="339">
        <v>0.48669305158463927</v>
      </c>
      <c r="F54" s="339">
        <v>0.48523583391278541</v>
      </c>
      <c r="G54" s="339">
        <v>0.44883320636499396</v>
      </c>
      <c r="H54" s="339">
        <v>0.49628792394925852</v>
      </c>
      <c r="I54" s="339">
        <v>0.49435027964572442</v>
      </c>
      <c r="J54" s="339">
        <v>0.49299192282233656</v>
      </c>
      <c r="K54" s="339">
        <v>0.49537022486777227</v>
      </c>
      <c r="L54" s="334">
        <f t="shared" si="19"/>
        <v>0.49221396181148874</v>
      </c>
      <c r="O54" s="338" t="str">
        <f t="shared" si="20"/>
        <v>South Carolina Electric &amp; Gas Co.</v>
      </c>
      <c r="P54" s="338" t="str">
        <f t="shared" si="20"/>
        <v>D</v>
      </c>
      <c r="Q54" s="340">
        <v>0.46203694295373543</v>
      </c>
      <c r="R54" s="340">
        <v>0.51329380633435162</v>
      </c>
      <c r="S54" s="340">
        <v>0.51475098673788433</v>
      </c>
      <c r="T54" s="340">
        <v>0.55115594009409807</v>
      </c>
      <c r="U54" s="340">
        <v>0.50370215707882304</v>
      </c>
      <c r="V54" s="340">
        <v>0.50563966621878842</v>
      </c>
      <c r="W54" s="340">
        <v>0.50699799607925922</v>
      </c>
      <c r="X54" s="340">
        <v>0.50461953781587876</v>
      </c>
      <c r="Y54" s="334">
        <f t="shared" si="21"/>
        <v>0.50777462916410232</v>
      </c>
      <c r="AB54" s="36" t="str">
        <f t="shared" si="22"/>
        <v>South Carolina Electric &amp; Gas Co.</v>
      </c>
      <c r="AC54" s="36" t="str">
        <f t="shared" si="22"/>
        <v>D</v>
      </c>
      <c r="AD54" s="339">
        <v>1.3805701865315991E-5</v>
      </c>
      <c r="AE54" s="339">
        <v>1.3142081009101549E-5</v>
      </c>
      <c r="AF54" s="339">
        <v>1.3179349330251826E-5</v>
      </c>
      <c r="AG54" s="339">
        <v>1.0853540908026768E-5</v>
      </c>
      <c r="AH54" s="339">
        <v>9.9189719183986021E-6</v>
      </c>
      <c r="AI54" s="339">
        <v>1.0054135487116832E-5</v>
      </c>
      <c r="AJ54" s="339">
        <v>1.0081098404222608E-5</v>
      </c>
      <c r="AK54" s="339">
        <v>1.0237316348943022E-5</v>
      </c>
      <c r="AL54" s="334">
        <f t="shared" si="23"/>
        <v>1.1409024408922149E-5</v>
      </c>
    </row>
    <row r="55" spans="2:38">
      <c r="B55" s="338" t="s">
        <v>1405</v>
      </c>
      <c r="C55" s="329" t="s">
        <v>983</v>
      </c>
      <c r="D55" s="339">
        <v>0.49402151349762918</v>
      </c>
      <c r="E55" s="339">
        <v>0.48764034930749484</v>
      </c>
      <c r="F55" s="339">
        <v>0.48693402583502116</v>
      </c>
      <c r="G55" s="339">
        <v>0.50960692407728059</v>
      </c>
      <c r="H55" s="339">
        <v>0.49965418108152515</v>
      </c>
      <c r="I55" s="339">
        <v>0.49227750931366288</v>
      </c>
      <c r="J55" s="339">
        <v>0.51117751175104242</v>
      </c>
      <c r="K55" s="339">
        <v>0.51021484806259432</v>
      </c>
      <c r="L55" s="334">
        <f t="shared" si="19"/>
        <v>0.4989408578657813</v>
      </c>
      <c r="O55" s="338" t="str">
        <f t="shared" si="20"/>
        <v>DTE Electric Company</v>
      </c>
      <c r="P55" s="338" t="str">
        <f t="shared" si="20"/>
        <v>DTE</v>
      </c>
      <c r="Q55" s="340">
        <v>0.50597848650237087</v>
      </c>
      <c r="R55" s="340">
        <v>0.51235965069250522</v>
      </c>
      <c r="S55" s="340">
        <v>0.5130659741649789</v>
      </c>
      <c r="T55" s="340">
        <v>0.49039307592271941</v>
      </c>
      <c r="U55" s="340">
        <v>0.50034581891847485</v>
      </c>
      <c r="V55" s="340">
        <v>0.50772249068633712</v>
      </c>
      <c r="W55" s="340">
        <v>0.48882248824895763</v>
      </c>
      <c r="X55" s="340">
        <v>0.48978515193740568</v>
      </c>
      <c r="Y55" s="334">
        <f t="shared" si="21"/>
        <v>0.50105914213421876</v>
      </c>
      <c r="AB55" s="36" t="str">
        <f t="shared" si="22"/>
        <v>DTE Electric Company</v>
      </c>
      <c r="AC55" s="36" t="str">
        <f t="shared" si="22"/>
        <v>DTE</v>
      </c>
      <c r="AD55" s="339">
        <v>0</v>
      </c>
      <c r="AE55" s="339">
        <v>0</v>
      </c>
      <c r="AF55" s="339">
        <v>0</v>
      </c>
      <c r="AG55" s="339">
        <v>0</v>
      </c>
      <c r="AH55" s="339">
        <v>0</v>
      </c>
      <c r="AI55" s="339">
        <v>0</v>
      </c>
      <c r="AJ55" s="339">
        <v>0</v>
      </c>
      <c r="AK55" s="339">
        <v>0</v>
      </c>
      <c r="AL55" s="334">
        <f t="shared" si="23"/>
        <v>0</v>
      </c>
    </row>
    <row r="56" spans="2:38">
      <c r="B56" s="338" t="s">
        <v>1406</v>
      </c>
      <c r="C56" s="329" t="s">
        <v>409</v>
      </c>
      <c r="D56" s="339">
        <v>0.51797012845346369</v>
      </c>
      <c r="E56" s="339">
        <v>0.52942693546191399</v>
      </c>
      <c r="F56" s="339">
        <v>0.52318960345042276</v>
      </c>
      <c r="G56" s="339">
        <v>0.51779684258142211</v>
      </c>
      <c r="H56" s="339">
        <v>0.52641209344403428</v>
      </c>
      <c r="I56" s="339">
        <v>0.52100792397616724</v>
      </c>
      <c r="J56" s="339">
        <v>0.51700804950425905</v>
      </c>
      <c r="K56" s="339">
        <v>0.52976010612833624</v>
      </c>
      <c r="L56" s="334">
        <f t="shared" si="19"/>
        <v>0.52282146037500243</v>
      </c>
      <c r="O56" s="338" t="str">
        <f t="shared" si="20"/>
        <v>Duke Energy Carolinas, LLC</v>
      </c>
      <c r="P56" s="338" t="str">
        <f t="shared" si="20"/>
        <v>DUK</v>
      </c>
      <c r="Q56" s="340">
        <v>0.48202987154653631</v>
      </c>
      <c r="R56" s="340">
        <v>0.47057306453808601</v>
      </c>
      <c r="S56" s="340">
        <v>0.47681039654957719</v>
      </c>
      <c r="T56" s="340">
        <v>0.48220315741857794</v>
      </c>
      <c r="U56" s="340">
        <v>0.47358790655596572</v>
      </c>
      <c r="V56" s="340">
        <v>0.47899207602383276</v>
      </c>
      <c r="W56" s="340">
        <v>0.4829919504957409</v>
      </c>
      <c r="X56" s="340">
        <v>0.47023989387166376</v>
      </c>
      <c r="Y56" s="334">
        <f t="shared" si="21"/>
        <v>0.47717853962499757</v>
      </c>
      <c r="AB56" s="36" t="str">
        <f t="shared" si="22"/>
        <v>Duke Energy Carolinas, LLC</v>
      </c>
      <c r="AC56" s="36" t="str">
        <f t="shared" si="22"/>
        <v>DUK</v>
      </c>
      <c r="AD56" s="339">
        <v>0</v>
      </c>
      <c r="AE56" s="339">
        <v>0</v>
      </c>
      <c r="AF56" s="339">
        <v>0</v>
      </c>
      <c r="AG56" s="339">
        <v>0</v>
      </c>
      <c r="AH56" s="339">
        <v>0</v>
      </c>
      <c r="AI56" s="339">
        <v>0</v>
      </c>
      <c r="AJ56" s="339">
        <v>0</v>
      </c>
      <c r="AK56" s="339">
        <v>0</v>
      </c>
      <c r="AL56" s="334">
        <f t="shared" si="23"/>
        <v>0</v>
      </c>
    </row>
    <row r="57" spans="2:38">
      <c r="B57" s="338" t="s">
        <v>1407</v>
      </c>
      <c r="C57" s="329" t="s">
        <v>409</v>
      </c>
      <c r="D57" s="339">
        <v>0.5281986396159184</v>
      </c>
      <c r="E57" s="339">
        <v>0.5155194712925667</v>
      </c>
      <c r="F57" s="339">
        <v>0.50555905468797457</v>
      </c>
      <c r="G57" s="339">
        <v>0.50038325977743203</v>
      </c>
      <c r="H57" s="339">
        <v>0.4965259114028675</v>
      </c>
      <c r="I57" s="339">
        <v>0.48785823609415235</v>
      </c>
      <c r="J57" s="339">
        <v>0.49924724111994889</v>
      </c>
      <c r="K57" s="339">
        <v>0.49245744630494198</v>
      </c>
      <c r="L57" s="334">
        <f t="shared" si="19"/>
        <v>0.50321865753697537</v>
      </c>
      <c r="O57" s="338" t="str">
        <f t="shared" si="20"/>
        <v>Duke Energy Florida, LLC</v>
      </c>
      <c r="P57" s="338" t="str">
        <f t="shared" si="20"/>
        <v>DUK</v>
      </c>
      <c r="Q57" s="340">
        <v>0.47180136038408166</v>
      </c>
      <c r="R57" s="340">
        <v>0.4844805287074333</v>
      </c>
      <c r="S57" s="340">
        <v>0.49444094531202543</v>
      </c>
      <c r="T57" s="340">
        <v>0.49961674022256802</v>
      </c>
      <c r="U57" s="340">
        <v>0.5034740885971325</v>
      </c>
      <c r="V57" s="340">
        <v>0.51214176390584765</v>
      </c>
      <c r="W57" s="340">
        <v>0.50075275888005111</v>
      </c>
      <c r="X57" s="340">
        <v>0.50754255369505796</v>
      </c>
      <c r="Y57" s="334">
        <f t="shared" si="21"/>
        <v>0.49678134246302474</v>
      </c>
      <c r="AB57" s="36" t="str">
        <f t="shared" si="22"/>
        <v>Duke Energy Florida, LLC</v>
      </c>
      <c r="AC57" s="36" t="str">
        <f t="shared" si="22"/>
        <v>DUK</v>
      </c>
      <c r="AD57" s="339">
        <v>0</v>
      </c>
      <c r="AE57" s="339">
        <v>0</v>
      </c>
      <c r="AF57" s="339">
        <v>0</v>
      </c>
      <c r="AG57" s="339">
        <v>0</v>
      </c>
      <c r="AH57" s="339">
        <v>0</v>
      </c>
      <c r="AI57" s="339">
        <v>0</v>
      </c>
      <c r="AJ57" s="339">
        <v>0</v>
      </c>
      <c r="AK57" s="339">
        <v>0</v>
      </c>
      <c r="AL57" s="334">
        <f t="shared" si="23"/>
        <v>0</v>
      </c>
    </row>
    <row r="58" spans="2:38">
      <c r="B58" s="338" t="s">
        <v>1408</v>
      </c>
      <c r="C58" s="329" t="s">
        <v>409</v>
      </c>
      <c r="D58" s="339">
        <v>0.51518510422719765</v>
      </c>
      <c r="E58" s="339">
        <v>0.54827735428248059</v>
      </c>
      <c r="F58" s="339">
        <v>0.54292019209369358</v>
      </c>
      <c r="G58" s="339">
        <v>0.53261615967102016</v>
      </c>
      <c r="H58" s="339">
        <v>0.52793469508031643</v>
      </c>
      <c r="I58" s="339">
        <v>0.52644842655443902</v>
      </c>
      <c r="J58" s="339">
        <v>0.52540099959936948</v>
      </c>
      <c r="K58" s="339">
        <v>0.51944374199610088</v>
      </c>
      <c r="L58" s="334">
        <f t="shared" si="19"/>
        <v>0.52977833418807718</v>
      </c>
      <c r="O58" s="338" t="str">
        <f t="shared" si="20"/>
        <v>Duke Energy Indiana, LLC</v>
      </c>
      <c r="P58" s="338" t="str">
        <f t="shared" si="20"/>
        <v>DUK</v>
      </c>
      <c r="Q58" s="340">
        <v>0.48481489577280229</v>
      </c>
      <c r="R58" s="340">
        <v>0.45172264571751941</v>
      </c>
      <c r="S58" s="340">
        <v>0.45707980790630637</v>
      </c>
      <c r="T58" s="340">
        <v>0.46738384032897984</v>
      </c>
      <c r="U58" s="340">
        <v>0.47206530491968357</v>
      </c>
      <c r="V58" s="340">
        <v>0.47355157344556104</v>
      </c>
      <c r="W58" s="340">
        <v>0.47459900040063052</v>
      </c>
      <c r="X58" s="340">
        <v>0.48055625800389912</v>
      </c>
      <c r="Y58" s="334">
        <f t="shared" si="21"/>
        <v>0.47022166581192276</v>
      </c>
      <c r="AB58" s="36" t="str">
        <f t="shared" si="22"/>
        <v>Duke Energy Indiana, LLC</v>
      </c>
      <c r="AC58" s="36" t="str">
        <f t="shared" si="22"/>
        <v>DUK</v>
      </c>
      <c r="AD58" s="339">
        <v>0</v>
      </c>
      <c r="AE58" s="339">
        <v>0</v>
      </c>
      <c r="AF58" s="339">
        <v>0</v>
      </c>
      <c r="AG58" s="339">
        <v>0</v>
      </c>
      <c r="AH58" s="339">
        <v>0</v>
      </c>
      <c r="AI58" s="339">
        <v>0</v>
      </c>
      <c r="AJ58" s="339">
        <v>0</v>
      </c>
      <c r="AK58" s="339">
        <v>0</v>
      </c>
      <c r="AL58" s="334">
        <f t="shared" si="23"/>
        <v>0</v>
      </c>
    </row>
    <row r="59" spans="2:38">
      <c r="B59" s="338" t="s">
        <v>1409</v>
      </c>
      <c r="C59" s="329" t="s">
        <v>409</v>
      </c>
      <c r="D59" s="339">
        <v>0.45436945515617633</v>
      </c>
      <c r="E59" s="339">
        <v>0.53036180056390037</v>
      </c>
      <c r="F59" s="339">
        <v>0.52805998452807201</v>
      </c>
      <c r="G59" s="339">
        <v>0.51949237826793471</v>
      </c>
      <c r="H59" s="339">
        <v>0.56579707914769206</v>
      </c>
      <c r="I59" s="339">
        <v>0.55789453067619843</v>
      </c>
      <c r="J59" s="339">
        <v>0.53722779929904119</v>
      </c>
      <c r="K59" s="339">
        <v>0.53114828331841224</v>
      </c>
      <c r="L59" s="334">
        <f t="shared" si="19"/>
        <v>0.52804391386967842</v>
      </c>
      <c r="O59" s="338" t="str">
        <f t="shared" si="20"/>
        <v>Duke Energy Kentucky, Inc.</v>
      </c>
      <c r="P59" s="338" t="str">
        <f t="shared" si="20"/>
        <v>DUK</v>
      </c>
      <c r="Q59" s="340">
        <v>0.54563054484382367</v>
      </c>
      <c r="R59" s="340">
        <v>0.46963819943609969</v>
      </c>
      <c r="S59" s="340">
        <v>0.47194001547192804</v>
      </c>
      <c r="T59" s="340">
        <v>0.48050762173206529</v>
      </c>
      <c r="U59" s="340">
        <v>0.43420292085230799</v>
      </c>
      <c r="V59" s="340">
        <v>0.44210546932380157</v>
      </c>
      <c r="W59" s="340">
        <v>0.46277220070095876</v>
      </c>
      <c r="X59" s="340">
        <v>0.4688517166815877</v>
      </c>
      <c r="Y59" s="334">
        <f t="shared" si="21"/>
        <v>0.47195608613032164</v>
      </c>
      <c r="AB59" s="36" t="str">
        <f t="shared" si="22"/>
        <v>Duke Energy Kentucky, Inc.</v>
      </c>
      <c r="AC59" s="36" t="str">
        <f t="shared" si="22"/>
        <v>DUK</v>
      </c>
      <c r="AD59" s="339">
        <v>0</v>
      </c>
      <c r="AE59" s="339">
        <v>0</v>
      </c>
      <c r="AF59" s="339">
        <v>0</v>
      </c>
      <c r="AG59" s="339">
        <v>0</v>
      </c>
      <c r="AH59" s="339">
        <v>0</v>
      </c>
      <c r="AI59" s="339">
        <v>0</v>
      </c>
      <c r="AJ59" s="339">
        <v>0</v>
      </c>
      <c r="AK59" s="339">
        <v>0</v>
      </c>
      <c r="AL59" s="334">
        <f t="shared" si="23"/>
        <v>0</v>
      </c>
    </row>
    <row r="60" spans="2:38">
      <c r="B60" s="338" t="s">
        <v>1410</v>
      </c>
      <c r="C60" s="329" t="s">
        <v>409</v>
      </c>
      <c r="D60" s="339">
        <v>0.64901589068766397</v>
      </c>
      <c r="E60" s="339">
        <v>0.64453629632357223</v>
      </c>
      <c r="F60" s="339">
        <v>0.59286669239660206</v>
      </c>
      <c r="G60" s="339">
        <v>0.68090231442910143</v>
      </c>
      <c r="H60" s="339">
        <v>0.67725196933120391</v>
      </c>
      <c r="I60" s="339">
        <v>0.67097449254243513</v>
      </c>
      <c r="J60" s="339">
        <v>0.66059108350906248</v>
      </c>
      <c r="K60" s="339">
        <v>0.66242245973123204</v>
      </c>
      <c r="L60" s="334">
        <f t="shared" si="19"/>
        <v>0.65482014986885917</v>
      </c>
      <c r="O60" s="338" t="str">
        <f t="shared" si="20"/>
        <v>Duke Energy Ohio, Inc.</v>
      </c>
      <c r="P60" s="338" t="str">
        <f t="shared" si="20"/>
        <v>DUK</v>
      </c>
      <c r="Q60" s="340">
        <v>0.35098410931233603</v>
      </c>
      <c r="R60" s="340">
        <v>0.35546370367642771</v>
      </c>
      <c r="S60" s="340">
        <v>0.40713330760339789</v>
      </c>
      <c r="T60" s="340">
        <v>0.31909768557089857</v>
      </c>
      <c r="U60" s="340">
        <v>0.32274803066879609</v>
      </c>
      <c r="V60" s="340">
        <v>0.32902550745756481</v>
      </c>
      <c r="W60" s="340">
        <v>0.33940891649093752</v>
      </c>
      <c r="X60" s="340">
        <v>0.33757754026876802</v>
      </c>
      <c r="Y60" s="334">
        <f t="shared" si="21"/>
        <v>0.34517985013114083</v>
      </c>
      <c r="AB60" s="36" t="str">
        <f t="shared" si="22"/>
        <v>Duke Energy Ohio, Inc.</v>
      </c>
      <c r="AC60" s="36" t="str">
        <f t="shared" si="22"/>
        <v>DUK</v>
      </c>
      <c r="AD60" s="339">
        <v>0</v>
      </c>
      <c r="AE60" s="339">
        <v>0</v>
      </c>
      <c r="AF60" s="339">
        <v>0</v>
      </c>
      <c r="AG60" s="339">
        <v>0</v>
      </c>
      <c r="AH60" s="339">
        <v>0</v>
      </c>
      <c r="AI60" s="339">
        <v>0</v>
      </c>
      <c r="AJ60" s="339">
        <v>0</v>
      </c>
      <c r="AK60" s="339">
        <v>0</v>
      </c>
      <c r="AL60" s="334">
        <f t="shared" si="23"/>
        <v>0</v>
      </c>
    </row>
    <row r="61" spans="2:38">
      <c r="B61" s="338" t="s">
        <v>1411</v>
      </c>
      <c r="C61" s="329" t="s">
        <v>409</v>
      </c>
      <c r="D61" s="339">
        <v>0.50855139905529045</v>
      </c>
      <c r="E61" s="339">
        <v>0.50086222282852744</v>
      </c>
      <c r="F61" s="339">
        <v>0.49603614590940853</v>
      </c>
      <c r="G61" s="339">
        <v>0.51004726893136565</v>
      </c>
      <c r="H61" s="339">
        <v>0.50760456854628189</v>
      </c>
      <c r="I61" s="339">
        <v>0.53223196626305247</v>
      </c>
      <c r="J61" s="339">
        <v>0.52823152443036003</v>
      </c>
      <c r="K61" s="339">
        <v>0.52273351429741644</v>
      </c>
      <c r="L61" s="334">
        <f t="shared" si="19"/>
        <v>0.5132873262827129</v>
      </c>
      <c r="O61" s="338" t="str">
        <f t="shared" si="20"/>
        <v>Duke Energy Progress, LLC</v>
      </c>
      <c r="P61" s="338" t="str">
        <f t="shared" si="20"/>
        <v>DUK</v>
      </c>
      <c r="Q61" s="340">
        <v>0.4914486009447096</v>
      </c>
      <c r="R61" s="340">
        <v>0.49913777717147256</v>
      </c>
      <c r="S61" s="340">
        <v>0.50396385409059152</v>
      </c>
      <c r="T61" s="340">
        <v>0.48995273106863435</v>
      </c>
      <c r="U61" s="340">
        <v>0.49239543145371811</v>
      </c>
      <c r="V61" s="340">
        <v>0.46776803373694753</v>
      </c>
      <c r="W61" s="340">
        <v>0.47176847556964002</v>
      </c>
      <c r="X61" s="340">
        <v>0.47726648570258356</v>
      </c>
      <c r="Y61" s="334">
        <f t="shared" si="21"/>
        <v>0.48671267371728716</v>
      </c>
      <c r="AB61" s="36" t="str">
        <f t="shared" si="22"/>
        <v>Duke Energy Progress, LLC</v>
      </c>
      <c r="AC61" s="36" t="str">
        <f t="shared" si="22"/>
        <v>DUK</v>
      </c>
      <c r="AD61" s="339">
        <v>0</v>
      </c>
      <c r="AE61" s="339">
        <v>0</v>
      </c>
      <c r="AF61" s="339">
        <v>0</v>
      </c>
      <c r="AG61" s="339">
        <v>0</v>
      </c>
      <c r="AH61" s="339">
        <v>0</v>
      </c>
      <c r="AI61" s="339">
        <v>0</v>
      </c>
      <c r="AJ61" s="339">
        <v>0</v>
      </c>
      <c r="AK61" s="339">
        <v>0</v>
      </c>
      <c r="AL61" s="334">
        <f t="shared" si="23"/>
        <v>0</v>
      </c>
    </row>
    <row r="62" spans="2:38">
      <c r="B62" s="338" t="s">
        <v>1412</v>
      </c>
      <c r="C62" s="329" t="s">
        <v>423</v>
      </c>
      <c r="D62" s="339">
        <v>0.47716135577974073</v>
      </c>
      <c r="E62" s="339">
        <v>0.46490058404022305</v>
      </c>
      <c r="F62" s="339">
        <v>0.4703687813322574</v>
      </c>
      <c r="G62" s="339">
        <v>0.49416447529229895</v>
      </c>
      <c r="H62" s="339">
        <v>0.49128421979317682</v>
      </c>
      <c r="I62" s="339">
        <v>0.48030488623326717</v>
      </c>
      <c r="J62" s="339">
        <v>0.45604671876795772</v>
      </c>
      <c r="K62" s="339">
        <v>0.45671822484593078</v>
      </c>
      <c r="L62" s="334">
        <f t="shared" si="19"/>
        <v>0.47386865576060655</v>
      </c>
      <c r="O62" s="338" t="str">
        <f t="shared" si="20"/>
        <v>Entergy Arkansas, Inc.</v>
      </c>
      <c r="P62" s="338" t="str">
        <f t="shared" si="20"/>
        <v>ETR</v>
      </c>
      <c r="Q62" s="340">
        <v>0.52283864422025927</v>
      </c>
      <c r="R62" s="340">
        <v>0.53509941595977695</v>
      </c>
      <c r="S62" s="340">
        <v>0.52963121866774254</v>
      </c>
      <c r="T62" s="340">
        <v>0.5058355247077011</v>
      </c>
      <c r="U62" s="340">
        <v>0.50353578230195473</v>
      </c>
      <c r="V62" s="340">
        <v>0.51440206724279547</v>
      </c>
      <c r="W62" s="340">
        <v>0.5380272382484772</v>
      </c>
      <c r="X62" s="340">
        <v>0.53725736620911901</v>
      </c>
      <c r="Y62" s="334">
        <f t="shared" si="21"/>
        <v>0.52332840719472828</v>
      </c>
      <c r="AB62" s="36" t="str">
        <f t="shared" si="22"/>
        <v>Entergy Arkansas, Inc.</v>
      </c>
      <c r="AC62" s="36" t="str">
        <f t="shared" si="22"/>
        <v>ETR</v>
      </c>
      <c r="AD62" s="339">
        <v>0</v>
      </c>
      <c r="AE62" s="339">
        <v>0</v>
      </c>
      <c r="AF62" s="339">
        <v>0</v>
      </c>
      <c r="AG62" s="339">
        <v>0</v>
      </c>
      <c r="AH62" s="339">
        <v>5.1799979048684714E-3</v>
      </c>
      <c r="AI62" s="339">
        <v>5.2930465239373172E-3</v>
      </c>
      <c r="AJ62" s="339">
        <v>5.9260429835651073E-3</v>
      </c>
      <c r="AK62" s="339">
        <v>6.0244089449501617E-3</v>
      </c>
      <c r="AL62" s="334">
        <f t="shared" si="23"/>
        <v>2.802937044665132E-3</v>
      </c>
    </row>
    <row r="63" spans="2:38">
      <c r="B63" s="338" t="s">
        <v>1413</v>
      </c>
      <c r="C63" s="329" t="s">
        <v>423</v>
      </c>
      <c r="D63" s="339">
        <v>0.47130726576588183</v>
      </c>
      <c r="E63" s="339">
        <v>0.46323287998630297</v>
      </c>
      <c r="F63" s="339">
        <v>0.45792353718674378</v>
      </c>
      <c r="G63" s="339">
        <v>0.47371879739220102</v>
      </c>
      <c r="H63" s="339">
        <v>0.46769455870758753</v>
      </c>
      <c r="I63" s="339">
        <v>0.46972077852805533</v>
      </c>
      <c r="J63" s="339">
        <v>0.44578093188411116</v>
      </c>
      <c r="K63" s="339">
        <v>0.4742827765682725</v>
      </c>
      <c r="L63" s="334">
        <f t="shared" si="19"/>
        <v>0.46545769075239452</v>
      </c>
      <c r="O63" s="338" t="str">
        <f t="shared" si="20"/>
        <v>Entergy Louisiana, LLC</v>
      </c>
      <c r="P63" s="338" t="str">
        <f t="shared" si="20"/>
        <v>ETR</v>
      </c>
      <c r="Q63" s="340">
        <v>0.52869273423411822</v>
      </c>
      <c r="R63" s="340">
        <v>0.53676712001369697</v>
      </c>
      <c r="S63" s="340">
        <v>0.54207646281325628</v>
      </c>
      <c r="T63" s="340">
        <v>0.52628120260779898</v>
      </c>
      <c r="U63" s="340">
        <v>0.53230544129241253</v>
      </c>
      <c r="V63" s="340">
        <v>0.53027922147194473</v>
      </c>
      <c r="W63" s="340">
        <v>0.55421906811588884</v>
      </c>
      <c r="X63" s="340">
        <v>0.52571722343172755</v>
      </c>
      <c r="Y63" s="334">
        <f t="shared" si="21"/>
        <v>0.53454230924760548</v>
      </c>
      <c r="AB63" s="36" t="str">
        <f t="shared" si="22"/>
        <v>Entergy Louisiana, LLC</v>
      </c>
      <c r="AC63" s="36" t="str">
        <f t="shared" si="22"/>
        <v>ETR</v>
      </c>
      <c r="AD63" s="339">
        <v>0</v>
      </c>
      <c r="AE63" s="339">
        <v>0</v>
      </c>
      <c r="AF63" s="339">
        <v>0</v>
      </c>
      <c r="AG63" s="339">
        <v>0</v>
      </c>
      <c r="AH63" s="339">
        <v>0</v>
      </c>
      <c r="AI63" s="339">
        <v>0</v>
      </c>
      <c r="AJ63" s="339">
        <v>0</v>
      </c>
      <c r="AK63" s="339">
        <v>0</v>
      </c>
      <c r="AL63" s="334">
        <f t="shared" si="23"/>
        <v>0</v>
      </c>
    </row>
    <row r="64" spans="2:38">
      <c r="B64" s="338" t="s">
        <v>1414</v>
      </c>
      <c r="C64" s="329" t="s">
        <v>423</v>
      </c>
      <c r="D64" s="339">
        <v>0.48352518053155752</v>
      </c>
      <c r="E64" s="339">
        <v>0.44933126879101692</v>
      </c>
      <c r="F64" s="339">
        <v>0.49406255466760773</v>
      </c>
      <c r="G64" s="339">
        <v>0.49110950814787563</v>
      </c>
      <c r="H64" s="339">
        <v>0.49703507930362734</v>
      </c>
      <c r="I64" s="339">
        <v>0.48705514345288986</v>
      </c>
      <c r="J64" s="339">
        <v>0.47928050074618461</v>
      </c>
      <c r="K64" s="339">
        <v>0.47454630060493252</v>
      </c>
      <c r="L64" s="334">
        <f t="shared" si="19"/>
        <v>0.4819931920307115</v>
      </c>
      <c r="O64" s="338" t="str">
        <f t="shared" si="20"/>
        <v>Entergy Mississippi, Inc.</v>
      </c>
      <c r="P64" s="338" t="str">
        <f t="shared" si="20"/>
        <v>ETR</v>
      </c>
      <c r="Q64" s="340">
        <v>0.51647481946844254</v>
      </c>
      <c r="R64" s="340">
        <v>0.55066873120898308</v>
      </c>
      <c r="S64" s="340">
        <v>0.50593744533239227</v>
      </c>
      <c r="T64" s="340">
        <v>0.50889049185212432</v>
      </c>
      <c r="U64" s="340">
        <v>0.49510589498265545</v>
      </c>
      <c r="V64" s="340">
        <v>0.50492963230094867</v>
      </c>
      <c r="W64" s="340">
        <v>0.51258253345055105</v>
      </c>
      <c r="X64" s="340">
        <v>0.51724249071852613</v>
      </c>
      <c r="Y64" s="334">
        <f t="shared" si="21"/>
        <v>0.51397900491432791</v>
      </c>
      <c r="AB64" s="36" t="str">
        <f t="shared" si="22"/>
        <v>Entergy Mississippi, Inc.</v>
      </c>
      <c r="AC64" s="36" t="str">
        <f t="shared" si="22"/>
        <v>ETR</v>
      </c>
      <c r="AD64" s="339">
        <v>0</v>
      </c>
      <c r="AE64" s="339">
        <v>0</v>
      </c>
      <c r="AF64" s="339">
        <v>0</v>
      </c>
      <c r="AG64" s="339">
        <v>0</v>
      </c>
      <c r="AH64" s="339">
        <v>7.8590257137172211E-3</v>
      </c>
      <c r="AI64" s="339">
        <v>8.0152242461614936E-3</v>
      </c>
      <c r="AJ64" s="339">
        <v>8.1369658032643677E-3</v>
      </c>
      <c r="AK64" s="339">
        <v>8.21120867654139E-3</v>
      </c>
      <c r="AL64" s="334">
        <f t="shared" si="23"/>
        <v>4.0278030549605586E-3</v>
      </c>
    </row>
    <row r="65" spans="2:38">
      <c r="B65" s="338" t="s">
        <v>1529</v>
      </c>
      <c r="C65" s="329" t="s">
        <v>423</v>
      </c>
      <c r="D65" s="339">
        <v>0.50330499699173648</v>
      </c>
      <c r="E65" s="339">
        <v>0.49018529326553661</v>
      </c>
      <c r="F65" s="339">
        <v>0.48001019289310043</v>
      </c>
      <c r="G65" s="339">
        <v>0.47913431697919784</v>
      </c>
      <c r="H65" s="339">
        <v>0.47365208806693465</v>
      </c>
      <c r="I65" s="339">
        <v>0.49907423949586655</v>
      </c>
      <c r="J65" s="339">
        <v>0.49019161781433196</v>
      </c>
      <c r="K65" s="339">
        <v>0.48749322515479493</v>
      </c>
      <c r="L65" s="334">
        <f t="shared" si="19"/>
        <v>0.48788074633268741</v>
      </c>
      <c r="O65" s="338" t="str">
        <f t="shared" si="20"/>
        <v>Entergy New Orleans, LLC</v>
      </c>
      <c r="P65" s="338" t="str">
        <f t="shared" si="20"/>
        <v>ETR</v>
      </c>
      <c r="Q65" s="340">
        <v>0.49669500300826352</v>
      </c>
      <c r="R65" s="340">
        <v>0.50981470673446339</v>
      </c>
      <c r="S65" s="340">
        <v>0.51998980710689957</v>
      </c>
      <c r="T65" s="340">
        <v>0.52086568302080216</v>
      </c>
      <c r="U65" s="340">
        <v>0.5263479119330654</v>
      </c>
      <c r="V65" s="340">
        <v>0.5009257605041334</v>
      </c>
      <c r="W65" s="340">
        <v>0.50980838218566804</v>
      </c>
      <c r="X65" s="340">
        <v>0.51250677484520502</v>
      </c>
      <c r="Y65" s="334">
        <f t="shared" si="21"/>
        <v>0.51211925366731259</v>
      </c>
      <c r="AB65" s="36" t="str">
        <f t="shared" si="22"/>
        <v>Entergy New Orleans, LLC</v>
      </c>
      <c r="AC65" s="36" t="str">
        <f t="shared" si="22"/>
        <v>ETR</v>
      </c>
      <c r="AD65" s="339">
        <v>0</v>
      </c>
      <c r="AE65" s="339">
        <v>0</v>
      </c>
      <c r="AF65" s="339">
        <v>0</v>
      </c>
      <c r="AG65" s="339">
        <v>0</v>
      </c>
      <c r="AH65" s="339">
        <v>0</v>
      </c>
      <c r="AI65" s="339">
        <v>0</v>
      </c>
      <c r="AJ65" s="339">
        <v>0</v>
      </c>
      <c r="AK65" s="339">
        <v>0</v>
      </c>
      <c r="AL65" s="334">
        <f t="shared" si="23"/>
        <v>0</v>
      </c>
    </row>
    <row r="66" spans="2:38">
      <c r="B66" s="338" t="s">
        <v>1415</v>
      </c>
      <c r="C66" s="329" t="s">
        <v>423</v>
      </c>
      <c r="D66" s="339">
        <v>0.48132565495433399</v>
      </c>
      <c r="E66" s="339">
        <v>0.50789322691421668</v>
      </c>
      <c r="F66" s="339">
        <v>0.50125057112423632</v>
      </c>
      <c r="G66" s="339">
        <v>0.53463807702094757</v>
      </c>
      <c r="H66" s="339">
        <v>0.52606709096999571</v>
      </c>
      <c r="I66" s="339">
        <v>0.51379700355410685</v>
      </c>
      <c r="J66" s="339">
        <v>0.50787039558502511</v>
      </c>
      <c r="K66" s="339">
        <v>0.50447704072952126</v>
      </c>
      <c r="L66" s="334">
        <f t="shared" si="19"/>
        <v>0.50966488260654796</v>
      </c>
      <c r="O66" s="338" t="str">
        <f t="shared" si="20"/>
        <v>Entergy Texas, Inc.</v>
      </c>
      <c r="P66" s="338" t="str">
        <f t="shared" si="20"/>
        <v>ETR</v>
      </c>
      <c r="Q66" s="340">
        <v>0.5084144858797941</v>
      </c>
      <c r="R66" s="340">
        <v>0.49210677308578327</v>
      </c>
      <c r="S66" s="340">
        <v>0.49874942887576362</v>
      </c>
      <c r="T66" s="340">
        <v>0.46536192297905243</v>
      </c>
      <c r="U66" s="340">
        <v>0.47393290903000429</v>
      </c>
      <c r="V66" s="340">
        <v>0.48620299644589315</v>
      </c>
      <c r="W66" s="340">
        <v>0.49212960441497489</v>
      </c>
      <c r="X66" s="340">
        <v>0.49552295927047874</v>
      </c>
      <c r="Y66" s="334">
        <f t="shared" si="21"/>
        <v>0.48905263499771812</v>
      </c>
      <c r="AB66" s="36" t="str">
        <f t="shared" si="22"/>
        <v>Entergy Texas, Inc.</v>
      </c>
      <c r="AC66" s="36" t="str">
        <f t="shared" si="22"/>
        <v>ETR</v>
      </c>
      <c r="AD66" s="339">
        <v>1.0259859165871925E-2</v>
      </c>
      <c r="AE66" s="339">
        <v>0</v>
      </c>
      <c r="AF66" s="339">
        <v>0</v>
      </c>
      <c r="AG66" s="339">
        <v>0</v>
      </c>
      <c r="AH66" s="339">
        <v>0</v>
      </c>
      <c r="AI66" s="339">
        <v>0</v>
      </c>
      <c r="AJ66" s="339">
        <v>0</v>
      </c>
      <c r="AK66" s="339">
        <v>0</v>
      </c>
      <c r="AL66" s="334">
        <f t="shared" si="23"/>
        <v>1.2824823957339907E-3</v>
      </c>
    </row>
    <row r="67" spans="2:38">
      <c r="B67" s="338" t="s">
        <v>1416</v>
      </c>
      <c r="C67" s="329" t="s">
        <v>1034</v>
      </c>
      <c r="D67" s="339">
        <v>0.50425805198800722</v>
      </c>
      <c r="E67" s="339">
        <v>0.4962290696773613</v>
      </c>
      <c r="F67" s="339">
        <v>0.46036375973701466</v>
      </c>
      <c r="G67" s="339">
        <v>0.4949080054657608</v>
      </c>
      <c r="H67" s="339">
        <v>0.49504484239524849</v>
      </c>
      <c r="I67" s="339">
        <v>0.48884670166197586</v>
      </c>
      <c r="J67" s="339">
        <v>0.49247094207924436</v>
      </c>
      <c r="K67" s="339">
        <v>0.49149826390386048</v>
      </c>
      <c r="L67" s="334">
        <f t="shared" si="19"/>
        <v>0.49045245461355913</v>
      </c>
      <c r="O67" s="338" t="str">
        <f t="shared" si="20"/>
        <v>Kansas City Power &amp; Light Company</v>
      </c>
      <c r="P67" s="338" t="str">
        <f t="shared" si="20"/>
        <v>EVRG</v>
      </c>
      <c r="Q67" s="340">
        <v>0.49574194801199273</v>
      </c>
      <c r="R67" s="340">
        <v>0.50377093032263864</v>
      </c>
      <c r="S67" s="340">
        <v>0.5396362402629854</v>
      </c>
      <c r="T67" s="340">
        <v>0.50509199453423925</v>
      </c>
      <c r="U67" s="340">
        <v>0.50495515760475151</v>
      </c>
      <c r="V67" s="340">
        <v>0.51115329833802414</v>
      </c>
      <c r="W67" s="340">
        <v>0.50752905792075564</v>
      </c>
      <c r="X67" s="340">
        <v>0.50850173609613947</v>
      </c>
      <c r="Y67" s="334">
        <f t="shared" si="21"/>
        <v>0.50954754538644087</v>
      </c>
      <c r="AB67" s="36" t="str">
        <f t="shared" si="22"/>
        <v>Kansas City Power &amp; Light Company</v>
      </c>
      <c r="AC67" s="36" t="str">
        <f t="shared" si="22"/>
        <v>EVRG</v>
      </c>
      <c r="AD67" s="339">
        <v>0</v>
      </c>
      <c r="AE67" s="339">
        <v>0</v>
      </c>
      <c r="AF67" s="339">
        <v>0</v>
      </c>
      <c r="AG67" s="339">
        <v>0</v>
      </c>
      <c r="AH67" s="339">
        <v>0</v>
      </c>
      <c r="AI67" s="339">
        <v>0</v>
      </c>
      <c r="AJ67" s="339">
        <v>0</v>
      </c>
      <c r="AK67" s="339">
        <v>0</v>
      </c>
      <c r="AL67" s="334">
        <f t="shared" si="23"/>
        <v>0</v>
      </c>
    </row>
    <row r="68" spans="2:38">
      <c r="B68" s="338" t="s">
        <v>1417</v>
      </c>
      <c r="C68" s="329" t="s">
        <v>1034</v>
      </c>
      <c r="D68" s="339">
        <v>0.81842465353029947</v>
      </c>
      <c r="E68" s="339">
        <v>0.81488827845296063</v>
      </c>
      <c r="F68" s="339">
        <v>0.75125430195530962</v>
      </c>
      <c r="G68" s="339">
        <v>0.74965847646207917</v>
      </c>
      <c r="H68" s="339">
        <v>0.74906084368210279</v>
      </c>
      <c r="I68" s="339">
        <v>0.74448862458008691</v>
      </c>
      <c r="J68" s="339">
        <v>0.7429415713111206</v>
      </c>
      <c r="K68" s="339">
        <v>0.74179499980185171</v>
      </c>
      <c r="L68" s="334">
        <f t="shared" si="19"/>
        <v>0.76406396872197635</v>
      </c>
      <c r="O68" s="338" t="str">
        <f t="shared" si="20"/>
        <v>Kansas Gas and Electric Company</v>
      </c>
      <c r="P68" s="338" t="str">
        <f t="shared" si="20"/>
        <v>EVRG</v>
      </c>
      <c r="Q68" s="340">
        <v>0.18157534646970055</v>
      </c>
      <c r="R68" s="340">
        <v>0.18511172154703937</v>
      </c>
      <c r="S68" s="340">
        <v>0.24874569804469038</v>
      </c>
      <c r="T68" s="340">
        <v>0.25034152353792083</v>
      </c>
      <c r="U68" s="340">
        <v>0.25093915631789726</v>
      </c>
      <c r="V68" s="340">
        <v>0.25551137541991309</v>
      </c>
      <c r="W68" s="340">
        <v>0.25705842868887946</v>
      </c>
      <c r="X68" s="340">
        <v>0.25820500019814824</v>
      </c>
      <c r="Y68" s="334">
        <f t="shared" si="21"/>
        <v>0.23593603127802365</v>
      </c>
      <c r="AB68" s="36" t="str">
        <f t="shared" si="22"/>
        <v>Kansas Gas and Electric Company</v>
      </c>
      <c r="AC68" s="36" t="str">
        <f t="shared" si="22"/>
        <v>EVRG</v>
      </c>
      <c r="AD68" s="339">
        <v>0</v>
      </c>
      <c r="AE68" s="339">
        <v>0</v>
      </c>
      <c r="AF68" s="339">
        <v>0</v>
      </c>
      <c r="AG68" s="339">
        <v>0</v>
      </c>
      <c r="AH68" s="339">
        <v>0</v>
      </c>
      <c r="AI68" s="339">
        <v>0</v>
      </c>
      <c r="AJ68" s="339">
        <v>0</v>
      </c>
      <c r="AK68" s="339">
        <v>0</v>
      </c>
      <c r="AL68" s="334">
        <f t="shared" si="23"/>
        <v>0</v>
      </c>
    </row>
    <row r="69" spans="2:38">
      <c r="B69" s="338" t="s">
        <v>1418</v>
      </c>
      <c r="C69" s="329" t="s">
        <v>1034</v>
      </c>
      <c r="D69" s="339">
        <v>0.51183782668338129</v>
      </c>
      <c r="E69" s="339">
        <v>0.51738900282739242</v>
      </c>
      <c r="F69" s="339">
        <v>0.5267899551547377</v>
      </c>
      <c r="G69" s="339">
        <v>0.54714336600795732</v>
      </c>
      <c r="H69" s="339">
        <v>0.55695485920535626</v>
      </c>
      <c r="I69" s="339">
        <v>0.52029805058876188</v>
      </c>
      <c r="J69" s="339">
        <v>0.52632835716072845</v>
      </c>
      <c r="K69" s="339">
        <v>0.52399776328446435</v>
      </c>
      <c r="L69" s="334">
        <f t="shared" si="19"/>
        <v>0.52884239761409746</v>
      </c>
      <c r="O69" s="338" t="str">
        <f t="shared" si="20"/>
        <v>KCP&amp;L Greater Missouri Operations Company</v>
      </c>
      <c r="P69" s="338" t="str">
        <f t="shared" si="20"/>
        <v>EVRG</v>
      </c>
      <c r="Q69" s="340">
        <v>0.48816217331661871</v>
      </c>
      <c r="R69" s="340">
        <v>0.48261099717260753</v>
      </c>
      <c r="S69" s="340">
        <v>0.47321004484526225</v>
      </c>
      <c r="T69" s="340">
        <v>0.45285663399204273</v>
      </c>
      <c r="U69" s="340">
        <v>0.44304514079464374</v>
      </c>
      <c r="V69" s="340">
        <v>0.47970194941123806</v>
      </c>
      <c r="W69" s="340">
        <v>0.47367164283927155</v>
      </c>
      <c r="X69" s="340">
        <v>0.47600223671553571</v>
      </c>
      <c r="Y69" s="334">
        <f t="shared" si="21"/>
        <v>0.47115760238590254</v>
      </c>
      <c r="AB69" s="36" t="str">
        <f t="shared" si="22"/>
        <v>KCP&amp;L Greater Missouri Operations Company</v>
      </c>
      <c r="AC69" s="36" t="str">
        <f t="shared" si="22"/>
        <v>EVRG</v>
      </c>
      <c r="AD69" s="339">
        <v>0</v>
      </c>
      <c r="AE69" s="339">
        <v>0</v>
      </c>
      <c r="AF69" s="339">
        <v>0</v>
      </c>
      <c r="AG69" s="339">
        <v>0</v>
      </c>
      <c r="AH69" s="339">
        <v>0</v>
      </c>
      <c r="AI69" s="339">
        <v>0</v>
      </c>
      <c r="AJ69" s="339">
        <v>0</v>
      </c>
      <c r="AK69" s="339">
        <v>0</v>
      </c>
      <c r="AL69" s="334">
        <f t="shared" si="23"/>
        <v>0</v>
      </c>
    </row>
    <row r="70" spans="2:38">
      <c r="B70" s="338" t="s">
        <v>1419</v>
      </c>
      <c r="C70" s="329" t="s">
        <v>1034</v>
      </c>
      <c r="D70" s="339">
        <v>0.57662425714243581</v>
      </c>
      <c r="E70" s="339">
        <v>0.59180147734306576</v>
      </c>
      <c r="F70" s="339">
        <v>0.58799883627188687</v>
      </c>
      <c r="G70" s="339">
        <v>0.59083593056723882</v>
      </c>
      <c r="H70" s="339">
        <v>0.59343637313482345</v>
      </c>
      <c r="I70" s="339">
        <v>0.58677704857434076</v>
      </c>
      <c r="J70" s="339">
        <v>0.58747942543585618</v>
      </c>
      <c r="K70" s="339">
        <v>0.58739293902982492</v>
      </c>
      <c r="L70" s="334">
        <f t="shared" si="19"/>
        <v>0.58779328593743407</v>
      </c>
      <c r="O70" s="338" t="str">
        <f t="shared" si="20"/>
        <v>Westar Energy (KPL)</v>
      </c>
      <c r="P70" s="338" t="str">
        <f t="shared" si="20"/>
        <v>EVRG</v>
      </c>
      <c r="Q70" s="340">
        <v>0.42337574285756413</v>
      </c>
      <c r="R70" s="340">
        <v>0.40819852265693424</v>
      </c>
      <c r="S70" s="340">
        <v>0.41200116372811313</v>
      </c>
      <c r="T70" s="340">
        <v>0.40916406943276112</v>
      </c>
      <c r="U70" s="340">
        <v>0.40656362686517655</v>
      </c>
      <c r="V70" s="340">
        <v>0.41322295142565929</v>
      </c>
      <c r="W70" s="340">
        <v>0.41252057456414382</v>
      </c>
      <c r="X70" s="340">
        <v>0.41260706097017513</v>
      </c>
      <c r="Y70" s="334">
        <f t="shared" si="21"/>
        <v>0.41220671406256593</v>
      </c>
      <c r="AB70" s="36" t="str">
        <f t="shared" si="22"/>
        <v>Westar Energy (KPL)</v>
      </c>
      <c r="AC70" s="36" t="str">
        <f t="shared" si="22"/>
        <v>EVRG</v>
      </c>
      <c r="AD70" s="339">
        <v>0</v>
      </c>
      <c r="AE70" s="339">
        <v>0</v>
      </c>
      <c r="AF70" s="339">
        <v>0</v>
      </c>
      <c r="AG70" s="339">
        <v>0</v>
      </c>
      <c r="AH70" s="339">
        <v>0</v>
      </c>
      <c r="AI70" s="339">
        <v>0</v>
      </c>
      <c r="AJ70" s="339">
        <v>0</v>
      </c>
      <c r="AK70" s="339">
        <v>0</v>
      </c>
      <c r="AL70" s="334">
        <f t="shared" si="23"/>
        <v>0</v>
      </c>
    </row>
    <row r="71" spans="2:38">
      <c r="B71" s="338" t="s">
        <v>1420</v>
      </c>
      <c r="C71" s="329" t="s">
        <v>922</v>
      </c>
      <c r="D71" s="339">
        <v>0.55740754800252312</v>
      </c>
      <c r="E71" s="339">
        <v>0.55492917043514556</v>
      </c>
      <c r="F71" s="339">
        <v>0.55544337306802982</v>
      </c>
      <c r="G71" s="339">
        <v>0.55439506028176744</v>
      </c>
      <c r="H71" s="339">
        <v>0.56500681000809672</v>
      </c>
      <c r="I71" s="339">
        <v>0.56306784846749436</v>
      </c>
      <c r="J71" s="339">
        <v>0.55482165927892813</v>
      </c>
      <c r="K71" s="339">
        <v>0.55269589428796539</v>
      </c>
      <c r="L71" s="334">
        <f t="shared" si="19"/>
        <v>0.55722092047874383</v>
      </c>
      <c r="O71" s="338" t="str">
        <f t="shared" si="20"/>
        <v>Cleveland Electric Illuminating Company</v>
      </c>
      <c r="P71" s="338" t="str">
        <f t="shared" si="20"/>
        <v>FE</v>
      </c>
      <c r="Q71" s="340">
        <v>0.44259245199747688</v>
      </c>
      <c r="R71" s="340">
        <v>0.44507082956485439</v>
      </c>
      <c r="S71" s="340">
        <v>0.44455662693197012</v>
      </c>
      <c r="T71" s="340">
        <v>0.44560493971823256</v>
      </c>
      <c r="U71" s="340">
        <v>0.43499318999190328</v>
      </c>
      <c r="V71" s="340">
        <v>0.43693215153250564</v>
      </c>
      <c r="W71" s="340">
        <v>0.44517834072107182</v>
      </c>
      <c r="X71" s="340">
        <v>0.44730410571203461</v>
      </c>
      <c r="Y71" s="334">
        <f t="shared" si="21"/>
        <v>0.44277907952125617</v>
      </c>
      <c r="AB71" s="36" t="str">
        <f t="shared" si="22"/>
        <v>Cleveland Electric Illuminating Company</v>
      </c>
      <c r="AC71" s="36" t="str">
        <f t="shared" si="22"/>
        <v>FE</v>
      </c>
      <c r="AD71" s="339">
        <v>0</v>
      </c>
      <c r="AE71" s="339">
        <v>0</v>
      </c>
      <c r="AF71" s="339">
        <v>0</v>
      </c>
      <c r="AG71" s="339">
        <v>0</v>
      </c>
      <c r="AH71" s="339">
        <v>0</v>
      </c>
      <c r="AI71" s="339">
        <v>0</v>
      </c>
      <c r="AJ71" s="339">
        <v>0</v>
      </c>
      <c r="AK71" s="339">
        <v>0</v>
      </c>
      <c r="AL71" s="334">
        <f t="shared" si="23"/>
        <v>0</v>
      </c>
    </row>
    <row r="72" spans="2:38">
      <c r="B72" s="338" t="s">
        <v>1421</v>
      </c>
      <c r="C72" s="329" t="s">
        <v>922</v>
      </c>
      <c r="D72" s="339">
        <v>0.68740244953790219</v>
      </c>
      <c r="E72" s="339">
        <v>0.68233457180404322</v>
      </c>
      <c r="F72" s="339">
        <v>0.68084486176704373</v>
      </c>
      <c r="G72" s="339">
        <v>0.69455313797424345</v>
      </c>
      <c r="H72" s="339">
        <v>0.6933697436131514</v>
      </c>
      <c r="I72" s="339">
        <v>0.68806428269720166</v>
      </c>
      <c r="J72" s="339">
        <v>0.65517313643586561</v>
      </c>
      <c r="K72" s="339">
        <v>0.65297965726436469</v>
      </c>
      <c r="L72" s="334">
        <f t="shared" si="19"/>
        <v>0.67934023013672695</v>
      </c>
      <c r="O72" s="338" t="str">
        <f t="shared" si="20"/>
        <v>Jersey Central Power &amp; Light Company</v>
      </c>
      <c r="P72" s="338" t="str">
        <f t="shared" si="20"/>
        <v>FE</v>
      </c>
      <c r="Q72" s="340">
        <v>0.31259755046209781</v>
      </c>
      <c r="R72" s="340">
        <v>0.31766542819595672</v>
      </c>
      <c r="S72" s="340">
        <v>0.31915513823295633</v>
      </c>
      <c r="T72" s="340">
        <v>0.3054468620257566</v>
      </c>
      <c r="U72" s="340">
        <v>0.30663025638684865</v>
      </c>
      <c r="V72" s="340">
        <v>0.31193571730279834</v>
      </c>
      <c r="W72" s="340">
        <v>0.34482686356413444</v>
      </c>
      <c r="X72" s="340">
        <v>0.34702034273563537</v>
      </c>
      <c r="Y72" s="334">
        <f t="shared" si="21"/>
        <v>0.32065976986327305</v>
      </c>
      <c r="AB72" s="36" t="str">
        <f t="shared" si="22"/>
        <v>Jersey Central Power &amp; Light Company</v>
      </c>
      <c r="AC72" s="36" t="str">
        <f t="shared" si="22"/>
        <v>FE</v>
      </c>
      <c r="AD72" s="339">
        <v>0</v>
      </c>
      <c r="AE72" s="339">
        <v>0</v>
      </c>
      <c r="AF72" s="339">
        <v>0</v>
      </c>
      <c r="AG72" s="339">
        <v>0</v>
      </c>
      <c r="AH72" s="339">
        <v>0</v>
      </c>
      <c r="AI72" s="339">
        <v>0</v>
      </c>
      <c r="AJ72" s="339">
        <v>0</v>
      </c>
      <c r="AK72" s="339">
        <v>0</v>
      </c>
      <c r="AL72" s="334">
        <f t="shared" si="23"/>
        <v>0</v>
      </c>
    </row>
    <row r="73" spans="2:38">
      <c r="B73" s="338" t="s">
        <v>1422</v>
      </c>
      <c r="C73" s="329" t="s">
        <v>922</v>
      </c>
      <c r="D73" s="339">
        <v>0.49717846699582952</v>
      </c>
      <c r="E73" s="339">
        <v>0.4846497057194924</v>
      </c>
      <c r="F73" s="339">
        <v>0.47780585776391704</v>
      </c>
      <c r="G73" s="339">
        <v>0.53210278929802368</v>
      </c>
      <c r="H73" s="339">
        <v>0.54254748502258732</v>
      </c>
      <c r="I73" s="339">
        <v>0.53102270487309156</v>
      </c>
      <c r="J73" s="339">
        <v>0.52177225282119255</v>
      </c>
      <c r="K73" s="339">
        <v>0.52326970313391086</v>
      </c>
      <c r="L73" s="334">
        <f t="shared" si="19"/>
        <v>0.51379362070350565</v>
      </c>
      <c r="O73" s="338" t="str">
        <f t="shared" si="20"/>
        <v>Metropolitan Edison Company</v>
      </c>
      <c r="P73" s="338" t="str">
        <f t="shared" si="20"/>
        <v>FE</v>
      </c>
      <c r="Q73" s="340">
        <v>0.50282153300417043</v>
      </c>
      <c r="R73" s="340">
        <v>0.5153502942805076</v>
      </c>
      <c r="S73" s="340">
        <v>0.52219414223608296</v>
      </c>
      <c r="T73" s="340">
        <v>0.46789721070197637</v>
      </c>
      <c r="U73" s="340">
        <v>0.45745251497741268</v>
      </c>
      <c r="V73" s="340">
        <v>0.46897729512690844</v>
      </c>
      <c r="W73" s="340">
        <v>0.47822774717880745</v>
      </c>
      <c r="X73" s="340">
        <v>0.4767302968660892</v>
      </c>
      <c r="Y73" s="334">
        <f t="shared" si="21"/>
        <v>0.48620637929649441</v>
      </c>
      <c r="AB73" s="36" t="str">
        <f t="shared" si="22"/>
        <v>Metropolitan Edison Company</v>
      </c>
      <c r="AC73" s="36" t="str">
        <f t="shared" si="22"/>
        <v>FE</v>
      </c>
      <c r="AD73" s="339">
        <v>0</v>
      </c>
      <c r="AE73" s="339">
        <v>0</v>
      </c>
      <c r="AF73" s="339">
        <v>0</v>
      </c>
      <c r="AG73" s="339">
        <v>0</v>
      </c>
      <c r="AH73" s="339">
        <v>0</v>
      </c>
      <c r="AI73" s="339">
        <v>0</v>
      </c>
      <c r="AJ73" s="339">
        <v>0</v>
      </c>
      <c r="AK73" s="339">
        <v>0</v>
      </c>
      <c r="AL73" s="334">
        <f t="shared" si="23"/>
        <v>0</v>
      </c>
    </row>
    <row r="74" spans="2:38">
      <c r="B74" s="338" t="s">
        <v>1423</v>
      </c>
      <c r="C74" s="329" t="s">
        <v>922</v>
      </c>
      <c r="D74" s="339">
        <v>0.49975675321914226</v>
      </c>
      <c r="E74" s="339">
        <v>0.49065883864685472</v>
      </c>
      <c r="F74" s="339">
        <v>0.49049500128310547</v>
      </c>
      <c r="G74" s="339">
        <v>0.48866778785489418</v>
      </c>
      <c r="H74" s="339">
        <v>0.50712040120564472</v>
      </c>
      <c r="I74" s="339">
        <v>0.51532976072974579</v>
      </c>
      <c r="J74" s="339">
        <v>0.50570849657564976</v>
      </c>
      <c r="K74" s="339">
        <v>0.49153635443133387</v>
      </c>
      <c r="L74" s="334">
        <f t="shared" si="19"/>
        <v>0.49865917424329637</v>
      </c>
      <c r="O74" s="338" t="str">
        <f t="shared" si="20"/>
        <v>Monongahela Power Company</v>
      </c>
      <c r="P74" s="338" t="str">
        <f t="shared" si="20"/>
        <v>FE</v>
      </c>
      <c r="Q74" s="340">
        <v>0.50024324678085774</v>
      </c>
      <c r="R74" s="340">
        <v>0.50934116135314533</v>
      </c>
      <c r="S74" s="340">
        <v>0.50950499871689447</v>
      </c>
      <c r="T74" s="340">
        <v>0.51133221214510582</v>
      </c>
      <c r="U74" s="340">
        <v>0.49287959879435528</v>
      </c>
      <c r="V74" s="340">
        <v>0.48467023927025427</v>
      </c>
      <c r="W74" s="340">
        <v>0.4942915034243503</v>
      </c>
      <c r="X74" s="340">
        <v>0.50846364556866619</v>
      </c>
      <c r="Y74" s="334">
        <f t="shared" si="21"/>
        <v>0.50134082575670369</v>
      </c>
      <c r="AB74" s="36" t="str">
        <f t="shared" si="22"/>
        <v>Monongahela Power Company</v>
      </c>
      <c r="AC74" s="36" t="str">
        <f t="shared" si="22"/>
        <v>FE</v>
      </c>
      <c r="AD74" s="339">
        <v>0</v>
      </c>
      <c r="AE74" s="339">
        <v>0</v>
      </c>
      <c r="AF74" s="339">
        <v>0</v>
      </c>
      <c r="AG74" s="339">
        <v>0</v>
      </c>
      <c r="AH74" s="339">
        <v>0</v>
      </c>
      <c r="AI74" s="339">
        <v>0</v>
      </c>
      <c r="AJ74" s="339">
        <v>0</v>
      </c>
      <c r="AK74" s="339">
        <v>0</v>
      </c>
      <c r="AL74" s="334">
        <f t="shared" si="23"/>
        <v>0</v>
      </c>
    </row>
    <row r="75" spans="2:38">
      <c r="B75" s="338" t="s">
        <v>1424</v>
      </c>
      <c r="C75" s="329" t="s">
        <v>922</v>
      </c>
      <c r="D75" s="339">
        <v>0.69156391337772938</v>
      </c>
      <c r="E75" s="339">
        <v>0.71423562282584563</v>
      </c>
      <c r="F75" s="339">
        <v>0.70818124006058847</v>
      </c>
      <c r="G75" s="339">
        <v>0.69927267344128308</v>
      </c>
      <c r="H75" s="339">
        <v>0.69140592164704429</v>
      </c>
      <c r="I75" s="339">
        <v>0.67332709500900145</v>
      </c>
      <c r="J75" s="339">
        <v>0.66888786006533141</v>
      </c>
      <c r="K75" s="339">
        <v>0.64911762070148826</v>
      </c>
      <c r="L75" s="334">
        <f t="shared" si="19"/>
        <v>0.68699899339103898</v>
      </c>
      <c r="O75" s="338" t="str">
        <f t="shared" si="20"/>
        <v>Ohio Edison Company</v>
      </c>
      <c r="P75" s="338" t="str">
        <f t="shared" si="20"/>
        <v>FE</v>
      </c>
      <c r="Q75" s="340">
        <v>0.30843608662227057</v>
      </c>
      <c r="R75" s="340">
        <v>0.28576437717415437</v>
      </c>
      <c r="S75" s="340">
        <v>0.29181875993941153</v>
      </c>
      <c r="T75" s="340">
        <v>0.30072732655871692</v>
      </c>
      <c r="U75" s="340">
        <v>0.30859407835295577</v>
      </c>
      <c r="V75" s="340">
        <v>0.32667290499099849</v>
      </c>
      <c r="W75" s="340">
        <v>0.33111213993466854</v>
      </c>
      <c r="X75" s="340">
        <v>0.35088237929851174</v>
      </c>
      <c r="Y75" s="334">
        <f t="shared" si="21"/>
        <v>0.31300100660896096</v>
      </c>
      <c r="AB75" s="36" t="str">
        <f t="shared" si="22"/>
        <v>Ohio Edison Company</v>
      </c>
      <c r="AC75" s="36" t="str">
        <f t="shared" si="22"/>
        <v>FE</v>
      </c>
      <c r="AD75" s="339">
        <v>0</v>
      </c>
      <c r="AE75" s="339">
        <v>0</v>
      </c>
      <c r="AF75" s="339">
        <v>0</v>
      </c>
      <c r="AG75" s="339">
        <v>0</v>
      </c>
      <c r="AH75" s="339">
        <v>0</v>
      </c>
      <c r="AI75" s="339">
        <v>0</v>
      </c>
      <c r="AJ75" s="339">
        <v>0</v>
      </c>
      <c r="AK75" s="339">
        <v>0</v>
      </c>
      <c r="AL75" s="334">
        <f t="shared" si="23"/>
        <v>0</v>
      </c>
    </row>
    <row r="76" spans="2:38">
      <c r="B76" s="338" t="s">
        <v>1425</v>
      </c>
      <c r="C76" s="329" t="s">
        <v>922</v>
      </c>
      <c r="D76" s="339">
        <v>0.51780076732791847</v>
      </c>
      <c r="E76" s="339">
        <v>0.5093045237457251</v>
      </c>
      <c r="F76" s="339">
        <v>0.53852723519801204</v>
      </c>
      <c r="G76" s="339">
        <v>0.53889324268323202</v>
      </c>
      <c r="H76" s="339">
        <v>0.5401422367067934</v>
      </c>
      <c r="I76" s="339">
        <v>0.53900472084569062</v>
      </c>
      <c r="J76" s="339">
        <v>0.53087265107109116</v>
      </c>
      <c r="K76" s="339">
        <v>0.52064874541725636</v>
      </c>
      <c r="L76" s="334">
        <f t="shared" si="19"/>
        <v>0.52939926537446491</v>
      </c>
      <c r="O76" s="338" t="str">
        <f t="shared" si="20"/>
        <v>Pennsylvania Electric Company</v>
      </c>
      <c r="P76" s="338" t="str">
        <f t="shared" si="20"/>
        <v>FE</v>
      </c>
      <c r="Q76" s="340">
        <v>0.48219923267208153</v>
      </c>
      <c r="R76" s="340">
        <v>0.4906954762542749</v>
      </c>
      <c r="S76" s="340">
        <v>0.46147276480198796</v>
      </c>
      <c r="T76" s="340">
        <v>0.46110675731676792</v>
      </c>
      <c r="U76" s="340">
        <v>0.4598577632932066</v>
      </c>
      <c r="V76" s="340">
        <v>0.46099527915430932</v>
      </c>
      <c r="W76" s="340">
        <v>0.46912734892890889</v>
      </c>
      <c r="X76" s="340">
        <v>0.47935125458274369</v>
      </c>
      <c r="Y76" s="334">
        <f t="shared" si="21"/>
        <v>0.47060073462553509</v>
      </c>
      <c r="AB76" s="36" t="str">
        <f t="shared" si="22"/>
        <v>Pennsylvania Electric Company</v>
      </c>
      <c r="AC76" s="36" t="str">
        <f t="shared" si="22"/>
        <v>FE</v>
      </c>
      <c r="AD76" s="339">
        <v>0</v>
      </c>
      <c r="AE76" s="339">
        <v>0</v>
      </c>
      <c r="AF76" s="339">
        <v>0</v>
      </c>
      <c r="AG76" s="339">
        <v>0</v>
      </c>
      <c r="AH76" s="339">
        <v>0</v>
      </c>
      <c r="AI76" s="339">
        <v>0</v>
      </c>
      <c r="AJ76" s="339">
        <v>0</v>
      </c>
      <c r="AK76" s="339">
        <v>0</v>
      </c>
      <c r="AL76" s="334">
        <f t="shared" si="23"/>
        <v>0</v>
      </c>
    </row>
    <row r="77" spans="2:38">
      <c r="B77" s="338" t="s">
        <v>1426</v>
      </c>
      <c r="C77" s="329" t="s">
        <v>922</v>
      </c>
      <c r="D77" s="339">
        <v>0.5309221314830973</v>
      </c>
      <c r="E77" s="339">
        <v>0.51709040466436917</v>
      </c>
      <c r="F77" s="339">
        <v>0.50687408308759674</v>
      </c>
      <c r="G77" s="339">
        <v>0.49033960962894974</v>
      </c>
      <c r="H77" s="339">
        <v>0.58271518563712132</v>
      </c>
      <c r="I77" s="339">
        <v>0.56886115071674337</v>
      </c>
      <c r="J77" s="339">
        <v>0.5569596637136669</v>
      </c>
      <c r="K77" s="339">
        <v>0.53816116543798131</v>
      </c>
      <c r="L77" s="334">
        <f t="shared" si="19"/>
        <v>0.53649042429619065</v>
      </c>
      <c r="O77" s="338" t="str">
        <f t="shared" si="20"/>
        <v>Pennsylvania Power Company</v>
      </c>
      <c r="P77" s="338" t="str">
        <f t="shared" si="20"/>
        <v>FE</v>
      </c>
      <c r="Q77" s="340">
        <v>0.46907786851690264</v>
      </c>
      <c r="R77" s="340">
        <v>0.48290959533563083</v>
      </c>
      <c r="S77" s="340">
        <v>0.49312591691240326</v>
      </c>
      <c r="T77" s="340">
        <v>0.50966039037105026</v>
      </c>
      <c r="U77" s="340">
        <v>0.41728481436287862</v>
      </c>
      <c r="V77" s="340">
        <v>0.43113884928325663</v>
      </c>
      <c r="W77" s="340">
        <v>0.4430403362863331</v>
      </c>
      <c r="X77" s="340">
        <v>0.46183883456201874</v>
      </c>
      <c r="Y77" s="334">
        <f t="shared" si="21"/>
        <v>0.46350957570380924</v>
      </c>
      <c r="AB77" s="36" t="str">
        <f t="shared" si="22"/>
        <v>Pennsylvania Power Company</v>
      </c>
      <c r="AC77" s="36" t="str">
        <f t="shared" si="22"/>
        <v>FE</v>
      </c>
      <c r="AD77" s="339">
        <v>0</v>
      </c>
      <c r="AE77" s="339">
        <v>0</v>
      </c>
      <c r="AF77" s="339">
        <v>0</v>
      </c>
      <c r="AG77" s="339">
        <v>0</v>
      </c>
      <c r="AH77" s="339">
        <v>0</v>
      </c>
      <c r="AI77" s="339">
        <v>0</v>
      </c>
      <c r="AJ77" s="339">
        <v>0</v>
      </c>
      <c r="AK77" s="339">
        <v>0</v>
      </c>
      <c r="AL77" s="334">
        <f t="shared" si="23"/>
        <v>0</v>
      </c>
    </row>
    <row r="78" spans="2:38">
      <c r="B78" s="338" t="s">
        <v>1427</v>
      </c>
      <c r="C78" s="329" t="s">
        <v>922</v>
      </c>
      <c r="D78" s="339">
        <v>0.53686421877793289</v>
      </c>
      <c r="E78" s="339">
        <v>0.52991834681684213</v>
      </c>
      <c r="F78" s="339">
        <v>0.53294598987426911</v>
      </c>
      <c r="G78" s="339">
        <v>0.52349230583026229</v>
      </c>
      <c r="H78" s="339">
        <v>0.52919774353894522</v>
      </c>
      <c r="I78" s="339">
        <v>0.52650932255794813</v>
      </c>
      <c r="J78" s="339">
        <v>0.52639047021848551</v>
      </c>
      <c r="K78" s="339">
        <v>0.51589978738318665</v>
      </c>
      <c r="L78" s="334">
        <f t="shared" si="19"/>
        <v>0.52765227312473395</v>
      </c>
      <c r="O78" s="338" t="str">
        <f t="shared" si="20"/>
        <v>Potomac Edison Company</v>
      </c>
      <c r="P78" s="338" t="str">
        <f t="shared" si="20"/>
        <v>FE</v>
      </c>
      <c r="Q78" s="340">
        <v>0.46313578122206711</v>
      </c>
      <c r="R78" s="340">
        <v>0.47008165318315792</v>
      </c>
      <c r="S78" s="340">
        <v>0.46705401012573095</v>
      </c>
      <c r="T78" s="340">
        <v>0.47650769416973776</v>
      </c>
      <c r="U78" s="340">
        <v>0.47080225646105478</v>
      </c>
      <c r="V78" s="340">
        <v>0.47349067744205187</v>
      </c>
      <c r="W78" s="340">
        <v>0.47360952978151444</v>
      </c>
      <c r="X78" s="340">
        <v>0.48410021261681341</v>
      </c>
      <c r="Y78" s="334">
        <f t="shared" si="21"/>
        <v>0.47234772687526599</v>
      </c>
      <c r="AB78" s="36" t="str">
        <f t="shared" si="22"/>
        <v>Potomac Edison Company</v>
      </c>
      <c r="AC78" s="36" t="str">
        <f t="shared" si="22"/>
        <v>FE</v>
      </c>
      <c r="AD78" s="339">
        <v>0</v>
      </c>
      <c r="AE78" s="339">
        <v>0</v>
      </c>
      <c r="AF78" s="339">
        <v>0</v>
      </c>
      <c r="AG78" s="339">
        <v>0</v>
      </c>
      <c r="AH78" s="339">
        <v>0</v>
      </c>
      <c r="AI78" s="339">
        <v>0</v>
      </c>
      <c r="AJ78" s="339">
        <v>0</v>
      </c>
      <c r="AK78" s="339">
        <v>0</v>
      </c>
      <c r="AL78" s="334">
        <f t="shared" si="23"/>
        <v>0</v>
      </c>
    </row>
    <row r="79" spans="2:38">
      <c r="B79" s="338" t="s">
        <v>1428</v>
      </c>
      <c r="C79" s="329" t="s">
        <v>922</v>
      </c>
      <c r="D79" s="339">
        <v>0.60758908484169116</v>
      </c>
      <c r="E79" s="339">
        <v>0.6056989771066732</v>
      </c>
      <c r="F79" s="339">
        <v>0.60776462063573788</v>
      </c>
      <c r="G79" s="339">
        <v>0.60429677996118525</v>
      </c>
      <c r="H79" s="339">
        <v>0.62248100598890321</v>
      </c>
      <c r="I79" s="339">
        <v>0.62250808371435207</v>
      </c>
      <c r="J79" s="339">
        <v>0.60597468400079335</v>
      </c>
      <c r="K79" s="339">
        <v>0.60036737264548312</v>
      </c>
      <c r="L79" s="334">
        <f t="shared" si="19"/>
        <v>0.60958507611185242</v>
      </c>
      <c r="O79" s="338" t="str">
        <f t="shared" si="20"/>
        <v>Toledo Edison Company</v>
      </c>
      <c r="P79" s="338" t="str">
        <f t="shared" si="20"/>
        <v>FE</v>
      </c>
      <c r="Q79" s="340">
        <v>0.39241091515830884</v>
      </c>
      <c r="R79" s="340">
        <v>0.39430102289332686</v>
      </c>
      <c r="S79" s="340">
        <v>0.39223537936426217</v>
      </c>
      <c r="T79" s="340">
        <v>0.39570322003881475</v>
      </c>
      <c r="U79" s="340">
        <v>0.37751899401109679</v>
      </c>
      <c r="V79" s="340">
        <v>0.37749191628564799</v>
      </c>
      <c r="W79" s="340">
        <v>0.39402531599920659</v>
      </c>
      <c r="X79" s="340">
        <v>0.39963262735451688</v>
      </c>
      <c r="Y79" s="334">
        <f t="shared" si="21"/>
        <v>0.39041492388814752</v>
      </c>
      <c r="AB79" s="36" t="str">
        <f t="shared" si="22"/>
        <v>Toledo Edison Company</v>
      </c>
      <c r="AC79" s="36" t="str">
        <f t="shared" si="22"/>
        <v>FE</v>
      </c>
      <c r="AD79" s="339">
        <v>0</v>
      </c>
      <c r="AE79" s="339">
        <v>0</v>
      </c>
      <c r="AF79" s="339">
        <v>0</v>
      </c>
      <c r="AG79" s="339">
        <v>0</v>
      </c>
      <c r="AH79" s="339">
        <v>0</v>
      </c>
      <c r="AI79" s="339">
        <v>0</v>
      </c>
      <c r="AJ79" s="339">
        <v>0</v>
      </c>
      <c r="AK79" s="339">
        <v>0</v>
      </c>
      <c r="AL79" s="334">
        <f t="shared" si="23"/>
        <v>0</v>
      </c>
    </row>
    <row r="80" spans="2:38">
      <c r="B80" s="338" t="s">
        <v>1429</v>
      </c>
      <c r="C80" s="329" t="s">
        <v>922</v>
      </c>
      <c r="D80" s="339">
        <v>0.46108926296356689</v>
      </c>
      <c r="E80" s="339">
        <v>0.50626563866185426</v>
      </c>
      <c r="F80" s="339">
        <v>0.54684072983019338</v>
      </c>
      <c r="G80" s="339">
        <v>0.53504181417064289</v>
      </c>
      <c r="H80" s="339">
        <v>0.53143732408702982</v>
      </c>
      <c r="I80" s="339">
        <v>0.52087498141325361</v>
      </c>
      <c r="J80" s="339">
        <v>0.51088170151100454</v>
      </c>
      <c r="K80" s="339">
        <v>0.52822146650892998</v>
      </c>
      <c r="L80" s="334">
        <f t="shared" si="19"/>
        <v>0.51758161489330945</v>
      </c>
      <c r="O80" s="338" t="str">
        <f t="shared" si="20"/>
        <v>West Penn Power Company</v>
      </c>
      <c r="P80" s="338" t="str">
        <f t="shared" si="20"/>
        <v>FE</v>
      </c>
      <c r="Q80" s="340">
        <v>0.53891073703643311</v>
      </c>
      <c r="R80" s="340">
        <v>0.4937343613381458</v>
      </c>
      <c r="S80" s="340">
        <v>0.45315927016980662</v>
      </c>
      <c r="T80" s="340">
        <v>0.46495818582935716</v>
      </c>
      <c r="U80" s="340">
        <v>0.46856267591297013</v>
      </c>
      <c r="V80" s="340">
        <v>0.47912501858674639</v>
      </c>
      <c r="W80" s="340">
        <v>0.48911829848899552</v>
      </c>
      <c r="X80" s="340">
        <v>0.47177853349107007</v>
      </c>
      <c r="Y80" s="334">
        <f t="shared" si="21"/>
        <v>0.48241838510669061</v>
      </c>
      <c r="AB80" s="36" t="str">
        <f t="shared" si="22"/>
        <v>West Penn Power Company</v>
      </c>
      <c r="AC80" s="36" t="str">
        <f t="shared" si="22"/>
        <v>FE</v>
      </c>
      <c r="AD80" s="339">
        <v>0</v>
      </c>
      <c r="AE80" s="339">
        <v>0</v>
      </c>
      <c r="AF80" s="339">
        <v>0</v>
      </c>
      <c r="AG80" s="339">
        <v>0</v>
      </c>
      <c r="AH80" s="339">
        <v>0</v>
      </c>
      <c r="AI80" s="339">
        <v>0</v>
      </c>
      <c r="AJ80" s="339">
        <v>0</v>
      </c>
      <c r="AK80" s="339">
        <v>0</v>
      </c>
      <c r="AL80" s="334">
        <f t="shared" si="23"/>
        <v>0</v>
      </c>
    </row>
    <row r="81" spans="2:38">
      <c r="B81" s="338" t="s">
        <v>1430</v>
      </c>
      <c r="C81" s="329" t="s">
        <v>1283</v>
      </c>
      <c r="D81" s="339">
        <v>0.5520069976140537</v>
      </c>
      <c r="E81" s="339">
        <v>0.54580200064587625</v>
      </c>
      <c r="F81" s="339">
        <v>0.54360194294941067</v>
      </c>
      <c r="G81" s="339">
        <v>0.54248160653181332</v>
      </c>
      <c r="H81" s="339">
        <v>0.54252896407142559</v>
      </c>
      <c r="I81" s="339">
        <v>0.53436565022653959</v>
      </c>
      <c r="J81" s="339">
        <v>0.51372366457422092</v>
      </c>
      <c r="K81" s="339">
        <v>0.54218292459439121</v>
      </c>
      <c r="L81" s="334">
        <f t="shared" si="19"/>
        <v>0.53958671890096643</v>
      </c>
      <c r="O81" s="338" t="str">
        <f t="shared" si="20"/>
        <v>Idaho Power Co.</v>
      </c>
      <c r="P81" s="338" t="str">
        <f t="shared" si="20"/>
        <v>IDA</v>
      </c>
      <c r="Q81" s="340">
        <v>0.4479930023859463</v>
      </c>
      <c r="R81" s="340">
        <v>0.45419799935412375</v>
      </c>
      <c r="S81" s="340">
        <v>0.45639805705058939</v>
      </c>
      <c r="T81" s="340">
        <v>0.45751839346818662</v>
      </c>
      <c r="U81" s="340">
        <v>0.45747103592857447</v>
      </c>
      <c r="V81" s="340">
        <v>0.46563434977346047</v>
      </c>
      <c r="W81" s="340">
        <v>0.48627633542577908</v>
      </c>
      <c r="X81" s="340">
        <v>0.45781707540560879</v>
      </c>
      <c r="Y81" s="334">
        <f t="shared" si="21"/>
        <v>0.46041328109903362</v>
      </c>
      <c r="AB81" s="36" t="str">
        <f t="shared" si="22"/>
        <v>Idaho Power Co.</v>
      </c>
      <c r="AC81" s="36" t="str">
        <f t="shared" si="22"/>
        <v>IDA</v>
      </c>
      <c r="AD81" s="339">
        <v>0</v>
      </c>
      <c r="AE81" s="339">
        <v>0</v>
      </c>
      <c r="AF81" s="339">
        <v>0</v>
      </c>
      <c r="AG81" s="339">
        <v>0</v>
      </c>
      <c r="AH81" s="339">
        <v>0</v>
      </c>
      <c r="AI81" s="339">
        <v>0</v>
      </c>
      <c r="AJ81" s="339">
        <v>0</v>
      </c>
      <c r="AK81" s="339">
        <v>0</v>
      </c>
      <c r="AL81" s="334">
        <f t="shared" si="23"/>
        <v>0</v>
      </c>
    </row>
    <row r="82" spans="2:38">
      <c r="B82" s="338" t="s">
        <v>1431</v>
      </c>
      <c r="C82" s="329" t="s">
        <v>438</v>
      </c>
      <c r="D82" s="339">
        <v>0.59782758676042613</v>
      </c>
      <c r="E82" s="339">
        <v>0.61300094442167541</v>
      </c>
      <c r="F82" s="339">
        <v>0.64031407936644213</v>
      </c>
      <c r="G82" s="339">
        <v>0.64368763470071766</v>
      </c>
      <c r="H82" s="339">
        <v>0.64777393936136507</v>
      </c>
      <c r="I82" s="339">
        <v>0.60837478408498624</v>
      </c>
      <c r="J82" s="339">
        <v>0.61225473517541695</v>
      </c>
      <c r="K82" s="339">
        <v>0.59933548252557023</v>
      </c>
      <c r="L82" s="334">
        <f t="shared" si="19"/>
        <v>0.62032114829957496</v>
      </c>
      <c r="O82" s="338" t="str">
        <f t="shared" si="20"/>
        <v>Florida Power &amp; Light Company</v>
      </c>
      <c r="P82" s="338" t="str">
        <f t="shared" si="20"/>
        <v>NEE</v>
      </c>
      <c r="Q82" s="340">
        <v>0.40217241323957392</v>
      </c>
      <c r="R82" s="340">
        <v>0.38699905557832465</v>
      </c>
      <c r="S82" s="340">
        <v>0.35968592063355787</v>
      </c>
      <c r="T82" s="340">
        <v>0.3563123652992824</v>
      </c>
      <c r="U82" s="340">
        <v>0.35222606063863493</v>
      </c>
      <c r="V82" s="340">
        <v>0.39162521591501376</v>
      </c>
      <c r="W82" s="340">
        <v>0.38774526482458305</v>
      </c>
      <c r="X82" s="340">
        <v>0.40066451747442983</v>
      </c>
      <c r="Y82" s="334">
        <f t="shared" si="21"/>
        <v>0.37967885170042504</v>
      </c>
      <c r="AB82" s="36" t="str">
        <f t="shared" si="22"/>
        <v>Florida Power &amp; Light Company</v>
      </c>
      <c r="AC82" s="36" t="str">
        <f t="shared" si="22"/>
        <v>NEE</v>
      </c>
      <c r="AD82" s="339">
        <v>0</v>
      </c>
      <c r="AE82" s="339">
        <v>0</v>
      </c>
      <c r="AF82" s="339">
        <v>0</v>
      </c>
      <c r="AG82" s="339">
        <v>0</v>
      </c>
      <c r="AH82" s="339">
        <v>0</v>
      </c>
      <c r="AI82" s="339">
        <v>0</v>
      </c>
      <c r="AJ82" s="339">
        <v>0</v>
      </c>
      <c r="AK82" s="339">
        <v>0</v>
      </c>
      <c r="AL82" s="334">
        <f t="shared" si="23"/>
        <v>0</v>
      </c>
    </row>
    <row r="83" spans="2:38">
      <c r="B83" s="338" t="s">
        <v>1432</v>
      </c>
      <c r="C83" s="329" t="s">
        <v>438</v>
      </c>
      <c r="D83" s="339">
        <v>0.52518353145511365</v>
      </c>
      <c r="E83" s="339">
        <v>0.61146088556068856</v>
      </c>
      <c r="F83" s="339">
        <v>0.58059742349863308</v>
      </c>
      <c r="G83" s="339">
        <v>0.59727937416086718</v>
      </c>
      <c r="H83" s="339">
        <v>0.55342935393253578</v>
      </c>
      <c r="I83" s="339">
        <v>0.5489627075081529</v>
      </c>
      <c r="J83" s="339">
        <v>0.54270253158295656</v>
      </c>
      <c r="K83" s="339">
        <v>0.54188107403979069</v>
      </c>
      <c r="L83" s="334">
        <f t="shared" si="19"/>
        <v>0.5626871102173423</v>
      </c>
      <c r="O83" s="338" t="str">
        <f t="shared" si="20"/>
        <v>Gulf Power Company</v>
      </c>
      <c r="P83" s="338" t="str">
        <f t="shared" si="20"/>
        <v>NEE</v>
      </c>
      <c r="Q83" s="340">
        <v>0.47481646854488635</v>
      </c>
      <c r="R83" s="340">
        <v>0.38853911443931144</v>
      </c>
      <c r="S83" s="340">
        <v>0.41940257650136686</v>
      </c>
      <c r="T83" s="340">
        <v>0.40272062583913287</v>
      </c>
      <c r="U83" s="340">
        <v>0.44657064606746416</v>
      </c>
      <c r="V83" s="340">
        <v>0.4510372924918471</v>
      </c>
      <c r="W83" s="340">
        <v>0.45729746841704344</v>
      </c>
      <c r="X83" s="340">
        <v>0.45811892596020937</v>
      </c>
      <c r="Y83" s="334">
        <f t="shared" si="21"/>
        <v>0.4373128897826577</v>
      </c>
      <c r="AB83" s="36" t="str">
        <f t="shared" si="22"/>
        <v>Gulf Power Company</v>
      </c>
      <c r="AC83" s="36" t="str">
        <f t="shared" si="22"/>
        <v>NEE</v>
      </c>
      <c r="AD83" s="339">
        <v>0</v>
      </c>
      <c r="AE83" s="339">
        <v>0</v>
      </c>
      <c r="AF83" s="339">
        <v>0</v>
      </c>
      <c r="AG83" s="339">
        <v>0</v>
      </c>
      <c r="AH83" s="339">
        <v>0</v>
      </c>
      <c r="AI83" s="339">
        <v>0</v>
      </c>
      <c r="AJ83" s="339">
        <v>0</v>
      </c>
      <c r="AK83" s="339">
        <v>0</v>
      </c>
      <c r="AL83" s="334">
        <f t="shared" si="23"/>
        <v>0</v>
      </c>
    </row>
    <row r="84" spans="2:38">
      <c r="B84" s="338" t="s">
        <v>1285</v>
      </c>
      <c r="C84" s="329" t="s">
        <v>1286</v>
      </c>
      <c r="D84" s="339">
        <v>0.47804603734509599</v>
      </c>
      <c r="E84" s="339">
        <v>0.480682810597372</v>
      </c>
      <c r="F84" s="339">
        <v>0.4874040706148054</v>
      </c>
      <c r="G84" s="339">
        <v>0.47877061427876338</v>
      </c>
      <c r="H84" s="339">
        <v>0.48361514731820016</v>
      </c>
      <c r="I84" s="339">
        <v>0.48406960775110908</v>
      </c>
      <c r="J84" s="339">
        <v>0.47476683110526496</v>
      </c>
      <c r="K84" s="339">
        <v>0.49892915148637434</v>
      </c>
      <c r="L84" s="334">
        <f t="shared" si="19"/>
        <v>0.48328553381212314</v>
      </c>
      <c r="O84" s="338" t="str">
        <f t="shared" si="20"/>
        <v>NorthWestern Corporation</v>
      </c>
      <c r="P84" s="338" t="str">
        <f t="shared" si="20"/>
        <v>NWE</v>
      </c>
      <c r="Q84" s="340">
        <v>0.52195396265490401</v>
      </c>
      <c r="R84" s="340">
        <v>0.51931718940262805</v>
      </c>
      <c r="S84" s="340">
        <v>0.5125959293851946</v>
      </c>
      <c r="T84" s="340">
        <v>0.52122938572123667</v>
      </c>
      <c r="U84" s="340">
        <v>0.5163848526817999</v>
      </c>
      <c r="V84" s="340">
        <v>0.51593039224889092</v>
      </c>
      <c r="W84" s="340">
        <v>0.52523316889473504</v>
      </c>
      <c r="X84" s="340">
        <v>0.5010708485136256</v>
      </c>
      <c r="Y84" s="334">
        <f t="shared" si="21"/>
        <v>0.51671446618787686</v>
      </c>
      <c r="AB84" s="36" t="str">
        <f t="shared" si="22"/>
        <v>NorthWestern Corporation</v>
      </c>
      <c r="AC84" s="36" t="str">
        <f t="shared" si="22"/>
        <v>NWE</v>
      </c>
      <c r="AD84" s="339">
        <v>0</v>
      </c>
      <c r="AE84" s="339">
        <v>0</v>
      </c>
      <c r="AF84" s="339">
        <v>0</v>
      </c>
      <c r="AG84" s="339">
        <v>0</v>
      </c>
      <c r="AH84" s="339">
        <v>0</v>
      </c>
      <c r="AI84" s="339">
        <v>0</v>
      </c>
      <c r="AJ84" s="339">
        <v>0</v>
      </c>
      <c r="AK84" s="339">
        <v>0</v>
      </c>
      <c r="AL84" s="334">
        <f t="shared" si="23"/>
        <v>0</v>
      </c>
    </row>
    <row r="85" spans="2:38">
      <c r="B85" s="338" t="s">
        <v>1433</v>
      </c>
      <c r="C85" s="329" t="s">
        <v>1288</v>
      </c>
      <c r="D85" s="339">
        <v>0.54959090362170615</v>
      </c>
      <c r="E85" s="339">
        <v>0.53470727953189123</v>
      </c>
      <c r="F85" s="339">
        <v>0.55379103464927426</v>
      </c>
      <c r="G85" s="339">
        <v>0.53199720304995124</v>
      </c>
      <c r="H85" s="339">
        <v>0.53048487850486115</v>
      </c>
      <c r="I85" s="339">
        <v>0.54247083074805136</v>
      </c>
      <c r="J85" s="339">
        <v>0.53593435783718402</v>
      </c>
      <c r="K85" s="339">
        <v>0.53362908849677226</v>
      </c>
      <c r="L85" s="334">
        <f t="shared" si="19"/>
        <v>0.5390756970549615</v>
      </c>
      <c r="O85" s="338" t="str">
        <f t="shared" si="20"/>
        <v>Oklahoma Gas and Electric Company</v>
      </c>
      <c r="P85" s="338" t="str">
        <f t="shared" si="20"/>
        <v>OGE</v>
      </c>
      <c r="Q85" s="340">
        <v>0.45040909637829385</v>
      </c>
      <c r="R85" s="340">
        <v>0.46529272046810877</v>
      </c>
      <c r="S85" s="340">
        <v>0.44620896535072574</v>
      </c>
      <c r="T85" s="340">
        <v>0.46800279695004882</v>
      </c>
      <c r="U85" s="340">
        <v>0.46951512149513885</v>
      </c>
      <c r="V85" s="340">
        <v>0.45752916925194864</v>
      </c>
      <c r="W85" s="340">
        <v>0.46406564216281598</v>
      </c>
      <c r="X85" s="340">
        <v>0.46637091150322768</v>
      </c>
      <c r="Y85" s="334">
        <f t="shared" si="21"/>
        <v>0.4609243029450385</v>
      </c>
      <c r="AB85" s="36" t="str">
        <f t="shared" si="22"/>
        <v>Oklahoma Gas and Electric Company</v>
      </c>
      <c r="AC85" s="36" t="str">
        <f t="shared" si="22"/>
        <v>OGE</v>
      </c>
      <c r="AD85" s="339">
        <v>0</v>
      </c>
      <c r="AE85" s="339">
        <v>0</v>
      </c>
      <c r="AF85" s="339">
        <v>0</v>
      </c>
      <c r="AG85" s="339">
        <v>0</v>
      </c>
      <c r="AH85" s="339">
        <v>0</v>
      </c>
      <c r="AI85" s="339">
        <v>0</v>
      </c>
      <c r="AJ85" s="339">
        <v>0</v>
      </c>
      <c r="AK85" s="339">
        <v>0</v>
      </c>
      <c r="AL85" s="334">
        <f t="shared" si="23"/>
        <v>0</v>
      </c>
    </row>
    <row r="86" spans="2:38">
      <c r="B86" s="338" t="s">
        <v>1434</v>
      </c>
      <c r="C86" s="329" t="s">
        <v>589</v>
      </c>
      <c r="D86" s="339">
        <v>0.54252082563367143</v>
      </c>
      <c r="E86" s="339">
        <v>0.54408309637487118</v>
      </c>
      <c r="F86" s="339">
        <v>0.54481715277237219</v>
      </c>
      <c r="G86" s="339">
        <v>0.54360204423307701</v>
      </c>
      <c r="H86" s="339">
        <v>0.53681865870605439</v>
      </c>
      <c r="I86" s="339">
        <v>0.53708218374079175</v>
      </c>
      <c r="J86" s="339">
        <v>0.53180454473086247</v>
      </c>
      <c r="K86" s="339">
        <v>0.53138444251440253</v>
      </c>
      <c r="L86" s="334">
        <f t="shared" si="19"/>
        <v>0.53901411858826287</v>
      </c>
      <c r="O86" s="338" t="str">
        <f t="shared" si="20"/>
        <v>Arizona Public Service Company</v>
      </c>
      <c r="P86" s="338" t="str">
        <f t="shared" si="20"/>
        <v>PNW</v>
      </c>
      <c r="Q86" s="340">
        <v>0.45747917436632857</v>
      </c>
      <c r="R86" s="340">
        <v>0.45591690362512882</v>
      </c>
      <c r="S86" s="340">
        <v>0.45518284722762775</v>
      </c>
      <c r="T86" s="340">
        <v>0.45639795576692299</v>
      </c>
      <c r="U86" s="340">
        <v>0.46318134129394556</v>
      </c>
      <c r="V86" s="340">
        <v>0.46291781625920825</v>
      </c>
      <c r="W86" s="340">
        <v>0.46819545526913753</v>
      </c>
      <c r="X86" s="340">
        <v>0.46861555748559747</v>
      </c>
      <c r="Y86" s="334">
        <f t="shared" si="21"/>
        <v>0.46098588141173713</v>
      </c>
      <c r="AB86" s="36" t="str">
        <f t="shared" si="22"/>
        <v>Arizona Public Service Company</v>
      </c>
      <c r="AC86" s="36" t="str">
        <f t="shared" si="22"/>
        <v>PNW</v>
      </c>
      <c r="AD86" s="339">
        <v>0</v>
      </c>
      <c r="AE86" s="339">
        <v>0</v>
      </c>
      <c r="AF86" s="339">
        <v>0</v>
      </c>
      <c r="AG86" s="339">
        <v>0</v>
      </c>
      <c r="AH86" s="339">
        <v>0</v>
      </c>
      <c r="AI86" s="339">
        <v>0</v>
      </c>
      <c r="AJ86" s="339">
        <v>0</v>
      </c>
      <c r="AK86" s="339">
        <v>0</v>
      </c>
      <c r="AL86" s="334">
        <f t="shared" si="23"/>
        <v>0</v>
      </c>
    </row>
    <row r="87" spans="2:38">
      <c r="B87" s="338" t="s">
        <v>1435</v>
      </c>
      <c r="C87" s="329" t="s">
        <v>1291</v>
      </c>
      <c r="D87" s="339">
        <v>0.45161184813249045</v>
      </c>
      <c r="E87" s="339">
        <v>0.43690524325029345</v>
      </c>
      <c r="F87" s="339">
        <v>0.43288163123755952</v>
      </c>
      <c r="G87" s="339">
        <v>0.4545421721078442</v>
      </c>
      <c r="H87" s="339">
        <v>0.47833890150052749</v>
      </c>
      <c r="I87" s="339">
        <v>0.46509867495545226</v>
      </c>
      <c r="J87" s="339">
        <v>0.46030799871643063</v>
      </c>
      <c r="K87" s="339">
        <v>0.45892122100790333</v>
      </c>
      <c r="L87" s="334">
        <f t="shared" si="19"/>
        <v>0.45482596136356268</v>
      </c>
      <c r="O87" s="338" t="str">
        <f t="shared" si="20"/>
        <v>Public Service Company of New Mexico</v>
      </c>
      <c r="P87" s="338" t="str">
        <f t="shared" si="20"/>
        <v>PNM</v>
      </c>
      <c r="Q87" s="340">
        <v>0.54472709074090364</v>
      </c>
      <c r="R87" s="340">
        <v>0.55933546367549236</v>
      </c>
      <c r="S87" s="340">
        <v>0.56333216310930601</v>
      </c>
      <c r="T87" s="340">
        <v>0.54170759856509576</v>
      </c>
      <c r="U87" s="340">
        <v>0.51807442937304382</v>
      </c>
      <c r="V87" s="340">
        <v>0.53122362303889392</v>
      </c>
      <c r="W87" s="340">
        <v>0.53598130134237287</v>
      </c>
      <c r="X87" s="340">
        <v>0.53735848423400456</v>
      </c>
      <c r="Y87" s="334">
        <f t="shared" si="21"/>
        <v>0.54146751925988912</v>
      </c>
      <c r="AB87" s="36" t="str">
        <f t="shared" si="22"/>
        <v>Public Service Company of New Mexico</v>
      </c>
      <c r="AC87" s="36" t="str">
        <f t="shared" si="22"/>
        <v>PNM</v>
      </c>
      <c r="AD87" s="339">
        <v>3.6610611266059022E-3</v>
      </c>
      <c r="AE87" s="339">
        <v>3.7592930742141647E-3</v>
      </c>
      <c r="AF87" s="339">
        <v>3.7862056531344323E-3</v>
      </c>
      <c r="AG87" s="339">
        <v>3.7502293270600725E-3</v>
      </c>
      <c r="AH87" s="339">
        <v>3.5866691264287644E-3</v>
      </c>
      <c r="AI87" s="339">
        <v>3.6777020056538807E-3</v>
      </c>
      <c r="AJ87" s="339">
        <v>3.7106999411965582E-3</v>
      </c>
      <c r="AK87" s="339">
        <v>3.7202947580921011E-3</v>
      </c>
      <c r="AL87" s="334">
        <f t="shared" si="23"/>
        <v>3.706519376548235E-3</v>
      </c>
    </row>
    <row r="88" spans="2:38">
      <c r="B88" s="338" t="s">
        <v>1494</v>
      </c>
      <c r="C88" s="329" t="s">
        <v>1291</v>
      </c>
      <c r="D88" s="339">
        <v>0.48887757305107182</v>
      </c>
      <c r="E88" s="339">
        <v>0.51467745397156195</v>
      </c>
      <c r="F88" s="339">
        <v>0.45107392923008094</v>
      </c>
      <c r="G88" s="339">
        <v>0.53949408199018645</v>
      </c>
      <c r="H88" s="339">
        <v>0.53686104748576802</v>
      </c>
      <c r="I88" s="339">
        <v>0.54559047999495403</v>
      </c>
      <c r="J88" s="339">
        <v>0.5721301991081521</v>
      </c>
      <c r="K88" s="339">
        <v>0.5689603372121701</v>
      </c>
      <c r="L88" s="334">
        <f t="shared" si="19"/>
        <v>0.52720813775549324</v>
      </c>
      <c r="O88" s="338" t="str">
        <f t="shared" si="20"/>
        <v>Texas-New Mexico Power Company</v>
      </c>
      <c r="P88" s="338" t="str">
        <f t="shared" si="20"/>
        <v>PNM</v>
      </c>
      <c r="Q88" s="340">
        <v>0.51112242694892818</v>
      </c>
      <c r="R88" s="340">
        <v>0.485322546028438</v>
      </c>
      <c r="S88" s="340">
        <v>0.54892607076991906</v>
      </c>
      <c r="T88" s="340">
        <v>0.46050591800981361</v>
      </c>
      <c r="U88" s="340">
        <v>0.46313895251423198</v>
      </c>
      <c r="V88" s="340">
        <v>0.45440952000504592</v>
      </c>
      <c r="W88" s="340">
        <v>0.4278698008918479</v>
      </c>
      <c r="X88" s="340">
        <v>0.43103966278782985</v>
      </c>
      <c r="Y88" s="334">
        <f t="shared" si="21"/>
        <v>0.4727918622445067</v>
      </c>
      <c r="AB88" s="36" t="str">
        <f t="shared" si="22"/>
        <v>Texas-New Mexico Power Company</v>
      </c>
      <c r="AC88" s="36" t="str">
        <f t="shared" si="22"/>
        <v>PNM</v>
      </c>
      <c r="AD88" s="339">
        <v>0</v>
      </c>
      <c r="AE88" s="339">
        <v>0</v>
      </c>
      <c r="AF88" s="339">
        <v>0</v>
      </c>
      <c r="AG88" s="339">
        <v>0</v>
      </c>
      <c r="AH88" s="339">
        <v>0</v>
      </c>
      <c r="AI88" s="339">
        <v>0</v>
      </c>
      <c r="AJ88" s="339">
        <v>0</v>
      </c>
      <c r="AK88" s="339">
        <v>0</v>
      </c>
      <c r="AL88" s="334">
        <f t="shared" si="23"/>
        <v>0</v>
      </c>
    </row>
    <row r="89" spans="2:38" s="335" customFormat="1">
      <c r="B89" s="338" t="s">
        <v>1292</v>
      </c>
      <c r="C89" s="329" t="s">
        <v>1293</v>
      </c>
      <c r="D89" s="339">
        <v>0.51781203349664506</v>
      </c>
      <c r="E89" s="339">
        <v>0.51563988369679603</v>
      </c>
      <c r="F89" s="339">
        <v>0.50604896764417928</v>
      </c>
      <c r="G89" s="339">
        <v>0.5019083572028169</v>
      </c>
      <c r="H89" s="339">
        <v>0.50510644608824085</v>
      </c>
      <c r="I89" s="339">
        <v>0.50293459574446375</v>
      </c>
      <c r="J89" s="339">
        <v>0.5013507435998581</v>
      </c>
      <c r="K89" s="339">
        <v>0.49796728698453629</v>
      </c>
      <c r="L89" s="334">
        <f t="shared" si="19"/>
        <v>0.50609603930719205</v>
      </c>
      <c r="O89" s="338" t="str">
        <f t="shared" si="20"/>
        <v>Portland General Electric Company</v>
      </c>
      <c r="P89" s="338" t="str">
        <f t="shared" si="20"/>
        <v>POR</v>
      </c>
      <c r="Q89" s="340">
        <v>0.48218796650335494</v>
      </c>
      <c r="R89" s="340">
        <v>0.48436011630320391</v>
      </c>
      <c r="S89" s="340">
        <v>0.49395103235582072</v>
      </c>
      <c r="T89" s="340">
        <v>0.4980916427971831</v>
      </c>
      <c r="U89" s="340">
        <v>0.49489355391175915</v>
      </c>
      <c r="V89" s="340">
        <v>0.49706540425553625</v>
      </c>
      <c r="W89" s="340">
        <v>0.4986492564001419</v>
      </c>
      <c r="X89" s="340">
        <v>0.50203271301546371</v>
      </c>
      <c r="Y89" s="334">
        <f t="shared" si="21"/>
        <v>0.49390396069280801</v>
      </c>
      <c r="AB89" s="36" t="str">
        <f t="shared" si="22"/>
        <v>Portland General Electric Company</v>
      </c>
      <c r="AC89" s="36" t="str">
        <f t="shared" si="22"/>
        <v>POR</v>
      </c>
      <c r="AD89" s="339">
        <v>0</v>
      </c>
      <c r="AE89" s="339">
        <v>0</v>
      </c>
      <c r="AF89" s="339">
        <v>0</v>
      </c>
      <c r="AG89" s="339">
        <v>0</v>
      </c>
      <c r="AH89" s="339">
        <v>0</v>
      </c>
      <c r="AI89" s="339">
        <v>0</v>
      </c>
      <c r="AJ89" s="339">
        <v>0</v>
      </c>
      <c r="AK89" s="339">
        <v>0</v>
      </c>
      <c r="AL89" s="334">
        <f t="shared" si="23"/>
        <v>0</v>
      </c>
    </row>
    <row r="90" spans="2:38" s="335" customFormat="1">
      <c r="B90" s="338" t="s">
        <v>1436</v>
      </c>
      <c r="C90" s="329" t="s">
        <v>581</v>
      </c>
      <c r="D90" s="339">
        <v>0.5296707518153676</v>
      </c>
      <c r="E90" s="339">
        <v>0.52810119286309487</v>
      </c>
      <c r="F90" s="339">
        <v>0.55441454643757981</v>
      </c>
      <c r="G90" s="339">
        <v>0.5484917539361468</v>
      </c>
      <c r="H90" s="339">
        <v>0.54755432543554672</v>
      </c>
      <c r="I90" s="339">
        <v>0.54509174563138696</v>
      </c>
      <c r="J90" s="339">
        <v>0.54077294449209656</v>
      </c>
      <c r="K90" s="339">
        <v>0.5399952393166455</v>
      </c>
      <c r="L90" s="334">
        <f t="shared" si="19"/>
        <v>0.54176156249098317</v>
      </c>
      <c r="O90" s="338" t="str">
        <f t="shared" si="20"/>
        <v>Kentucky Utilities Company</v>
      </c>
      <c r="P90" s="338" t="str">
        <f t="shared" si="20"/>
        <v>PPL</v>
      </c>
      <c r="Q90" s="340">
        <v>0.4703292481846324</v>
      </c>
      <c r="R90" s="340">
        <v>0.47189880713690507</v>
      </c>
      <c r="S90" s="340">
        <v>0.44558545356242013</v>
      </c>
      <c r="T90" s="340">
        <v>0.4515082460638532</v>
      </c>
      <c r="U90" s="340">
        <v>0.45244567456445334</v>
      </c>
      <c r="V90" s="340">
        <v>0.45490825436861304</v>
      </c>
      <c r="W90" s="340">
        <v>0.45922705550790344</v>
      </c>
      <c r="X90" s="340">
        <v>0.46000476068335444</v>
      </c>
      <c r="Y90" s="334">
        <f t="shared" si="21"/>
        <v>0.45823843750901688</v>
      </c>
      <c r="AB90" s="36" t="str">
        <f t="shared" si="22"/>
        <v>Kentucky Utilities Company</v>
      </c>
      <c r="AC90" s="36" t="str">
        <f t="shared" si="22"/>
        <v>PPL</v>
      </c>
      <c r="AD90" s="339">
        <v>0</v>
      </c>
      <c r="AE90" s="339">
        <v>0</v>
      </c>
      <c r="AF90" s="339">
        <v>0</v>
      </c>
      <c r="AG90" s="339">
        <v>0</v>
      </c>
      <c r="AH90" s="339">
        <v>0</v>
      </c>
      <c r="AI90" s="339">
        <v>0</v>
      </c>
      <c r="AJ90" s="339">
        <v>0</v>
      </c>
      <c r="AK90" s="339">
        <v>0</v>
      </c>
      <c r="AL90" s="334">
        <f t="shared" si="23"/>
        <v>0</v>
      </c>
    </row>
    <row r="91" spans="2:38" s="335" customFormat="1">
      <c r="B91" s="338" t="s">
        <v>1437</v>
      </c>
      <c r="C91" s="329" t="s">
        <v>581</v>
      </c>
      <c r="D91" s="339">
        <v>0.54102395717113139</v>
      </c>
      <c r="E91" s="339">
        <v>0.5388415317015367</v>
      </c>
      <c r="F91" s="339">
        <v>0.56161196510178646</v>
      </c>
      <c r="G91" s="339">
        <v>0.55801524215157894</v>
      </c>
      <c r="H91" s="339">
        <v>0.55350419173428023</v>
      </c>
      <c r="I91" s="339">
        <v>0.54972202788033642</v>
      </c>
      <c r="J91" s="339">
        <v>0.54457939133522359</v>
      </c>
      <c r="K91" s="339">
        <v>0.55424315837814242</v>
      </c>
      <c r="L91" s="334">
        <f t="shared" si="19"/>
        <v>0.55019268318175196</v>
      </c>
      <c r="O91" s="338" t="str">
        <f t="shared" si="20"/>
        <v>Louisville Gas and Electric Company</v>
      </c>
      <c r="P91" s="338" t="str">
        <f t="shared" si="20"/>
        <v>PPL</v>
      </c>
      <c r="Q91" s="340">
        <v>0.45897604282886856</v>
      </c>
      <c r="R91" s="340">
        <v>0.4611584682984633</v>
      </c>
      <c r="S91" s="340">
        <v>0.43838803489821354</v>
      </c>
      <c r="T91" s="340">
        <v>0.44198475784842106</v>
      </c>
      <c r="U91" s="340">
        <v>0.44649580826571977</v>
      </c>
      <c r="V91" s="340">
        <v>0.45027797211966358</v>
      </c>
      <c r="W91" s="340">
        <v>0.45542060866477646</v>
      </c>
      <c r="X91" s="340">
        <v>0.44575684162185752</v>
      </c>
      <c r="Y91" s="334">
        <f t="shared" si="21"/>
        <v>0.44980731681824798</v>
      </c>
      <c r="AB91" s="36" t="str">
        <f t="shared" si="22"/>
        <v>Louisville Gas and Electric Company</v>
      </c>
      <c r="AC91" s="36" t="str">
        <f t="shared" si="22"/>
        <v>PPL</v>
      </c>
      <c r="AD91" s="339">
        <v>0</v>
      </c>
      <c r="AE91" s="339">
        <v>0</v>
      </c>
      <c r="AF91" s="339">
        <v>0</v>
      </c>
      <c r="AG91" s="339">
        <v>0</v>
      </c>
      <c r="AH91" s="339">
        <v>0</v>
      </c>
      <c r="AI91" s="339">
        <v>0</v>
      </c>
      <c r="AJ91" s="339">
        <v>0</v>
      </c>
      <c r="AK91" s="339">
        <v>0</v>
      </c>
      <c r="AL91" s="334">
        <f t="shared" si="23"/>
        <v>0</v>
      </c>
    </row>
    <row r="92" spans="2:38" s="335" customFormat="1">
      <c r="B92" s="338" t="s">
        <v>1438</v>
      </c>
      <c r="C92" s="329" t="s">
        <v>581</v>
      </c>
      <c r="D92" s="339">
        <v>0.54442539956964142</v>
      </c>
      <c r="E92" s="339">
        <v>0.54514397183448049</v>
      </c>
      <c r="F92" s="339">
        <v>0.54524023005460032</v>
      </c>
      <c r="G92" s="339">
        <v>0.54515774947103113</v>
      </c>
      <c r="H92" s="339">
        <v>0.5465493754687305</v>
      </c>
      <c r="I92" s="339">
        <v>0.54281785402881988</v>
      </c>
      <c r="J92" s="339">
        <v>0.55037048474048345</v>
      </c>
      <c r="K92" s="339">
        <v>0.54573949665655885</v>
      </c>
      <c r="L92" s="334">
        <f t="shared" si="19"/>
        <v>0.54568057022804328</v>
      </c>
      <c r="O92" s="338" t="str">
        <f t="shared" si="20"/>
        <v>PPL Electric Utilities Corporation</v>
      </c>
      <c r="P92" s="338" t="str">
        <f t="shared" si="20"/>
        <v>PPL</v>
      </c>
      <c r="Q92" s="340">
        <v>0.45557460043035858</v>
      </c>
      <c r="R92" s="340">
        <v>0.45485602816551951</v>
      </c>
      <c r="S92" s="340">
        <v>0.45475976994539974</v>
      </c>
      <c r="T92" s="340">
        <v>0.45484225052896893</v>
      </c>
      <c r="U92" s="340">
        <v>0.45345062453126944</v>
      </c>
      <c r="V92" s="340">
        <v>0.45718214597118012</v>
      </c>
      <c r="W92" s="340">
        <v>0.44962951525951661</v>
      </c>
      <c r="X92" s="340">
        <v>0.45426050334344109</v>
      </c>
      <c r="Y92" s="334">
        <f t="shared" si="21"/>
        <v>0.45431942977195677</v>
      </c>
      <c r="AB92" s="36" t="str">
        <f t="shared" si="22"/>
        <v>PPL Electric Utilities Corporation</v>
      </c>
      <c r="AC92" s="36" t="str">
        <f t="shared" si="22"/>
        <v>PPL</v>
      </c>
      <c r="AD92" s="339">
        <v>0</v>
      </c>
      <c r="AE92" s="339">
        <v>0</v>
      </c>
      <c r="AF92" s="339">
        <v>0</v>
      </c>
      <c r="AG92" s="339">
        <v>0</v>
      </c>
      <c r="AH92" s="339">
        <v>0</v>
      </c>
      <c r="AI92" s="339">
        <v>0</v>
      </c>
      <c r="AJ92" s="339">
        <v>0</v>
      </c>
      <c r="AK92" s="339">
        <v>0</v>
      </c>
      <c r="AL92" s="334">
        <f t="shared" si="23"/>
        <v>0</v>
      </c>
    </row>
    <row r="93" spans="2:38" s="335" customFormat="1">
      <c r="B93" s="338" t="s">
        <v>1439</v>
      </c>
      <c r="C93" s="329" t="s">
        <v>617</v>
      </c>
      <c r="D93" s="339">
        <v>0.50597083279138144</v>
      </c>
      <c r="E93" s="339">
        <v>0.51625049490848451</v>
      </c>
      <c r="F93" s="339">
        <v>0.51314799043157167</v>
      </c>
      <c r="G93" s="339">
        <v>0.46876218869110337</v>
      </c>
      <c r="H93" s="339">
        <v>0.47235959762032453</v>
      </c>
      <c r="I93" s="339">
        <v>0.46622671803639115</v>
      </c>
      <c r="J93" s="339">
        <v>0.47907193732906067</v>
      </c>
      <c r="K93" s="339">
        <v>0.46124581028021244</v>
      </c>
      <c r="L93" s="334">
        <f t="shared" si="19"/>
        <v>0.48537944626106622</v>
      </c>
      <c r="O93" s="338" t="str">
        <f t="shared" si="20"/>
        <v>Alabama Power Company</v>
      </c>
      <c r="P93" s="338" t="str">
        <f t="shared" si="20"/>
        <v>SO</v>
      </c>
      <c r="Q93" s="340">
        <v>0.47744950819748871</v>
      </c>
      <c r="R93" s="340">
        <v>0.46633996172278597</v>
      </c>
      <c r="S93" s="340">
        <v>0.46933026832036179</v>
      </c>
      <c r="T93" s="340">
        <v>0.51256969358665894</v>
      </c>
      <c r="U93" s="340">
        <v>0.50909810474199357</v>
      </c>
      <c r="V93" s="340">
        <v>0.51501486268918051</v>
      </c>
      <c r="W93" s="340">
        <v>0.50148053452855967</v>
      </c>
      <c r="X93" s="340">
        <v>0.51864056007066728</v>
      </c>
      <c r="Y93" s="334">
        <f t="shared" si="21"/>
        <v>0.49624043673221202</v>
      </c>
      <c r="AB93" s="36" t="str">
        <f t="shared" si="22"/>
        <v>Alabama Power Company</v>
      </c>
      <c r="AC93" s="36" t="str">
        <f t="shared" si="22"/>
        <v>SO</v>
      </c>
      <c r="AD93" s="339">
        <v>1.6579659011129823E-2</v>
      </c>
      <c r="AE93" s="339">
        <v>1.7409543368729553E-2</v>
      </c>
      <c r="AF93" s="339">
        <v>1.7521741248066575E-2</v>
      </c>
      <c r="AG93" s="339">
        <v>1.8668117722237643E-2</v>
      </c>
      <c r="AH93" s="339">
        <v>1.8542297637681913E-2</v>
      </c>
      <c r="AI93" s="339">
        <v>1.8758419274428388E-2</v>
      </c>
      <c r="AJ93" s="339">
        <v>1.9447528142379711E-2</v>
      </c>
      <c r="AK93" s="339">
        <v>2.011362964912022E-2</v>
      </c>
      <c r="AL93" s="334">
        <f t="shared" si="23"/>
        <v>1.8380117006721729E-2</v>
      </c>
    </row>
    <row r="94" spans="2:38" s="335" customFormat="1">
      <c r="B94" s="338" t="s">
        <v>1440</v>
      </c>
      <c r="C94" s="329" t="s">
        <v>617</v>
      </c>
      <c r="D94" s="339">
        <v>0.55383506298716845</v>
      </c>
      <c r="E94" s="339">
        <v>0.56387979383771669</v>
      </c>
      <c r="F94" s="339">
        <v>0.56432005300703769</v>
      </c>
      <c r="G94" s="339">
        <v>0.59017598633864055</v>
      </c>
      <c r="H94" s="339">
        <v>0.57265196780518191</v>
      </c>
      <c r="I94" s="339">
        <v>0.54969001565846742</v>
      </c>
      <c r="J94" s="339">
        <v>0.5380526262907247</v>
      </c>
      <c r="K94" s="339">
        <v>0.50064261478887617</v>
      </c>
      <c r="L94" s="334">
        <f t="shared" si="19"/>
        <v>0.55415601508922663</v>
      </c>
      <c r="O94" s="338" t="str">
        <f t="shared" si="20"/>
        <v>Georgia Power Company</v>
      </c>
      <c r="P94" s="338" t="str">
        <f t="shared" si="20"/>
        <v>SO</v>
      </c>
      <c r="Q94" s="340">
        <v>0.4461649370128315</v>
      </c>
      <c r="R94" s="340">
        <v>0.43612020616228336</v>
      </c>
      <c r="S94" s="340">
        <v>0.43567994699296231</v>
      </c>
      <c r="T94" s="340">
        <v>0.40982401366135945</v>
      </c>
      <c r="U94" s="340">
        <v>0.42734803219481804</v>
      </c>
      <c r="V94" s="340">
        <v>0.45030998434153252</v>
      </c>
      <c r="W94" s="340">
        <v>0.46194737370927536</v>
      </c>
      <c r="X94" s="340">
        <v>0.49935738521112383</v>
      </c>
      <c r="Y94" s="334">
        <f t="shared" si="21"/>
        <v>0.44584398491077332</v>
      </c>
      <c r="AB94" s="36" t="str">
        <f t="shared" si="22"/>
        <v>Georgia Power Company</v>
      </c>
      <c r="AC94" s="36" t="str">
        <f t="shared" si="22"/>
        <v>SO</v>
      </c>
      <c r="AD94" s="339">
        <v>0</v>
      </c>
      <c r="AE94" s="339">
        <v>0</v>
      </c>
      <c r="AF94" s="339">
        <v>0</v>
      </c>
      <c r="AG94" s="339">
        <v>0</v>
      </c>
      <c r="AH94" s="339">
        <v>0</v>
      </c>
      <c r="AI94" s="339">
        <v>0</v>
      </c>
      <c r="AJ94" s="339">
        <v>0</v>
      </c>
      <c r="AK94" s="339">
        <v>0</v>
      </c>
      <c r="AL94" s="334">
        <f t="shared" si="23"/>
        <v>0</v>
      </c>
    </row>
    <row r="95" spans="2:38" s="335" customFormat="1">
      <c r="B95" s="338" t="s">
        <v>1441</v>
      </c>
      <c r="C95" s="329" t="s">
        <v>617</v>
      </c>
      <c r="D95" s="339">
        <v>0.50232897553273137</v>
      </c>
      <c r="E95" s="339">
        <v>0.49867604010332656</v>
      </c>
      <c r="F95" s="339">
        <v>0.4972577340794298</v>
      </c>
      <c r="G95" s="339">
        <v>0.50345292804293196</v>
      </c>
      <c r="H95" s="339">
        <v>0.44805542063609383</v>
      </c>
      <c r="I95" s="339">
        <v>0.43410704146253887</v>
      </c>
      <c r="J95" s="339">
        <v>0.4254293633696038</v>
      </c>
      <c r="K95" s="339">
        <v>0.38960326212691548</v>
      </c>
      <c r="L95" s="334">
        <f t="shared" si="19"/>
        <v>0.46236384566919636</v>
      </c>
      <c r="O95" s="338" t="str">
        <f t="shared" si="20"/>
        <v>Mississippi Power Company</v>
      </c>
      <c r="P95" s="338" t="str">
        <f t="shared" si="20"/>
        <v>SO</v>
      </c>
      <c r="Q95" s="340">
        <v>0.49767102446726869</v>
      </c>
      <c r="R95" s="340">
        <v>0.50132395989667344</v>
      </c>
      <c r="S95" s="340">
        <v>0.50274226592057014</v>
      </c>
      <c r="T95" s="340">
        <v>0.49654707195706804</v>
      </c>
      <c r="U95" s="340">
        <v>0.54156547707038571</v>
      </c>
      <c r="V95" s="340">
        <v>0.55551179292461794</v>
      </c>
      <c r="W95" s="340">
        <v>0.56404141244906458</v>
      </c>
      <c r="X95" s="340">
        <v>0.60080364836494671</v>
      </c>
      <c r="Y95" s="334">
        <f t="shared" si="21"/>
        <v>0.53252583163132439</v>
      </c>
      <c r="AB95" s="36" t="str">
        <f t="shared" si="22"/>
        <v>Mississippi Power Company</v>
      </c>
      <c r="AC95" s="36" t="str">
        <f t="shared" si="22"/>
        <v>SO</v>
      </c>
      <c r="AD95" s="339">
        <v>0</v>
      </c>
      <c r="AE95" s="339">
        <v>0</v>
      </c>
      <c r="AF95" s="339">
        <v>0</v>
      </c>
      <c r="AG95" s="339">
        <v>0</v>
      </c>
      <c r="AH95" s="339">
        <v>1.037910229352043E-2</v>
      </c>
      <c r="AI95" s="339">
        <v>1.0381165612843187E-2</v>
      </c>
      <c r="AJ95" s="339">
        <v>1.0529224181331632E-2</v>
      </c>
      <c r="AK95" s="339">
        <v>9.5930895081378087E-3</v>
      </c>
      <c r="AL95" s="334">
        <f t="shared" si="23"/>
        <v>5.1103226994791322E-3</v>
      </c>
    </row>
    <row r="96" spans="2:38" s="335" customFormat="1">
      <c r="B96" s="338" t="s">
        <v>1442</v>
      </c>
      <c r="C96" s="329" t="s">
        <v>733</v>
      </c>
      <c r="D96" s="339">
        <v>0.51790949275360432</v>
      </c>
      <c r="E96" s="339">
        <v>0.53664260675181841</v>
      </c>
      <c r="F96" s="339">
        <v>0.53641358935714412</v>
      </c>
      <c r="G96" s="339">
        <v>0.52813521467804425</v>
      </c>
      <c r="H96" s="339">
        <v>0.52635107168993367</v>
      </c>
      <c r="I96" s="339">
        <v>0.5260788676488436</v>
      </c>
      <c r="J96" s="339">
        <v>0.52591615296458516</v>
      </c>
      <c r="K96" s="339">
        <v>0.52378576857201209</v>
      </c>
      <c r="L96" s="334">
        <f t="shared" si="19"/>
        <v>0.52765409555199816</v>
      </c>
      <c r="O96" s="338" t="str">
        <f t="shared" si="20"/>
        <v>Northern States Power Company - MN</v>
      </c>
      <c r="P96" s="338" t="str">
        <f t="shared" si="20"/>
        <v>XEL</v>
      </c>
      <c r="Q96" s="340">
        <v>0.48209050724639563</v>
      </c>
      <c r="R96" s="340">
        <v>0.46335739324818154</v>
      </c>
      <c r="S96" s="340">
        <v>0.46358641064285583</v>
      </c>
      <c r="T96" s="340">
        <v>0.47186478532195569</v>
      </c>
      <c r="U96" s="340">
        <v>0.47364892831006633</v>
      </c>
      <c r="V96" s="340">
        <v>0.4739211323511564</v>
      </c>
      <c r="W96" s="340">
        <v>0.47408384703541484</v>
      </c>
      <c r="X96" s="340">
        <v>0.47621423142798791</v>
      </c>
      <c r="Y96" s="334">
        <f t="shared" si="21"/>
        <v>0.47234590444800184</v>
      </c>
      <c r="AB96" s="36" t="str">
        <f t="shared" si="22"/>
        <v>Northern States Power Company - MN</v>
      </c>
      <c r="AC96" s="36" t="str">
        <f t="shared" si="22"/>
        <v>XEL</v>
      </c>
      <c r="AD96" s="339">
        <v>0</v>
      </c>
      <c r="AE96" s="339">
        <v>0</v>
      </c>
      <c r="AF96" s="339">
        <v>0</v>
      </c>
      <c r="AG96" s="339">
        <v>0</v>
      </c>
      <c r="AH96" s="339">
        <v>0</v>
      </c>
      <c r="AI96" s="339">
        <v>0</v>
      </c>
      <c r="AJ96" s="339">
        <v>0</v>
      </c>
      <c r="AK96" s="339">
        <v>0</v>
      </c>
      <c r="AL96" s="334">
        <f t="shared" si="23"/>
        <v>0</v>
      </c>
    </row>
    <row r="97" spans="2:39" s="335" customFormat="1">
      <c r="B97" s="338" t="s">
        <v>1443</v>
      </c>
      <c r="C97" s="329" t="s">
        <v>733</v>
      </c>
      <c r="D97" s="339">
        <v>0.53556307900053679</v>
      </c>
      <c r="E97" s="339">
        <v>0.53490622136854027</v>
      </c>
      <c r="F97" s="339">
        <v>0.5359365275143394</v>
      </c>
      <c r="G97" s="339">
        <v>0.53604430446349494</v>
      </c>
      <c r="H97" s="339">
        <v>0.484488463645187</v>
      </c>
      <c r="I97" s="339">
        <v>0.53854779082994653</v>
      </c>
      <c r="J97" s="339">
        <v>0.53792258746947752</v>
      </c>
      <c r="K97" s="339">
        <v>0.53361331237650222</v>
      </c>
      <c r="L97" s="334">
        <f t="shared" si="19"/>
        <v>0.52962778583350312</v>
      </c>
      <c r="O97" s="338" t="str">
        <f t="shared" si="20"/>
        <v>Northern States Power Company - WI</v>
      </c>
      <c r="P97" s="338" t="str">
        <f t="shared" si="20"/>
        <v>XEL</v>
      </c>
      <c r="Q97" s="340">
        <v>0.46443692099946315</v>
      </c>
      <c r="R97" s="340">
        <v>0.46509377863145968</v>
      </c>
      <c r="S97" s="340">
        <v>0.46406347248566054</v>
      </c>
      <c r="T97" s="340">
        <v>0.46395569553650506</v>
      </c>
      <c r="U97" s="340">
        <v>0.51551153635481295</v>
      </c>
      <c r="V97" s="340">
        <v>0.46145220917005347</v>
      </c>
      <c r="W97" s="340">
        <v>0.46207741253052242</v>
      </c>
      <c r="X97" s="340">
        <v>0.46638668762349778</v>
      </c>
      <c r="Y97" s="334">
        <f t="shared" si="21"/>
        <v>0.47037221416649688</v>
      </c>
      <c r="AB97" s="36" t="str">
        <f t="shared" si="22"/>
        <v>Northern States Power Company - WI</v>
      </c>
      <c r="AC97" s="36" t="str">
        <f t="shared" si="22"/>
        <v>XEL</v>
      </c>
      <c r="AD97" s="339">
        <v>0</v>
      </c>
      <c r="AE97" s="339">
        <v>0</v>
      </c>
      <c r="AF97" s="339">
        <v>0</v>
      </c>
      <c r="AG97" s="339">
        <v>0</v>
      </c>
      <c r="AH97" s="339">
        <v>0</v>
      </c>
      <c r="AI97" s="339">
        <v>0</v>
      </c>
      <c r="AJ97" s="339">
        <v>0</v>
      </c>
      <c r="AK97" s="339">
        <v>0</v>
      </c>
      <c r="AL97" s="334">
        <f t="shared" si="23"/>
        <v>0</v>
      </c>
    </row>
    <row r="98" spans="2:39" s="335" customFormat="1">
      <c r="B98" s="338" t="s">
        <v>1444</v>
      </c>
      <c r="C98" s="329" t="s">
        <v>733</v>
      </c>
      <c r="D98" s="339">
        <v>0.56353727820579846</v>
      </c>
      <c r="E98" s="339">
        <v>0.57525309224786414</v>
      </c>
      <c r="F98" s="339">
        <v>0.5668010310625653</v>
      </c>
      <c r="G98" s="339">
        <v>0.56313791830103632</v>
      </c>
      <c r="H98" s="339">
        <v>0.56081629666438815</v>
      </c>
      <c r="I98" s="339">
        <v>0.54172382555822163</v>
      </c>
      <c r="J98" s="339">
        <v>0.56665163514409256</v>
      </c>
      <c r="K98" s="339">
        <v>0.56504189929646098</v>
      </c>
      <c r="L98" s="334">
        <f t="shared" si="19"/>
        <v>0.56287037206005341</v>
      </c>
      <c r="O98" s="338" t="str">
        <f t="shared" ref="O98:P99" si="24">B98</f>
        <v>Public Service Company of Colorado</v>
      </c>
      <c r="P98" s="338" t="str">
        <f t="shared" si="24"/>
        <v>XEL</v>
      </c>
      <c r="Q98" s="340">
        <v>0.43646272179420154</v>
      </c>
      <c r="R98" s="340">
        <v>0.4247469077521358</v>
      </c>
      <c r="S98" s="340">
        <v>0.4331989689374347</v>
      </c>
      <c r="T98" s="340">
        <v>0.43686208169896362</v>
      </c>
      <c r="U98" s="340">
        <v>0.4391837033356118</v>
      </c>
      <c r="V98" s="340">
        <v>0.45827617444177837</v>
      </c>
      <c r="W98" s="340">
        <v>0.43334836485590744</v>
      </c>
      <c r="X98" s="340">
        <v>0.43495810070353902</v>
      </c>
      <c r="Y98" s="334">
        <f t="shared" si="21"/>
        <v>0.43712962793994659</v>
      </c>
      <c r="AB98" s="36" t="str">
        <f t="shared" ref="AB98:AC99" si="25">O98</f>
        <v>Public Service Company of Colorado</v>
      </c>
      <c r="AC98" s="36" t="str">
        <f t="shared" si="25"/>
        <v>XEL</v>
      </c>
      <c r="AD98" s="339">
        <v>0</v>
      </c>
      <c r="AE98" s="339">
        <v>0</v>
      </c>
      <c r="AF98" s="339">
        <v>0</v>
      </c>
      <c r="AG98" s="339">
        <v>0</v>
      </c>
      <c r="AH98" s="339">
        <v>0</v>
      </c>
      <c r="AI98" s="339">
        <v>0</v>
      </c>
      <c r="AJ98" s="339">
        <v>0</v>
      </c>
      <c r="AK98" s="339">
        <v>0</v>
      </c>
      <c r="AL98" s="334">
        <f t="shared" si="23"/>
        <v>0</v>
      </c>
    </row>
    <row r="99" spans="2:39" s="335" customFormat="1">
      <c r="B99" s="338" t="s">
        <v>1445</v>
      </c>
      <c r="C99" s="329" t="s">
        <v>733</v>
      </c>
      <c r="D99" s="339">
        <v>0.54211431743964567</v>
      </c>
      <c r="E99" s="339">
        <v>0.54138711784982085</v>
      </c>
      <c r="F99" s="339">
        <v>0.54131458679643596</v>
      </c>
      <c r="G99" s="339">
        <v>0.54165704871895337</v>
      </c>
      <c r="H99" s="339">
        <v>0.56294459814144848</v>
      </c>
      <c r="I99" s="339">
        <v>0.53878099995882689</v>
      </c>
      <c r="J99" s="339">
        <v>0.53543436323763205</v>
      </c>
      <c r="K99" s="339">
        <v>0.53545326543035798</v>
      </c>
      <c r="L99" s="334">
        <f>AVERAGE(D99:K99)</f>
        <v>0.5423857871966401</v>
      </c>
      <c r="O99" s="338" t="str">
        <f t="shared" si="24"/>
        <v>Southwestern Public Service Company</v>
      </c>
      <c r="P99" s="338" t="str">
        <f t="shared" si="24"/>
        <v>XEL</v>
      </c>
      <c r="Q99" s="340">
        <v>0.45788568256035439</v>
      </c>
      <c r="R99" s="340">
        <v>0.45861288215017909</v>
      </c>
      <c r="S99" s="340">
        <v>0.4586854132035641</v>
      </c>
      <c r="T99" s="340">
        <v>0.45834295128104657</v>
      </c>
      <c r="U99" s="340">
        <v>0.43705540185855146</v>
      </c>
      <c r="V99" s="340">
        <v>0.46121900004117317</v>
      </c>
      <c r="W99" s="340">
        <v>0.46456563676236795</v>
      </c>
      <c r="X99" s="340">
        <v>0.46454673456964202</v>
      </c>
      <c r="Y99" s="334">
        <f t="shared" ref="Y99" si="26">AVERAGE(Q99:X99)</f>
        <v>0.45761421280335984</v>
      </c>
      <c r="AB99" s="36" t="str">
        <f t="shared" si="25"/>
        <v>Southwestern Public Service Company</v>
      </c>
      <c r="AC99" s="36" t="str">
        <f t="shared" si="25"/>
        <v>XEL</v>
      </c>
      <c r="AD99" s="339">
        <v>0</v>
      </c>
      <c r="AE99" s="339">
        <v>0</v>
      </c>
      <c r="AF99" s="339">
        <v>0</v>
      </c>
      <c r="AG99" s="339">
        <v>0</v>
      </c>
      <c r="AH99" s="339">
        <v>0</v>
      </c>
      <c r="AI99" s="339">
        <v>0</v>
      </c>
      <c r="AJ99" s="339">
        <v>0</v>
      </c>
      <c r="AK99" s="339">
        <v>0</v>
      </c>
      <c r="AL99" s="334">
        <f t="shared" ref="AL99" si="27">AVERAGE(AD99:AK99)</f>
        <v>0</v>
      </c>
    </row>
    <row r="100" spans="2:39" s="335" customFormat="1">
      <c r="B100" s="338"/>
      <c r="C100" s="329"/>
      <c r="D100" s="339"/>
      <c r="E100" s="339"/>
      <c r="F100" s="339"/>
      <c r="G100" s="339"/>
      <c r="H100" s="339"/>
      <c r="I100" s="339"/>
      <c r="J100" s="339"/>
      <c r="K100" s="339"/>
      <c r="L100" s="334"/>
      <c r="O100" s="338"/>
      <c r="P100" s="37"/>
      <c r="Q100" s="340"/>
      <c r="R100" s="340"/>
      <c r="S100" s="340"/>
      <c r="T100" s="340"/>
      <c r="U100" s="340"/>
      <c r="V100" s="340"/>
      <c r="W100" s="340"/>
      <c r="X100" s="340"/>
      <c r="Y100" s="334"/>
      <c r="AB100" s="36"/>
      <c r="AC100" s="36"/>
      <c r="AD100" s="339"/>
      <c r="AE100" s="339"/>
      <c r="AF100" s="339"/>
      <c r="AG100" s="339"/>
      <c r="AH100" s="339"/>
      <c r="AI100" s="339"/>
      <c r="AJ100" s="339"/>
      <c r="AK100" s="339"/>
      <c r="AL100" s="334"/>
    </row>
    <row r="101" spans="2:39">
      <c r="B101" s="341" t="s">
        <v>23</v>
      </c>
      <c r="O101" s="341" t="s">
        <v>23</v>
      </c>
      <c r="AB101" s="341" t="s">
        <v>23</v>
      </c>
    </row>
    <row r="102" spans="2:39">
      <c r="B102" s="342" t="s">
        <v>1521</v>
      </c>
      <c r="O102" s="342" t="s">
        <v>1521</v>
      </c>
      <c r="AB102" s="342" t="s">
        <v>1521</v>
      </c>
    </row>
    <row r="103" spans="2:39">
      <c r="B103" s="342" t="s">
        <v>1446</v>
      </c>
      <c r="M103" s="343"/>
      <c r="N103" s="343"/>
      <c r="O103" s="342" t="s">
        <v>1446</v>
      </c>
      <c r="Z103" s="343"/>
      <c r="AA103" s="343"/>
      <c r="AB103" s="342" t="s">
        <v>1446</v>
      </c>
      <c r="AC103" s="343"/>
      <c r="AD103" s="343"/>
      <c r="AE103" s="343"/>
      <c r="AF103" s="343"/>
      <c r="AG103" s="343"/>
      <c r="AH103" s="343"/>
      <c r="AI103" s="343"/>
      <c r="AJ103" s="343"/>
      <c r="AK103" s="343"/>
      <c r="AL103" s="343"/>
      <c r="AM103" s="343"/>
    </row>
  </sheetData>
  <dataConsolidate/>
  <mergeCells count="9">
    <mergeCell ref="B32:L32"/>
    <mergeCell ref="O32:Y32"/>
    <mergeCell ref="AB32:AL32"/>
    <mergeCell ref="B1:L1"/>
    <mergeCell ref="O1:Y1"/>
    <mergeCell ref="AB1:AL1"/>
    <mergeCell ref="B3:L3"/>
    <mergeCell ref="O3:Y3"/>
    <mergeCell ref="AB3:AL3"/>
  </mergeCells>
  <conditionalFormatting sqref="B5:C27">
    <cfRule type="expression" dxfId="1" priority="1">
      <formula>"(blank)"</formula>
    </cfRule>
  </conditionalFormatting>
  <conditionalFormatting sqref="B5:C27">
    <cfRule type="expression" dxfId="0" priority="2">
      <formula>#REF!</formula>
    </cfRule>
  </conditionalFormatting>
  <printOptions horizontalCentered="1"/>
  <pageMargins left="0.7" right="0.7" top="0.75" bottom="0.75" header="0.3" footer="0.3"/>
  <pageSetup scale="52" orientation="portrait" useFirstPageNumber="1" r:id="rId1"/>
  <headerFooter>
    <oddHeader>&amp;RDocket No. UE-19____
PacifiCorp
Exhibit No. AEB-13
Page &amp;P of 3</oddHeader>
  </headerFooter>
  <colBreaks count="2" manualBreakCount="2">
    <brk id="13" max="1048575" man="1"/>
    <brk id="2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7"/>
  <sheetViews>
    <sheetView zoomScale="80" zoomScaleNormal="80" zoomScaleSheetLayoutView="100" zoomScalePageLayoutView="70" workbookViewId="0"/>
  </sheetViews>
  <sheetFormatPr defaultColWidth="9.140625" defaultRowHeight="12.75"/>
  <cols>
    <col min="1" max="1" width="35" style="19" customWidth="1"/>
    <col min="2" max="2" width="8.85546875" style="19" customWidth="1"/>
    <col min="3" max="3" width="23.7109375" style="19" customWidth="1"/>
    <col min="4" max="4" width="13.5703125" style="19" customWidth="1"/>
    <col min="5" max="5" width="13.28515625" style="19" customWidth="1"/>
    <col min="6" max="6" width="15.85546875" style="19" customWidth="1"/>
    <col min="7" max="8" width="14.5703125" style="19" customWidth="1"/>
    <col min="9" max="9" width="13" style="19" customWidth="1"/>
    <col min="10" max="10" width="13.140625" style="19" customWidth="1"/>
    <col min="11" max="11" width="12.42578125" style="19" customWidth="1"/>
    <col min="12" max="12" width="9.140625" style="19"/>
    <col min="13" max="13" width="9.85546875" style="19" customWidth="1"/>
    <col min="14" max="14" width="10.85546875" style="19" customWidth="1"/>
    <col min="15" max="15" width="9.140625" style="19"/>
    <col min="16" max="16" width="11.28515625" style="19" customWidth="1"/>
    <col min="17" max="16384" width="9.140625" style="19"/>
  </cols>
  <sheetData>
    <row r="1" spans="1:11">
      <c r="I1" s="167"/>
      <c r="J1" s="167"/>
      <c r="K1" s="167"/>
    </row>
    <row r="2" spans="1:11">
      <c r="A2" s="384" t="s">
        <v>1491</v>
      </c>
      <c r="B2" s="384"/>
      <c r="C2" s="384"/>
      <c r="D2" s="384"/>
      <c r="E2" s="384"/>
      <c r="F2" s="384"/>
      <c r="G2" s="384"/>
      <c r="H2" s="384"/>
      <c r="I2" s="384"/>
      <c r="J2" s="384"/>
      <c r="K2" s="384"/>
    </row>
    <row r="4" spans="1:11" ht="13.5" thickBot="1">
      <c r="C4" s="167" t="s">
        <v>4</v>
      </c>
      <c r="D4" s="167" t="s">
        <v>5</v>
      </c>
      <c r="E4" s="167" t="s">
        <v>6</v>
      </c>
      <c r="F4" s="167" t="s">
        <v>7</v>
      </c>
      <c r="G4" s="167" t="s">
        <v>8</v>
      </c>
      <c r="H4" s="167" t="s">
        <v>9</v>
      </c>
      <c r="I4" s="167" t="s">
        <v>10</v>
      </c>
      <c r="J4" s="167" t="s">
        <v>11</v>
      </c>
      <c r="K4" s="167" t="s">
        <v>12</v>
      </c>
    </row>
    <row r="5" spans="1:11" ht="76.5">
      <c r="A5" s="20" t="s">
        <v>0</v>
      </c>
      <c r="B5" s="20"/>
      <c r="C5" s="21" t="s">
        <v>65</v>
      </c>
      <c r="D5" s="22" t="s">
        <v>80</v>
      </c>
      <c r="E5" s="22" t="s">
        <v>66</v>
      </c>
      <c r="F5" s="22" t="s">
        <v>1262</v>
      </c>
      <c r="G5" s="22" t="s">
        <v>1263</v>
      </c>
      <c r="H5" s="22" t="s">
        <v>1264</v>
      </c>
      <c r="I5" s="22" t="s">
        <v>1265</v>
      </c>
      <c r="J5" s="22" t="s">
        <v>1266</v>
      </c>
      <c r="K5" s="22" t="s">
        <v>67</v>
      </c>
    </row>
    <row r="6" spans="1:11">
      <c r="A6" s="13" t="s">
        <v>1267</v>
      </c>
      <c r="B6" s="154" t="s">
        <v>1268</v>
      </c>
      <c r="C6" s="168" t="s">
        <v>1208</v>
      </c>
      <c r="D6" s="168" t="s">
        <v>68</v>
      </c>
      <c r="E6" s="168" t="s">
        <v>1208</v>
      </c>
      <c r="F6" s="168" t="s">
        <v>1208</v>
      </c>
      <c r="G6" s="168" t="s">
        <v>1208</v>
      </c>
      <c r="H6" s="169">
        <v>0.49917389890228747</v>
      </c>
      <c r="I6" s="170">
        <v>0.7504045507700402</v>
      </c>
      <c r="J6" s="170">
        <v>0.97428374366566428</v>
      </c>
      <c r="K6" s="170" t="s">
        <v>79</v>
      </c>
    </row>
    <row r="7" spans="1:11">
      <c r="A7" s="13" t="s">
        <v>1269</v>
      </c>
      <c r="B7" s="154" t="s">
        <v>1102</v>
      </c>
      <c r="C7" s="167" t="s">
        <v>1208</v>
      </c>
      <c r="D7" s="167" t="s">
        <v>69</v>
      </c>
      <c r="E7" s="167" t="s">
        <v>1208</v>
      </c>
      <c r="F7" s="167" t="s">
        <v>1208</v>
      </c>
      <c r="G7" s="167" t="s">
        <v>1208</v>
      </c>
      <c r="H7" s="70">
        <v>0.3226598384372128</v>
      </c>
      <c r="I7" s="171">
        <v>0.96867584984318622</v>
      </c>
      <c r="J7" s="171">
        <v>0.9389197487584191</v>
      </c>
      <c r="K7" s="171" t="s">
        <v>79</v>
      </c>
    </row>
    <row r="8" spans="1:11">
      <c r="A8" s="13" t="s">
        <v>1270</v>
      </c>
      <c r="B8" s="154" t="s">
        <v>930</v>
      </c>
      <c r="C8" s="167" t="s">
        <v>1208</v>
      </c>
      <c r="D8" s="167" t="s">
        <v>68</v>
      </c>
      <c r="E8" s="167" t="s">
        <v>1208</v>
      </c>
      <c r="F8" s="167" t="s">
        <v>1208</v>
      </c>
      <c r="G8" s="167" t="s">
        <v>1208</v>
      </c>
      <c r="H8" s="70">
        <v>0.49970706205777637</v>
      </c>
      <c r="I8" s="171">
        <v>1</v>
      </c>
      <c r="J8" s="171">
        <v>0.88298260654098382</v>
      </c>
      <c r="K8" s="171" t="s">
        <v>79</v>
      </c>
    </row>
    <row r="9" spans="1:11">
      <c r="A9" s="13" t="s">
        <v>1271</v>
      </c>
      <c r="B9" s="154" t="s">
        <v>319</v>
      </c>
      <c r="C9" s="167" t="s">
        <v>1208</v>
      </c>
      <c r="D9" s="167" t="s">
        <v>69</v>
      </c>
      <c r="E9" s="167" t="s">
        <v>1208</v>
      </c>
      <c r="F9" s="167" t="s">
        <v>1208</v>
      </c>
      <c r="G9" s="167" t="s">
        <v>1208</v>
      </c>
      <c r="H9" s="70">
        <v>0.51916436335255278</v>
      </c>
      <c r="I9" s="171">
        <v>0.95590275605458752</v>
      </c>
      <c r="J9" s="171">
        <v>1</v>
      </c>
      <c r="K9" s="171" t="s">
        <v>79</v>
      </c>
    </row>
    <row r="10" spans="1:11">
      <c r="A10" s="13" t="s">
        <v>1272</v>
      </c>
      <c r="B10" s="154" t="s">
        <v>1273</v>
      </c>
      <c r="C10" s="167" t="s">
        <v>1208</v>
      </c>
      <c r="D10" s="167" t="s">
        <v>88</v>
      </c>
      <c r="E10" s="167" t="s">
        <v>1208</v>
      </c>
      <c r="F10" s="167" t="s">
        <v>1208</v>
      </c>
      <c r="G10" s="167" t="s">
        <v>1208</v>
      </c>
      <c r="H10" s="70">
        <v>0.104120283168903</v>
      </c>
      <c r="I10" s="171">
        <v>1</v>
      </c>
      <c r="J10" s="171">
        <v>1</v>
      </c>
      <c r="K10" s="171" t="s">
        <v>79</v>
      </c>
    </row>
    <row r="11" spans="1:11">
      <c r="A11" s="13" t="s">
        <v>1274</v>
      </c>
      <c r="B11" s="154" t="s">
        <v>474</v>
      </c>
      <c r="C11" s="167" t="s">
        <v>1208</v>
      </c>
      <c r="D11" s="167" t="s">
        <v>68</v>
      </c>
      <c r="E11" s="167" t="s">
        <v>1208</v>
      </c>
      <c r="F11" s="167" t="s">
        <v>1208</v>
      </c>
      <c r="G11" s="167" t="s">
        <v>1208</v>
      </c>
      <c r="H11" s="70">
        <v>0.801568321257081</v>
      </c>
      <c r="I11" s="171">
        <v>0.94566670093554028</v>
      </c>
      <c r="J11" s="171">
        <v>0.67389078886686937</v>
      </c>
      <c r="K11" s="171" t="s">
        <v>79</v>
      </c>
    </row>
    <row r="12" spans="1:11">
      <c r="A12" s="13" t="s">
        <v>1275</v>
      </c>
      <c r="B12" s="154" t="s">
        <v>381</v>
      </c>
      <c r="C12" s="167" t="s">
        <v>1208</v>
      </c>
      <c r="D12" s="167" t="s">
        <v>68</v>
      </c>
      <c r="E12" s="167" t="s">
        <v>1208</v>
      </c>
      <c r="F12" s="167" t="s">
        <v>1208</v>
      </c>
      <c r="G12" s="167" t="s">
        <v>1208</v>
      </c>
      <c r="H12" s="70">
        <v>0.23175404319262818</v>
      </c>
      <c r="I12" s="171">
        <v>0.93823433640562548</v>
      </c>
      <c r="J12" s="171">
        <v>0.74195221108959186</v>
      </c>
      <c r="K12" s="171" t="s">
        <v>79</v>
      </c>
    </row>
    <row r="13" spans="1:11">
      <c r="A13" s="13" t="s">
        <v>1276</v>
      </c>
      <c r="B13" s="154" t="s">
        <v>405</v>
      </c>
      <c r="C13" s="167" t="s">
        <v>1208</v>
      </c>
      <c r="D13" s="167" t="s">
        <v>68</v>
      </c>
      <c r="E13" s="167" t="s">
        <v>1208</v>
      </c>
      <c r="F13" s="167" t="s">
        <v>1208</v>
      </c>
      <c r="G13" s="167" t="s">
        <v>1208</v>
      </c>
      <c r="H13" s="70">
        <v>0.16967022659036177</v>
      </c>
      <c r="I13" s="171">
        <v>0.95225521865381202</v>
      </c>
      <c r="J13" s="171">
        <v>0.657359723311851</v>
      </c>
      <c r="K13" s="171" t="s">
        <v>79</v>
      </c>
    </row>
    <row r="14" spans="1:11">
      <c r="A14" s="13" t="s">
        <v>1277</v>
      </c>
      <c r="B14" s="154" t="s">
        <v>983</v>
      </c>
      <c r="C14" s="167" t="s">
        <v>1208</v>
      </c>
      <c r="D14" s="167" t="s">
        <v>68</v>
      </c>
      <c r="E14" s="167" t="s">
        <v>1208</v>
      </c>
      <c r="F14" s="167" t="s">
        <v>1208</v>
      </c>
      <c r="G14" s="167" t="s">
        <v>1208</v>
      </c>
      <c r="H14" s="70">
        <v>0.50700682553066345</v>
      </c>
      <c r="I14" s="171">
        <v>0.92774265382588517</v>
      </c>
      <c r="J14" s="171">
        <v>0.80546930369539516</v>
      </c>
      <c r="K14" s="171" t="s">
        <v>79</v>
      </c>
    </row>
    <row r="15" spans="1:11">
      <c r="A15" s="13" t="s">
        <v>1278</v>
      </c>
      <c r="B15" s="154" t="s">
        <v>409</v>
      </c>
      <c r="C15" s="167" t="s">
        <v>1208</v>
      </c>
      <c r="D15" s="167" t="s">
        <v>69</v>
      </c>
      <c r="E15" s="167" t="s">
        <v>1208</v>
      </c>
      <c r="F15" s="167" t="s">
        <v>1208</v>
      </c>
      <c r="G15" s="167" t="s">
        <v>1208</v>
      </c>
      <c r="H15" s="70">
        <v>0.2795445269147756</v>
      </c>
      <c r="I15" s="171">
        <v>1</v>
      </c>
      <c r="J15" s="171">
        <v>0.93065820090598572</v>
      </c>
      <c r="K15" s="171" t="s">
        <v>79</v>
      </c>
    </row>
    <row r="16" spans="1:11">
      <c r="A16" s="13" t="s">
        <v>1279</v>
      </c>
      <c r="B16" s="154" t="s">
        <v>423</v>
      </c>
      <c r="C16" s="167" t="s">
        <v>1208</v>
      </c>
      <c r="D16" s="167" t="s">
        <v>68</v>
      </c>
      <c r="E16" s="167" t="s">
        <v>1208</v>
      </c>
      <c r="F16" s="167" t="s">
        <v>1208</v>
      </c>
      <c r="G16" s="167" t="s">
        <v>1208</v>
      </c>
      <c r="H16" s="70">
        <v>0.130656261060621</v>
      </c>
      <c r="I16" s="171">
        <v>1</v>
      </c>
      <c r="J16" s="171">
        <v>0.98851341342735743</v>
      </c>
      <c r="K16" s="171" t="s">
        <v>79</v>
      </c>
    </row>
    <row r="17" spans="1:11">
      <c r="A17" s="13" t="s">
        <v>1281</v>
      </c>
      <c r="B17" s="154" t="s">
        <v>1034</v>
      </c>
      <c r="C17" s="167" t="s">
        <v>1208</v>
      </c>
      <c r="D17" s="167" t="s">
        <v>69</v>
      </c>
      <c r="E17" s="167" t="s">
        <v>1208</v>
      </c>
      <c r="F17" s="167" t="s">
        <v>1208</v>
      </c>
      <c r="G17" s="167" t="s">
        <v>1208</v>
      </c>
      <c r="H17" s="70">
        <v>0.5000038550548207</v>
      </c>
      <c r="I17" s="171">
        <v>1</v>
      </c>
      <c r="J17" s="171">
        <v>1</v>
      </c>
      <c r="K17" s="171" t="s">
        <v>79</v>
      </c>
    </row>
    <row r="18" spans="1:11">
      <c r="A18" s="13" t="s">
        <v>1280</v>
      </c>
      <c r="B18" s="154" t="s">
        <v>922</v>
      </c>
      <c r="C18" s="167" t="s">
        <v>1208</v>
      </c>
      <c r="D18" s="167" t="s">
        <v>88</v>
      </c>
      <c r="E18" s="167" t="s">
        <v>1208</v>
      </c>
      <c r="F18" s="167" t="s">
        <v>1208</v>
      </c>
      <c r="G18" s="167" t="s">
        <v>1208</v>
      </c>
      <c r="H18" s="70">
        <v>0.8888643598521051</v>
      </c>
      <c r="I18" s="171">
        <v>1</v>
      </c>
      <c r="J18" s="171">
        <v>1</v>
      </c>
      <c r="K18" s="171" t="s">
        <v>79</v>
      </c>
    </row>
    <row r="19" spans="1:11">
      <c r="A19" s="13" t="s">
        <v>1282</v>
      </c>
      <c r="B19" s="154" t="s">
        <v>1283</v>
      </c>
      <c r="C19" s="167" t="s">
        <v>1208</v>
      </c>
      <c r="D19" s="167" t="s">
        <v>88</v>
      </c>
      <c r="E19" s="167" t="s">
        <v>1208</v>
      </c>
      <c r="F19" s="167" t="s">
        <v>1208</v>
      </c>
      <c r="G19" s="167" t="s">
        <v>1208</v>
      </c>
      <c r="H19" s="70">
        <v>0.26434664523027213</v>
      </c>
      <c r="I19" s="171">
        <v>0.98868953224754919</v>
      </c>
      <c r="J19" s="171">
        <v>1</v>
      </c>
      <c r="K19" s="171" t="s">
        <v>79</v>
      </c>
    </row>
    <row r="20" spans="1:11">
      <c r="A20" s="13" t="s">
        <v>1284</v>
      </c>
      <c r="B20" s="154" t="s">
        <v>438</v>
      </c>
      <c r="C20" s="167" t="s">
        <v>1208</v>
      </c>
      <c r="D20" s="167" t="s">
        <v>69</v>
      </c>
      <c r="E20" s="167" t="s">
        <v>1208</v>
      </c>
      <c r="F20" s="167" t="s">
        <v>1208</v>
      </c>
      <c r="G20" s="167" t="s">
        <v>1208</v>
      </c>
      <c r="H20" s="70">
        <v>8.5605414719970352E-2</v>
      </c>
      <c r="I20" s="171">
        <v>0.70038165305249933</v>
      </c>
      <c r="J20" s="171">
        <v>1</v>
      </c>
      <c r="K20" s="171" t="s">
        <v>79</v>
      </c>
    </row>
    <row r="21" spans="1:11">
      <c r="A21" s="13" t="s">
        <v>1285</v>
      </c>
      <c r="B21" s="154" t="s">
        <v>1286</v>
      </c>
      <c r="C21" s="167" t="s">
        <v>1208</v>
      </c>
      <c r="D21" s="167" t="s">
        <v>88</v>
      </c>
      <c r="E21" s="167" t="s">
        <v>1208</v>
      </c>
      <c r="F21" s="167" t="s">
        <v>1208</v>
      </c>
      <c r="G21" s="167" t="s">
        <v>1208</v>
      </c>
      <c r="H21" s="70">
        <v>0.32541917173927443</v>
      </c>
      <c r="I21" s="171">
        <v>0.99932935127482081</v>
      </c>
      <c r="J21" s="171">
        <v>0.84408003206730386</v>
      </c>
      <c r="K21" s="171" t="s">
        <v>79</v>
      </c>
    </row>
    <row r="22" spans="1:11">
      <c r="A22" s="13" t="s">
        <v>1287</v>
      </c>
      <c r="B22" s="154" t="s">
        <v>1288</v>
      </c>
      <c r="C22" s="167" t="s">
        <v>1208</v>
      </c>
      <c r="D22" s="167" t="s">
        <v>68</v>
      </c>
      <c r="E22" s="167" t="s">
        <v>1208</v>
      </c>
      <c r="F22" s="167" t="s">
        <v>1208</v>
      </c>
      <c r="G22" s="167" t="s">
        <v>1208</v>
      </c>
      <c r="H22" s="70">
        <v>0.37974740129696738</v>
      </c>
      <c r="I22" s="171">
        <v>0.99548358793383063</v>
      </c>
      <c r="J22" s="171">
        <v>1</v>
      </c>
      <c r="K22" s="171" t="s">
        <v>79</v>
      </c>
    </row>
    <row r="23" spans="1:11">
      <c r="A23" s="13" t="s">
        <v>1289</v>
      </c>
      <c r="B23" s="154" t="s">
        <v>589</v>
      </c>
      <c r="C23" s="167" t="s">
        <v>1208</v>
      </c>
      <c r="D23" s="167" t="s">
        <v>69</v>
      </c>
      <c r="E23" s="167" t="s">
        <v>1208</v>
      </c>
      <c r="F23" s="167" t="s">
        <v>1208</v>
      </c>
      <c r="G23" s="167" t="s">
        <v>1208</v>
      </c>
      <c r="H23" s="70">
        <v>0.25195881544586068</v>
      </c>
      <c r="I23" s="171">
        <v>1</v>
      </c>
      <c r="J23" s="171">
        <v>1</v>
      </c>
      <c r="K23" s="171" t="s">
        <v>79</v>
      </c>
    </row>
    <row r="24" spans="1:11">
      <c r="A24" s="13" t="s">
        <v>1290</v>
      </c>
      <c r="B24" s="154" t="s">
        <v>1291</v>
      </c>
      <c r="C24" s="167" t="s">
        <v>1208</v>
      </c>
      <c r="D24" s="167" t="s">
        <v>68</v>
      </c>
      <c r="E24" s="167" t="s">
        <v>1208</v>
      </c>
      <c r="F24" s="167" t="s">
        <v>1208</v>
      </c>
      <c r="G24" s="167" t="s">
        <v>1208</v>
      </c>
      <c r="H24" s="70">
        <v>0.34594791946966824</v>
      </c>
      <c r="I24" s="171">
        <v>0.99961281411270819</v>
      </c>
      <c r="J24" s="171">
        <v>1</v>
      </c>
      <c r="K24" s="171" t="s">
        <v>79</v>
      </c>
    </row>
    <row r="25" spans="1:11">
      <c r="A25" s="13" t="s">
        <v>1292</v>
      </c>
      <c r="B25" s="154" t="s">
        <v>1293</v>
      </c>
      <c r="C25" s="167" t="s">
        <v>1208</v>
      </c>
      <c r="D25" s="167" t="s">
        <v>68</v>
      </c>
      <c r="E25" s="167" t="s">
        <v>1208</v>
      </c>
      <c r="F25" s="167" t="s">
        <v>1208</v>
      </c>
      <c r="G25" s="167" t="s">
        <v>1208</v>
      </c>
      <c r="H25" s="70">
        <v>0.20814487207403468</v>
      </c>
      <c r="I25" s="171">
        <v>1</v>
      </c>
      <c r="J25" s="171">
        <v>1</v>
      </c>
      <c r="K25" s="171" t="s">
        <v>79</v>
      </c>
    </row>
    <row r="26" spans="1:11">
      <c r="A26" s="13" t="s">
        <v>1294</v>
      </c>
      <c r="B26" s="154" t="s">
        <v>581</v>
      </c>
      <c r="C26" s="167" t="s">
        <v>1208</v>
      </c>
      <c r="D26" s="167" t="s">
        <v>69</v>
      </c>
      <c r="E26" s="167" t="s">
        <v>1208</v>
      </c>
      <c r="F26" s="167" t="s">
        <v>1208</v>
      </c>
      <c r="G26" s="167" t="s">
        <v>1208</v>
      </c>
      <c r="H26" s="70">
        <v>0.61740023442310399</v>
      </c>
      <c r="I26" s="171">
        <v>1</v>
      </c>
      <c r="J26" s="171">
        <v>0.95794500135719629</v>
      </c>
      <c r="K26" s="171" t="s">
        <v>79</v>
      </c>
    </row>
    <row r="27" spans="1:11">
      <c r="A27" s="13" t="s">
        <v>1295</v>
      </c>
      <c r="B27" s="154" t="s">
        <v>617</v>
      </c>
      <c r="C27" s="167" t="s">
        <v>1208</v>
      </c>
      <c r="D27" s="167" t="s">
        <v>69</v>
      </c>
      <c r="E27" s="167" t="s">
        <v>1208</v>
      </c>
      <c r="F27" s="167" t="s">
        <v>1208</v>
      </c>
      <c r="G27" s="167" t="s">
        <v>1208</v>
      </c>
      <c r="H27" s="70">
        <v>0.32576236455776753</v>
      </c>
      <c r="I27" s="171">
        <v>0.95706641399445458</v>
      </c>
      <c r="J27" s="171">
        <v>0.8126527471932814</v>
      </c>
      <c r="K27" s="171" t="s">
        <v>79</v>
      </c>
    </row>
    <row r="28" spans="1:11" ht="13.5" thickBot="1">
      <c r="A28" s="78" t="s">
        <v>1296</v>
      </c>
      <c r="B28" s="220" t="s">
        <v>733</v>
      </c>
      <c r="C28" s="221" t="s">
        <v>1208</v>
      </c>
      <c r="D28" s="221" t="s">
        <v>69</v>
      </c>
      <c r="E28" s="221" t="s">
        <v>1208</v>
      </c>
      <c r="F28" s="221" t="s">
        <v>1208</v>
      </c>
      <c r="G28" s="221" t="s">
        <v>1208</v>
      </c>
      <c r="H28" s="222">
        <v>0.32850638613252736</v>
      </c>
      <c r="I28" s="223">
        <v>1</v>
      </c>
      <c r="J28" s="223">
        <v>0.8745358215595912</v>
      </c>
      <c r="K28" s="223" t="s">
        <v>79</v>
      </c>
    </row>
    <row r="30" spans="1:11">
      <c r="A30" s="23" t="s">
        <v>23</v>
      </c>
    </row>
    <row r="31" spans="1:11">
      <c r="A31" s="19" t="s">
        <v>52</v>
      </c>
    </row>
    <row r="32" spans="1:11">
      <c r="A32" s="19" t="s">
        <v>1297</v>
      </c>
    </row>
    <row r="33" spans="1:1">
      <c r="A33" s="19" t="s">
        <v>71</v>
      </c>
    </row>
    <row r="34" spans="1:1">
      <c r="A34" s="19" t="s">
        <v>72</v>
      </c>
    </row>
    <row r="35" spans="1:1">
      <c r="A35" s="19" t="s">
        <v>1298</v>
      </c>
    </row>
    <row r="36" spans="1:1">
      <c r="A36" s="19" t="s">
        <v>1299</v>
      </c>
    </row>
    <row r="37" spans="1:1">
      <c r="A37" s="19" t="s">
        <v>1300</v>
      </c>
    </row>
  </sheetData>
  <mergeCells count="1">
    <mergeCell ref="A2:K2"/>
  </mergeCells>
  <conditionalFormatting sqref="A6:B28">
    <cfRule type="expression" dxfId="24" priority="1">
      <formula>"(blank)"</formula>
    </cfRule>
  </conditionalFormatting>
  <conditionalFormatting sqref="A6:B28">
    <cfRule type="expression" dxfId="23" priority="2">
      <formula>#REF!</formula>
    </cfRule>
  </conditionalFormatting>
  <printOptions horizontalCentered="1"/>
  <pageMargins left="0.7" right="0.7" top="1" bottom="0.75" header="0.3" footer="0.3"/>
  <pageSetup scale="70" orientation="landscape" useFirstPageNumber="1" r:id="rId1"/>
  <headerFooter>
    <oddHeader>&amp;RDocket No. UE-19____
PacifiCorp
Exhibit No. AEB-5
Page &amp;P of 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143"/>
  <sheetViews>
    <sheetView zoomScale="80" zoomScaleNormal="80" zoomScaleSheetLayoutView="85" workbookViewId="0">
      <selection activeCell="R1" sqref="R1"/>
    </sheetView>
  </sheetViews>
  <sheetFormatPr defaultRowHeight="12.75"/>
  <cols>
    <col min="1" max="1" width="34.42578125" customWidth="1"/>
    <col min="2" max="2" width="5.42578125" bestFit="1" customWidth="1"/>
    <col min="3" max="3" width="11.85546875" customWidth="1"/>
    <col min="4" max="4" width="11.7109375" customWidth="1"/>
    <col min="5" max="5" width="10.42578125" customWidth="1"/>
    <col min="6" max="6" width="10" customWidth="1"/>
    <col min="7" max="7" width="12" customWidth="1"/>
    <col min="8" max="9" width="9.140625" customWidth="1"/>
    <col min="10" max="10" width="9" customWidth="1"/>
    <col min="11" max="11" width="11.85546875" customWidth="1"/>
    <col min="12" max="12" width="10.5703125" customWidth="1"/>
    <col min="13" max="13" width="10.85546875" customWidth="1"/>
    <col min="14" max="14" width="2.85546875" customWidth="1"/>
    <col min="16" max="16" width="12" customWidth="1"/>
  </cols>
  <sheetData>
    <row r="1" spans="1:17">
      <c r="M1" s="7"/>
    </row>
    <row r="2" spans="1:17">
      <c r="A2" s="10" t="s">
        <v>1559</v>
      </c>
      <c r="B2" s="1"/>
      <c r="C2" s="1"/>
      <c r="D2" s="1"/>
      <c r="E2" s="1"/>
      <c r="F2" s="1"/>
      <c r="G2" s="1"/>
      <c r="H2" s="1"/>
      <c r="I2" s="1"/>
      <c r="J2" s="1"/>
      <c r="K2" s="1"/>
      <c r="L2" s="1"/>
      <c r="M2" s="1"/>
      <c r="N2" s="1"/>
      <c r="O2" s="1"/>
      <c r="P2" s="1"/>
      <c r="Q2" s="1"/>
    </row>
    <row r="3" spans="1:17">
      <c r="K3" s="385" t="s">
        <v>1178</v>
      </c>
      <c r="L3" s="385"/>
      <c r="M3" s="385"/>
      <c r="O3" s="386" t="s">
        <v>1179</v>
      </c>
      <c r="P3" s="386"/>
      <c r="Q3" s="386"/>
    </row>
    <row r="4" spans="1:17" ht="13.5" thickBot="1">
      <c r="C4" s="16" t="s">
        <v>4</v>
      </c>
      <c r="D4" s="24" t="s">
        <v>5</v>
      </c>
      <c r="E4" s="24" t="s">
        <v>6</v>
      </c>
      <c r="F4" s="24" t="s">
        <v>7</v>
      </c>
      <c r="G4" s="16" t="s">
        <v>8</v>
      </c>
      <c r="H4" s="24" t="s">
        <v>9</v>
      </c>
      <c r="I4" s="16" t="s">
        <v>10</v>
      </c>
      <c r="J4" s="16" t="s">
        <v>11</v>
      </c>
      <c r="K4" s="16" t="s">
        <v>12</v>
      </c>
      <c r="L4" s="16" t="s">
        <v>13</v>
      </c>
      <c r="M4" s="16" t="s">
        <v>19</v>
      </c>
      <c r="O4" s="38" t="s">
        <v>1180</v>
      </c>
      <c r="P4" s="38" t="s">
        <v>1181</v>
      </c>
      <c r="Q4" s="38" t="s">
        <v>205</v>
      </c>
    </row>
    <row r="5" spans="1:17" ht="51">
      <c r="A5" s="4" t="s">
        <v>0</v>
      </c>
      <c r="B5" s="2"/>
      <c r="C5" s="3" t="s">
        <v>14</v>
      </c>
      <c r="D5" s="4" t="s">
        <v>15</v>
      </c>
      <c r="E5" s="3" t="s">
        <v>16</v>
      </c>
      <c r="F5" s="3" t="s">
        <v>17</v>
      </c>
      <c r="G5" s="11" t="s">
        <v>86</v>
      </c>
      <c r="H5" s="11" t="s">
        <v>56</v>
      </c>
      <c r="I5" s="11" t="s">
        <v>57</v>
      </c>
      <c r="J5" s="11" t="s">
        <v>22</v>
      </c>
      <c r="K5" s="39" t="s">
        <v>1182</v>
      </c>
      <c r="L5" s="40" t="s">
        <v>1183</v>
      </c>
      <c r="M5" s="39" t="s">
        <v>1184</v>
      </c>
      <c r="N5" s="47">
        <v>7.0000000000000007E-2</v>
      </c>
      <c r="O5" s="39" t="s">
        <v>1182</v>
      </c>
      <c r="P5" s="40" t="s">
        <v>1183</v>
      </c>
      <c r="Q5" s="39" t="s">
        <v>1184</v>
      </c>
    </row>
    <row r="6" spans="1:17">
      <c r="O6" s="16"/>
      <c r="P6" s="41"/>
      <c r="Q6" s="16"/>
    </row>
    <row r="7" spans="1:17">
      <c r="A7" s="14" t="s">
        <v>1267</v>
      </c>
      <c r="B7" s="8" t="s">
        <v>1268</v>
      </c>
      <c r="C7" s="5">
        <v>2.35</v>
      </c>
      <c r="D7" s="9">
        <v>86.313000000000017</v>
      </c>
      <c r="E7" s="6">
        <f t="shared" ref="E7:E29" si="0">C7/D7</f>
        <v>2.7226489636555322E-2</v>
      </c>
      <c r="F7" s="6">
        <f t="shared" ref="F7:F12" si="1">E7*(1+(0.5*J7))</f>
        <v>2.8097737304925093E-2</v>
      </c>
      <c r="G7" s="6">
        <v>0.06</v>
      </c>
      <c r="H7" s="6">
        <v>0.06</v>
      </c>
      <c r="I7" s="6">
        <v>7.1999999999999995E-2</v>
      </c>
      <c r="J7" s="6">
        <f t="shared" ref="J7:J29" si="2">AVERAGE(G7:I7)</f>
        <v>6.4000000000000001E-2</v>
      </c>
      <c r="K7" s="6">
        <f t="shared" ref="K7:K12" si="3">E7*(1+(0.5*MIN(G7:I7)))+MIN(G7:I7)</f>
        <v>8.8043284325651977E-2</v>
      </c>
      <c r="L7" s="6">
        <f t="shared" ref="L7:L29" si="4">J7+F7</f>
        <v>9.2097737304925098E-2</v>
      </c>
      <c r="M7" s="6">
        <f t="shared" ref="M7:M12" si="5">E7*(1+(0.5*MAX(G7:I7)))+MAX(G7:I7)</f>
        <v>0.10020664326347131</v>
      </c>
      <c r="O7" s="42">
        <f>IF((K7&gt;$N$5),K7,"")</f>
        <v>8.8043284325651977E-2</v>
      </c>
      <c r="P7" s="42">
        <f t="shared" ref="P7:Q7" si="6">IF((L7&gt;$N$5),L7,"")</f>
        <v>9.2097737304925098E-2</v>
      </c>
      <c r="Q7" s="42">
        <f t="shared" si="6"/>
        <v>0.10020664326347131</v>
      </c>
    </row>
    <row r="8" spans="1:17">
      <c r="A8" s="14" t="s">
        <v>1269</v>
      </c>
      <c r="B8" s="8" t="s">
        <v>1102</v>
      </c>
      <c r="C8" s="5">
        <v>1.42</v>
      </c>
      <c r="D8" s="9">
        <v>52.612333333333339</v>
      </c>
      <c r="E8" s="6">
        <f t="shared" si="0"/>
        <v>2.6989869295539065E-2</v>
      </c>
      <c r="F8" s="6">
        <f t="shared" si="1"/>
        <v>2.7756831414687301E-2</v>
      </c>
      <c r="G8" s="6">
        <v>6.5000000000000002E-2</v>
      </c>
      <c r="H8" s="6">
        <v>5.0500000000000003E-2</v>
      </c>
      <c r="I8" s="6">
        <v>5.5E-2</v>
      </c>
      <c r="J8" s="6">
        <f t="shared" si="2"/>
        <v>5.683333333333334E-2</v>
      </c>
      <c r="K8" s="6">
        <f t="shared" si="3"/>
        <v>7.8171363495251431E-2</v>
      </c>
      <c r="L8" s="6">
        <f t="shared" si="4"/>
        <v>8.4590164748020641E-2</v>
      </c>
      <c r="M8" s="6">
        <f t="shared" si="5"/>
        <v>9.2867040047644081E-2</v>
      </c>
      <c r="O8" s="42">
        <f t="shared" ref="O8:O29" si="7">IF((K8&gt;$N$5),K8,"")</f>
        <v>7.8171363495251431E-2</v>
      </c>
      <c r="P8" s="42">
        <f t="shared" ref="P8:P29" si="8">IF((L8&gt;$N$5),L8,"")</f>
        <v>8.4590164748020641E-2</v>
      </c>
      <c r="Q8" s="42">
        <f t="shared" ref="Q8:Q29" si="9">IF((M8&gt;$N$5),M8,"")</f>
        <v>9.2867040047644081E-2</v>
      </c>
    </row>
    <row r="9" spans="1:17">
      <c r="A9" s="14" t="s">
        <v>1270</v>
      </c>
      <c r="B9" s="8" t="s">
        <v>930</v>
      </c>
      <c r="C9" s="5">
        <v>1.9</v>
      </c>
      <c r="D9" s="9">
        <v>77.40100000000001</v>
      </c>
      <c r="E9" s="6">
        <f t="shared" si="0"/>
        <v>2.4547486466583116E-2</v>
      </c>
      <c r="F9" s="6">
        <f t="shared" si="1"/>
        <v>2.5267546069602891E-2</v>
      </c>
      <c r="G9" s="42">
        <v>6.5000000000000002E-2</v>
      </c>
      <c r="H9" s="6">
        <v>4.7E-2</v>
      </c>
      <c r="I9" s="6">
        <v>6.4000000000000001E-2</v>
      </c>
      <c r="J9" s="6">
        <f t="shared" si="2"/>
        <v>5.8666666666666666E-2</v>
      </c>
      <c r="K9" s="6">
        <f t="shared" si="3"/>
        <v>7.2124352398547822E-2</v>
      </c>
      <c r="L9" s="6">
        <f t="shared" si="4"/>
        <v>8.3934212736269553E-2</v>
      </c>
      <c r="M9" s="6">
        <f t="shared" si="5"/>
        <v>9.034527977674707E-2</v>
      </c>
      <c r="O9" s="42">
        <f t="shared" si="7"/>
        <v>7.2124352398547822E-2</v>
      </c>
      <c r="P9" s="42">
        <f t="shared" si="8"/>
        <v>8.3934212736269553E-2</v>
      </c>
      <c r="Q9" s="42">
        <f t="shared" si="9"/>
        <v>9.034527977674707E-2</v>
      </c>
    </row>
    <row r="10" spans="1:17">
      <c r="A10" s="14" t="s">
        <v>1271</v>
      </c>
      <c r="B10" s="25" t="s">
        <v>319</v>
      </c>
      <c r="C10" s="5">
        <v>2.68</v>
      </c>
      <c r="D10" s="9">
        <v>92.020333333333326</v>
      </c>
      <c r="E10" s="6">
        <f t="shared" ref="E10" si="10">C10/D10</f>
        <v>2.9123997956973281E-2</v>
      </c>
      <c r="F10" s="6">
        <f t="shared" ref="F10" si="11">E10*(1+(0.5*J10))</f>
        <v>2.9890929903173578E-2</v>
      </c>
      <c r="G10" s="6">
        <v>0.04</v>
      </c>
      <c r="H10" s="6">
        <v>6.0999999999999999E-2</v>
      </c>
      <c r="I10" s="6">
        <v>5.7000000000000002E-2</v>
      </c>
      <c r="J10" s="6">
        <f t="shared" ref="J10" si="12">AVERAGE(G10:I10)</f>
        <v>5.2666666666666667E-2</v>
      </c>
      <c r="K10" s="6">
        <f t="shared" ref="K10" si="13">E10*(1+(0.5*MIN(G10:I10)))+MIN(G10:I10)</f>
        <v>6.9706477916112744E-2</v>
      </c>
      <c r="L10" s="6">
        <f t="shared" ref="L10" si="14">J10+F10</f>
        <v>8.2557596569840241E-2</v>
      </c>
      <c r="M10" s="6">
        <f t="shared" ref="M10" si="15">E10*(1+(0.5*MAX(G10:I10)))+MAX(G10:I10)</f>
        <v>9.1012279894660958E-2</v>
      </c>
      <c r="O10" s="42" t="str">
        <f t="shared" si="7"/>
        <v/>
      </c>
      <c r="P10" s="42">
        <f t="shared" si="8"/>
        <v>8.2557596569840241E-2</v>
      </c>
      <c r="Q10" s="42">
        <f t="shared" si="9"/>
        <v>9.1012279894660958E-2</v>
      </c>
    </row>
    <row r="11" spans="1:17">
      <c r="A11" s="14" t="s">
        <v>1272</v>
      </c>
      <c r="B11" s="8" t="s">
        <v>1273</v>
      </c>
      <c r="C11" s="5">
        <v>1.55</v>
      </c>
      <c r="D11" s="9">
        <v>47.502999999999979</v>
      </c>
      <c r="E11" s="6">
        <f t="shared" si="0"/>
        <v>3.2629518135696707E-2</v>
      </c>
      <c r="F11" s="6">
        <f t="shared" si="1"/>
        <v>3.318421994400355E-2</v>
      </c>
      <c r="G11" s="6">
        <v>3.5000000000000003E-2</v>
      </c>
      <c r="H11" s="6">
        <v>3.4000000000000002E-2</v>
      </c>
      <c r="I11" s="6">
        <v>3.3000000000000002E-2</v>
      </c>
      <c r="J11" s="6">
        <f t="shared" si="2"/>
        <v>3.4000000000000002E-2</v>
      </c>
      <c r="K11" s="6">
        <f t="shared" si="3"/>
        <v>6.6167905184935705E-2</v>
      </c>
      <c r="L11" s="6">
        <f t="shared" si="4"/>
        <v>6.7184219944003559E-2</v>
      </c>
      <c r="M11" s="6">
        <f t="shared" si="5"/>
        <v>6.8200534703071414E-2</v>
      </c>
      <c r="O11" s="42" t="str">
        <f t="shared" si="7"/>
        <v/>
      </c>
      <c r="P11" s="42" t="str">
        <f t="shared" si="8"/>
        <v/>
      </c>
      <c r="Q11" s="42" t="str">
        <f t="shared" si="9"/>
        <v/>
      </c>
    </row>
    <row r="12" spans="1:17">
      <c r="A12" s="14" t="s">
        <v>1274</v>
      </c>
      <c r="B12" s="8" t="s">
        <v>474</v>
      </c>
      <c r="C12" s="5">
        <v>1.1499999999999999</v>
      </c>
      <c r="D12" s="9">
        <v>29.009666666666664</v>
      </c>
      <c r="E12" s="6">
        <f t="shared" si="0"/>
        <v>3.9641958427650552E-2</v>
      </c>
      <c r="F12" s="6">
        <f t="shared" si="1"/>
        <v>4.1168834526422227E-2</v>
      </c>
      <c r="G12" s="6">
        <v>0.125</v>
      </c>
      <c r="H12" s="6">
        <v>5.11E-2</v>
      </c>
      <c r="I12" s="6">
        <v>5.5E-2</v>
      </c>
      <c r="J12" s="6">
        <f t="shared" si="2"/>
        <v>7.7033333333333329E-2</v>
      </c>
      <c r="K12" s="6">
        <f t="shared" si="3"/>
        <v>9.1754810465477024E-2</v>
      </c>
      <c r="L12" s="6">
        <f t="shared" si="4"/>
        <v>0.11820216785975556</v>
      </c>
      <c r="M12" s="6">
        <f t="shared" si="5"/>
        <v>0.16711958082937872</v>
      </c>
      <c r="O12" s="42">
        <f t="shared" si="7"/>
        <v>9.1754810465477024E-2</v>
      </c>
      <c r="P12" s="42">
        <f t="shared" si="8"/>
        <v>0.11820216785975556</v>
      </c>
      <c r="Q12" s="42">
        <f t="shared" si="9"/>
        <v>0.16711958082937872</v>
      </c>
    </row>
    <row r="13" spans="1:17">
      <c r="A13" s="14" t="s">
        <v>1275</v>
      </c>
      <c r="B13" s="25" t="s">
        <v>381</v>
      </c>
      <c r="C13" s="5">
        <v>1.53</v>
      </c>
      <c r="D13" s="9">
        <v>62.699000000000005</v>
      </c>
      <c r="E13" s="6">
        <f t="shared" si="0"/>
        <v>2.4402303067034559E-2</v>
      </c>
      <c r="F13" s="6">
        <f>E13*(1+(0.5*J13))</f>
        <v>2.5237675242029377E-2</v>
      </c>
      <c r="G13" s="6">
        <v>7.0000000000000007E-2</v>
      </c>
      <c r="H13" s="6">
        <v>7.1400000000000005E-2</v>
      </c>
      <c r="I13" s="6">
        <v>6.4000000000000001E-2</v>
      </c>
      <c r="J13" s="6">
        <f t="shared" si="2"/>
        <v>6.8466666666666676E-2</v>
      </c>
      <c r="K13" s="6">
        <f>E13*(1+(0.5*MIN(G13:I13)))+MIN(G13:I13)</f>
        <v>8.9183176765179673E-2</v>
      </c>
      <c r="L13" s="6">
        <f t="shared" si="4"/>
        <v>9.3704341908696059E-2</v>
      </c>
      <c r="M13" s="6">
        <f>E13*(1+(0.5*MAX(G13:I13)))+MAX(G13:I13)</f>
        <v>9.6673465286527704E-2</v>
      </c>
      <c r="O13" s="42">
        <f t="shared" si="7"/>
        <v>8.9183176765179673E-2</v>
      </c>
      <c r="P13" s="42">
        <f t="shared" si="8"/>
        <v>9.3704341908696059E-2</v>
      </c>
      <c r="Q13" s="42">
        <f t="shared" si="9"/>
        <v>9.6673465286527704E-2</v>
      </c>
    </row>
    <row r="14" spans="1:17">
      <c r="A14" s="14" t="s">
        <v>1276</v>
      </c>
      <c r="B14" s="25" t="s">
        <v>405</v>
      </c>
      <c r="C14" s="5">
        <v>3.67</v>
      </c>
      <c r="D14" s="9">
        <v>78.51766666666667</v>
      </c>
      <c r="E14" s="6">
        <f t="shared" si="0"/>
        <v>4.6741073134284002E-2</v>
      </c>
      <c r="F14" s="6">
        <f t="shared" ref="F14:F29" si="16">E14*(1+(0.5*J14))</f>
        <v>4.7978932554456961E-2</v>
      </c>
      <c r="G14" s="6">
        <v>6.5000000000000002E-2</v>
      </c>
      <c r="H14" s="6">
        <v>4.5900000000000003E-2</v>
      </c>
      <c r="I14" s="6">
        <v>4.8000000000000001E-2</v>
      </c>
      <c r="J14" s="6">
        <f t="shared" si="2"/>
        <v>5.2966666666666662E-2</v>
      </c>
      <c r="K14" s="6">
        <f t="shared" ref="K14:K29" si="17">E14*(1+(0.5*MIN(G14:I14)))+MIN(G14:I14)</f>
        <v>9.3713780762715831E-2</v>
      </c>
      <c r="L14" s="6">
        <f t="shared" si="4"/>
        <v>0.10094559922112362</v>
      </c>
      <c r="M14" s="6">
        <f t="shared" ref="M14:M29" si="18">E14*(1+(0.5*MAX(G14:I14)))+MAX(G14:I14)</f>
        <v>0.11326015801114823</v>
      </c>
      <c r="O14" s="42">
        <f t="shared" si="7"/>
        <v>9.3713780762715831E-2</v>
      </c>
      <c r="P14" s="42">
        <f t="shared" si="8"/>
        <v>0.10094559922112362</v>
      </c>
      <c r="Q14" s="42">
        <f t="shared" si="9"/>
        <v>0.11326015801114823</v>
      </c>
    </row>
    <row r="15" spans="1:17">
      <c r="A15" s="14" t="s">
        <v>1277</v>
      </c>
      <c r="B15" s="25" t="s">
        <v>983</v>
      </c>
      <c r="C15" s="5">
        <v>3.78</v>
      </c>
      <c r="D15" s="9">
        <v>130.661</v>
      </c>
      <c r="E15" s="6">
        <f t="shared" si="0"/>
        <v>2.8929826038374112E-2</v>
      </c>
      <c r="F15" s="6">
        <f t="shared" si="16"/>
        <v>2.969887724722756E-2</v>
      </c>
      <c r="G15" s="6">
        <v>5.5E-2</v>
      </c>
      <c r="H15" s="6">
        <v>4.4499999999999998E-2</v>
      </c>
      <c r="I15" s="6">
        <v>0.06</v>
      </c>
      <c r="J15" s="6">
        <f t="shared" si="2"/>
        <v>5.3166666666666668E-2</v>
      </c>
      <c r="K15" s="6">
        <f t="shared" si="17"/>
        <v>7.4073514667727935E-2</v>
      </c>
      <c r="L15" s="6">
        <f t="shared" si="4"/>
        <v>8.2865543913894224E-2</v>
      </c>
      <c r="M15" s="6">
        <f t="shared" si="18"/>
        <v>8.9797720819525334E-2</v>
      </c>
      <c r="O15" s="42">
        <f t="shared" si="7"/>
        <v>7.4073514667727935E-2</v>
      </c>
      <c r="P15" s="42">
        <f t="shared" si="8"/>
        <v>8.2865543913894224E-2</v>
      </c>
      <c r="Q15" s="42">
        <f t="shared" si="9"/>
        <v>8.9797720819525334E-2</v>
      </c>
    </row>
    <row r="16" spans="1:17">
      <c r="A16" s="14" t="s">
        <v>1278</v>
      </c>
      <c r="B16" s="25" t="s">
        <v>409</v>
      </c>
      <c r="C16" s="5">
        <v>3.78</v>
      </c>
      <c r="D16" s="9">
        <v>93.64266666666667</v>
      </c>
      <c r="E16" s="6">
        <f t="shared" si="0"/>
        <v>4.0366214830846334E-2</v>
      </c>
      <c r="F16" s="6">
        <f t="shared" si="16"/>
        <v>4.1372679120628766E-2</v>
      </c>
      <c r="G16" s="6">
        <v>0.06</v>
      </c>
      <c r="H16" s="6">
        <v>4.0599999999999997E-2</v>
      </c>
      <c r="I16" s="6">
        <v>4.9000000000000002E-2</v>
      </c>
      <c r="J16" s="6">
        <f t="shared" si="2"/>
        <v>4.986666666666667E-2</v>
      </c>
      <c r="K16" s="6">
        <f t="shared" si="17"/>
        <v>8.1785648991912513E-2</v>
      </c>
      <c r="L16" s="6">
        <f t="shared" si="4"/>
        <v>9.1239345787295437E-2</v>
      </c>
      <c r="M16" s="6">
        <f t="shared" si="18"/>
        <v>0.10157720127577172</v>
      </c>
      <c r="O16" s="42">
        <f t="shared" si="7"/>
        <v>8.1785648991912513E-2</v>
      </c>
      <c r="P16" s="42">
        <f t="shared" si="8"/>
        <v>9.1239345787295437E-2</v>
      </c>
      <c r="Q16" s="42">
        <f t="shared" si="9"/>
        <v>0.10157720127577172</v>
      </c>
    </row>
    <row r="17" spans="1:17">
      <c r="A17" s="14" t="s">
        <v>1279</v>
      </c>
      <c r="B17" s="25" t="s">
        <v>423</v>
      </c>
      <c r="C17" s="5">
        <v>3.64</v>
      </c>
      <c r="D17" s="9">
        <v>113.78466666666668</v>
      </c>
      <c r="E17" s="6">
        <f t="shared" si="0"/>
        <v>3.1990250590296289E-2</v>
      </c>
      <c r="F17" s="6">
        <f t="shared" si="16"/>
        <v>3.2590067788864342E-2</v>
      </c>
      <c r="G17" s="6">
        <v>5.0000000000000001E-3</v>
      </c>
      <c r="H17" s="6" t="s">
        <v>1303</v>
      </c>
      <c r="I17" s="6">
        <v>7.0000000000000007E-2</v>
      </c>
      <c r="J17" s="6">
        <f t="shared" si="2"/>
        <v>3.7500000000000006E-2</v>
      </c>
      <c r="K17" s="6">
        <f t="shared" si="17"/>
        <v>3.7070226216772029E-2</v>
      </c>
      <c r="L17" s="6">
        <f t="shared" si="4"/>
        <v>7.0090067788864341E-2</v>
      </c>
      <c r="M17" s="6">
        <f t="shared" si="18"/>
        <v>0.10310990936095665</v>
      </c>
      <c r="O17" s="42" t="str">
        <f t="shared" si="7"/>
        <v/>
      </c>
      <c r="P17" s="42">
        <f t="shared" si="8"/>
        <v>7.0090067788864341E-2</v>
      </c>
      <c r="Q17" s="42">
        <f t="shared" si="9"/>
        <v>0.10310990936095665</v>
      </c>
    </row>
    <row r="18" spans="1:17">
      <c r="A18" s="14" t="s">
        <v>1281</v>
      </c>
      <c r="B18" s="25" t="s">
        <v>1034</v>
      </c>
      <c r="C18" s="5">
        <v>1.9</v>
      </c>
      <c r="D18" s="9">
        <v>65.28</v>
      </c>
      <c r="E18" s="6">
        <f>C18/D18</f>
        <v>2.9105392156862742E-2</v>
      </c>
      <c r="F18" s="6">
        <f>E18*(1+(0.5*J18))</f>
        <v>3.0080422794117646E-2</v>
      </c>
      <c r="G18" s="6" t="s">
        <v>1304</v>
      </c>
      <c r="H18" s="6">
        <v>6.8000000000000005E-2</v>
      </c>
      <c r="I18" s="6">
        <v>6.6000000000000003E-2</v>
      </c>
      <c r="J18" s="6">
        <f>AVERAGE(G18:I18)</f>
        <v>6.7000000000000004E-2</v>
      </c>
      <c r="K18" s="6">
        <f>E18*(1+(0.5*MIN(G18:I18)))+MIN(G18:I18)</f>
        <v>9.6065870098039213E-2</v>
      </c>
      <c r="L18" s="6">
        <f>J18+F18</f>
        <v>9.7080422794117646E-2</v>
      </c>
      <c r="M18" s="6">
        <f>E18*(1+(0.5*MAX(G18:I18)))+MAX(G18:I18)</f>
        <v>9.8094975490196079E-2</v>
      </c>
      <c r="O18" s="42">
        <f>IF((K18&gt;$N$5),K18,"")</f>
        <v>9.6065870098039213E-2</v>
      </c>
      <c r="P18" s="42">
        <f>IF((L18&gt;$N$5),L18,"")</f>
        <v>9.7080422794117646E-2</v>
      </c>
      <c r="Q18" s="42">
        <f>IF((M18&gt;$N$5),M18,"")</f>
        <v>9.8094975490196079E-2</v>
      </c>
    </row>
    <row r="19" spans="1:17">
      <c r="A19" s="14" t="s">
        <v>1280</v>
      </c>
      <c r="B19" s="25" t="s">
        <v>922</v>
      </c>
      <c r="C19" s="5">
        <v>1.52</v>
      </c>
      <c r="D19" s="9">
        <v>46.901000000000018</v>
      </c>
      <c r="E19" s="6">
        <f t="shared" si="0"/>
        <v>3.2408690646254866E-2</v>
      </c>
      <c r="F19" s="6">
        <f t="shared" si="16"/>
        <v>3.3542994818873781E-2</v>
      </c>
      <c r="G19" s="6">
        <v>0.08</v>
      </c>
      <c r="H19" s="6" t="s">
        <v>1303</v>
      </c>
      <c r="I19" s="6">
        <v>0.06</v>
      </c>
      <c r="J19" s="6">
        <f t="shared" si="2"/>
        <v>7.0000000000000007E-2</v>
      </c>
      <c r="K19" s="6">
        <f t="shared" si="17"/>
        <v>9.3380951365642506E-2</v>
      </c>
      <c r="L19" s="6">
        <f t="shared" si="4"/>
        <v>0.10354299481887379</v>
      </c>
      <c r="M19" s="6">
        <f t="shared" si="18"/>
        <v>0.11370503827210507</v>
      </c>
      <c r="O19" s="42">
        <f t="shared" si="7"/>
        <v>9.3380951365642506E-2</v>
      </c>
      <c r="P19" s="42">
        <f t="shared" si="8"/>
        <v>0.10354299481887379</v>
      </c>
      <c r="Q19" s="42">
        <f t="shared" si="9"/>
        <v>0.11370503827210507</v>
      </c>
    </row>
    <row r="20" spans="1:17">
      <c r="A20" s="14" t="s">
        <v>1282</v>
      </c>
      <c r="B20" s="25" t="s">
        <v>1283</v>
      </c>
      <c r="C20" s="5">
        <v>2.52</v>
      </c>
      <c r="D20" s="9">
        <v>109.86766666666668</v>
      </c>
      <c r="E20" s="6">
        <f t="shared" si="0"/>
        <v>2.2936684435517878E-2</v>
      </c>
      <c r="F20" s="6">
        <f t="shared" si="16"/>
        <v>2.3307494167225416E-2</v>
      </c>
      <c r="G20" s="6">
        <v>3.5000000000000003E-2</v>
      </c>
      <c r="H20" s="6">
        <v>2.4E-2</v>
      </c>
      <c r="I20" s="6">
        <v>3.7999999999999999E-2</v>
      </c>
      <c r="J20" s="6">
        <f t="shared" si="2"/>
        <v>3.2333333333333332E-2</v>
      </c>
      <c r="K20" s="6">
        <f t="shared" si="17"/>
        <v>4.7211924648744089E-2</v>
      </c>
      <c r="L20" s="6">
        <f t="shared" si="4"/>
        <v>5.5640827500558751E-2</v>
      </c>
      <c r="M20" s="6">
        <f t="shared" si="18"/>
        <v>6.1372481439792716E-2</v>
      </c>
      <c r="O20" s="42" t="str">
        <f t="shared" si="7"/>
        <v/>
      </c>
      <c r="P20" s="42" t="str">
        <f t="shared" si="8"/>
        <v/>
      </c>
      <c r="Q20" s="42" t="str">
        <f t="shared" si="9"/>
        <v/>
      </c>
    </row>
    <row r="21" spans="1:17">
      <c r="A21" s="14" t="s">
        <v>1284</v>
      </c>
      <c r="B21" s="25" t="s">
        <v>438</v>
      </c>
      <c r="C21" s="5">
        <v>5</v>
      </c>
      <c r="D21" s="9">
        <v>223.09999999999997</v>
      </c>
      <c r="E21" s="6">
        <f t="shared" si="0"/>
        <v>2.241147467503362E-2</v>
      </c>
      <c r="F21" s="6">
        <f t="shared" si="16"/>
        <v>2.3400941281936351E-2</v>
      </c>
      <c r="G21" s="6">
        <v>0.105</v>
      </c>
      <c r="H21" s="6">
        <v>7.9899999999999999E-2</v>
      </c>
      <c r="I21" s="6">
        <v>0.08</v>
      </c>
      <c r="J21" s="6">
        <f t="shared" si="2"/>
        <v>8.8300000000000003E-2</v>
      </c>
      <c r="K21" s="6">
        <f t="shared" si="17"/>
        <v>0.10320681308830121</v>
      </c>
      <c r="L21" s="6">
        <f t="shared" si="4"/>
        <v>0.11170094128193636</v>
      </c>
      <c r="M21" s="6">
        <f t="shared" si="18"/>
        <v>0.12858807709547287</v>
      </c>
      <c r="O21" s="42">
        <f t="shared" si="7"/>
        <v>0.10320681308830121</v>
      </c>
      <c r="P21" s="42">
        <f t="shared" si="8"/>
        <v>0.11170094128193636</v>
      </c>
      <c r="Q21" s="42">
        <f t="shared" si="9"/>
        <v>0.12858807709547287</v>
      </c>
    </row>
    <row r="22" spans="1:17">
      <c r="A22" s="14" t="s">
        <v>1285</v>
      </c>
      <c r="B22" s="25" t="s">
        <v>1286</v>
      </c>
      <c r="C22" s="5">
        <v>2.2999999999999998</v>
      </c>
      <c r="D22" s="9">
        <v>73.264333333333354</v>
      </c>
      <c r="E22" s="6">
        <f t="shared" si="0"/>
        <v>3.1393174486903576E-2</v>
      </c>
      <c r="F22" s="6">
        <f t="shared" si="16"/>
        <v>3.1855700591010623E-2</v>
      </c>
      <c r="G22" s="6">
        <v>0.03</v>
      </c>
      <c r="H22" s="6">
        <v>3.2399999999999998E-2</v>
      </c>
      <c r="I22" s="6">
        <v>2.5999999999999999E-2</v>
      </c>
      <c r="J22" s="6">
        <f t="shared" si="2"/>
        <v>2.9466666666666665E-2</v>
      </c>
      <c r="K22" s="6">
        <f t="shared" si="17"/>
        <v>5.7801285755233314E-2</v>
      </c>
      <c r="L22" s="6">
        <f t="shared" si="4"/>
        <v>6.1322367257677285E-2</v>
      </c>
      <c r="M22" s="6">
        <f t="shared" si="18"/>
        <v>6.4301743913591419E-2</v>
      </c>
      <c r="O22" s="42" t="str">
        <f t="shared" si="7"/>
        <v/>
      </c>
      <c r="P22" s="42" t="str">
        <f t="shared" si="8"/>
        <v/>
      </c>
      <c r="Q22" s="42" t="str">
        <f t="shared" si="9"/>
        <v/>
      </c>
    </row>
    <row r="23" spans="1:17">
      <c r="A23" s="14" t="s">
        <v>1287</v>
      </c>
      <c r="B23" s="25" t="s">
        <v>1288</v>
      </c>
      <c r="C23" s="5">
        <v>1.46</v>
      </c>
      <c r="D23" s="9">
        <v>43.775999999999996</v>
      </c>
      <c r="E23" s="6">
        <f t="shared" si="0"/>
        <v>3.3351608187134507E-2</v>
      </c>
      <c r="F23" s="6">
        <f t="shared" si="16"/>
        <v>3.4152046783625739E-2</v>
      </c>
      <c r="G23" s="6">
        <v>6.5000000000000002E-2</v>
      </c>
      <c r="H23" s="6">
        <v>3.4000000000000002E-2</v>
      </c>
      <c r="I23" s="6">
        <v>4.4999999999999998E-2</v>
      </c>
      <c r="J23" s="6">
        <f t="shared" si="2"/>
        <v>4.8000000000000008E-2</v>
      </c>
      <c r="K23" s="6">
        <f t="shared" si="17"/>
        <v>6.79185855263158E-2</v>
      </c>
      <c r="L23" s="6">
        <f t="shared" si="4"/>
        <v>8.2152046783625754E-2</v>
      </c>
      <c r="M23" s="6">
        <f t="shared" si="18"/>
        <v>9.9435535453216373E-2</v>
      </c>
      <c r="O23" s="42" t="str">
        <f t="shared" si="7"/>
        <v/>
      </c>
      <c r="P23" s="42">
        <f t="shared" si="8"/>
        <v>8.2152046783625754E-2</v>
      </c>
      <c r="Q23" s="42">
        <f t="shared" si="9"/>
        <v>9.9435535453216373E-2</v>
      </c>
    </row>
    <row r="24" spans="1:17">
      <c r="A24" s="14" t="s">
        <v>1289</v>
      </c>
      <c r="B24" s="25" t="s">
        <v>589</v>
      </c>
      <c r="C24" s="5">
        <v>2.95</v>
      </c>
      <c r="D24" s="9">
        <v>95.174666666666639</v>
      </c>
      <c r="E24" s="6">
        <f t="shared" si="0"/>
        <v>3.099564309830348E-2</v>
      </c>
      <c r="F24" s="6">
        <f t="shared" si="16"/>
        <v>3.1855772194281401E-2</v>
      </c>
      <c r="G24" s="6">
        <v>5.5E-2</v>
      </c>
      <c r="H24" s="6">
        <v>5.0500000000000003E-2</v>
      </c>
      <c r="I24" s="6">
        <v>6.0999999999999999E-2</v>
      </c>
      <c r="J24" s="6">
        <f t="shared" si="2"/>
        <v>5.5500000000000001E-2</v>
      </c>
      <c r="K24" s="6">
        <f t="shared" si="17"/>
        <v>8.2278283086535647E-2</v>
      </c>
      <c r="L24" s="6">
        <f t="shared" si="4"/>
        <v>8.7355772194281395E-2</v>
      </c>
      <c r="M24" s="6">
        <f t="shared" si="18"/>
        <v>9.2941010212801739E-2</v>
      </c>
      <c r="O24" s="42">
        <f t="shared" si="7"/>
        <v>8.2278283086535647E-2</v>
      </c>
      <c r="P24" s="42">
        <f t="shared" si="8"/>
        <v>8.7355772194281395E-2</v>
      </c>
      <c r="Q24" s="42">
        <f t="shared" si="9"/>
        <v>9.2941010212801739E-2</v>
      </c>
    </row>
    <row r="25" spans="1:17">
      <c r="A25" s="14" t="s">
        <v>1290</v>
      </c>
      <c r="B25" s="25" t="s">
        <v>1291</v>
      </c>
      <c r="C25" s="5">
        <v>1.1599999999999999</v>
      </c>
      <c r="D25" s="9">
        <v>50.89</v>
      </c>
      <c r="E25" s="6">
        <f t="shared" si="0"/>
        <v>2.2794262134014538E-2</v>
      </c>
      <c r="F25" s="6">
        <f t="shared" si="16"/>
        <v>2.3503923495120187E-2</v>
      </c>
      <c r="G25" s="6">
        <v>7.0000000000000007E-2</v>
      </c>
      <c r="H25" s="6">
        <v>6.1800000000000001E-2</v>
      </c>
      <c r="I25" s="6">
        <v>5.5E-2</v>
      </c>
      <c r="J25" s="6">
        <f t="shared" si="2"/>
        <v>6.2266666666666665E-2</v>
      </c>
      <c r="K25" s="6">
        <f t="shared" si="17"/>
        <v>7.8421104342699943E-2</v>
      </c>
      <c r="L25" s="6">
        <f t="shared" si="4"/>
        <v>8.5770590161786855E-2</v>
      </c>
      <c r="M25" s="6">
        <f t="shared" si="18"/>
        <v>9.3592061308705052E-2</v>
      </c>
      <c r="O25" s="42">
        <f t="shared" si="7"/>
        <v>7.8421104342699943E-2</v>
      </c>
      <c r="P25" s="42">
        <f t="shared" si="8"/>
        <v>8.5770590161786855E-2</v>
      </c>
      <c r="Q25" s="42">
        <f t="shared" si="9"/>
        <v>9.3592061308705052E-2</v>
      </c>
    </row>
    <row r="26" spans="1:17">
      <c r="A26" s="14" t="s">
        <v>1292</v>
      </c>
      <c r="B26" s="25" t="s">
        <v>1293</v>
      </c>
      <c r="C26" s="5">
        <v>1.54</v>
      </c>
      <c r="D26" s="9">
        <v>56.328000000000003</v>
      </c>
      <c r="E26" s="6">
        <f t="shared" si="0"/>
        <v>2.7339866496236331E-2</v>
      </c>
      <c r="F26" s="6">
        <f t="shared" si="16"/>
        <v>2.7982353358897885E-2</v>
      </c>
      <c r="G26" s="6">
        <v>4.4999999999999998E-2</v>
      </c>
      <c r="H26" s="6">
        <v>4.8000000000000001E-2</v>
      </c>
      <c r="I26" s="6">
        <v>4.8000000000000001E-2</v>
      </c>
      <c r="J26" s="6">
        <f t="shared" si="2"/>
        <v>4.7000000000000007E-2</v>
      </c>
      <c r="K26" s="6">
        <f t="shared" si="17"/>
        <v>7.2955013492401646E-2</v>
      </c>
      <c r="L26" s="6">
        <f t="shared" si="4"/>
        <v>7.4982353358897885E-2</v>
      </c>
      <c r="M26" s="6">
        <f t="shared" si="18"/>
        <v>7.5996023292145998E-2</v>
      </c>
      <c r="O26" s="42">
        <f t="shared" si="7"/>
        <v>7.2955013492401646E-2</v>
      </c>
      <c r="P26" s="42">
        <f t="shared" si="8"/>
        <v>7.4982353358897885E-2</v>
      </c>
      <c r="Q26" s="42">
        <f t="shared" si="9"/>
        <v>7.5996023292145998E-2</v>
      </c>
    </row>
    <row r="27" spans="1:17">
      <c r="A27" s="14" t="s">
        <v>1294</v>
      </c>
      <c r="B27" s="25" t="s">
        <v>581</v>
      </c>
      <c r="C27" s="5">
        <v>1.65</v>
      </c>
      <c r="D27" s="9">
        <v>30.388333333333332</v>
      </c>
      <c r="E27" s="6">
        <f t="shared" si="0"/>
        <v>5.4297153512861296E-2</v>
      </c>
      <c r="F27" s="6">
        <f t="shared" si="16"/>
        <v>5.4580856139966001E-2</v>
      </c>
      <c r="G27" s="6">
        <v>1.4999999999999999E-2</v>
      </c>
      <c r="H27" s="6">
        <v>5.8999999999999999E-3</v>
      </c>
      <c r="I27" s="6" t="s">
        <v>1193</v>
      </c>
      <c r="J27" s="6">
        <f t="shared" si="2"/>
        <v>1.0449999999999999E-2</v>
      </c>
      <c r="K27" s="6">
        <f t="shared" si="17"/>
        <v>6.0357330115724236E-2</v>
      </c>
      <c r="L27" s="6">
        <f t="shared" si="4"/>
        <v>6.5030856139965995E-2</v>
      </c>
      <c r="M27" s="6">
        <f t="shared" si="18"/>
        <v>6.9704382164207768E-2</v>
      </c>
      <c r="O27" s="42" t="str">
        <f t="shared" si="7"/>
        <v/>
      </c>
      <c r="P27" s="42" t="str">
        <f t="shared" si="8"/>
        <v/>
      </c>
      <c r="Q27" s="42" t="str">
        <f t="shared" si="9"/>
        <v/>
      </c>
    </row>
    <row r="28" spans="1:17">
      <c r="A28" s="14" t="s">
        <v>1295</v>
      </c>
      <c r="B28" s="25" t="s">
        <v>617</v>
      </c>
      <c r="C28" s="5">
        <v>2.48</v>
      </c>
      <c r="D28" s="9">
        <v>59.696999999999996</v>
      </c>
      <c r="E28" s="6">
        <f t="shared" si="0"/>
        <v>4.1543126120240553E-2</v>
      </c>
      <c r="F28" s="6">
        <f t="shared" si="16"/>
        <v>4.2191891273151642E-2</v>
      </c>
      <c r="G28" s="6">
        <v>3.5000000000000003E-2</v>
      </c>
      <c r="H28" s="6">
        <v>1.37E-2</v>
      </c>
      <c r="I28" s="6">
        <v>4.4999999999999998E-2</v>
      </c>
      <c r="J28" s="6">
        <f t="shared" si="2"/>
        <v>3.1233333333333335E-2</v>
      </c>
      <c r="K28" s="6">
        <f t="shared" si="17"/>
        <v>5.55276965341642E-2</v>
      </c>
      <c r="L28" s="6">
        <f t="shared" si="4"/>
        <v>7.3425224606484985E-2</v>
      </c>
      <c r="M28" s="6">
        <f t="shared" si="18"/>
        <v>8.7477846457945957E-2</v>
      </c>
      <c r="O28" s="42" t="str">
        <f t="shared" si="7"/>
        <v/>
      </c>
      <c r="P28" s="42">
        <f t="shared" si="8"/>
        <v>7.3425224606484985E-2</v>
      </c>
      <c r="Q28" s="42">
        <f t="shared" si="9"/>
        <v>8.7477846457945957E-2</v>
      </c>
    </row>
    <row r="29" spans="1:17">
      <c r="A29" s="14" t="s">
        <v>1296</v>
      </c>
      <c r="B29" s="25" t="s">
        <v>733</v>
      </c>
      <c r="C29" s="5">
        <v>1.62</v>
      </c>
      <c r="D29" s="9">
        <v>64.019000000000005</v>
      </c>
      <c r="E29" s="6">
        <f t="shared" si="0"/>
        <v>2.5304987581811648E-2</v>
      </c>
      <c r="F29" s="6">
        <f t="shared" si="16"/>
        <v>2.5988222246520559E-2</v>
      </c>
      <c r="G29" s="6">
        <v>5.5E-2</v>
      </c>
      <c r="H29" s="6">
        <v>5.8000000000000003E-2</v>
      </c>
      <c r="I29" s="6">
        <v>4.9000000000000002E-2</v>
      </c>
      <c r="J29" s="6">
        <f t="shared" si="2"/>
        <v>5.3999999999999999E-2</v>
      </c>
      <c r="K29" s="6">
        <f t="shared" si="17"/>
        <v>7.4924959777566039E-2</v>
      </c>
      <c r="L29" s="6">
        <f t="shared" si="4"/>
        <v>7.9988222246520552E-2</v>
      </c>
      <c r="M29" s="6">
        <f t="shared" si="18"/>
        <v>8.4038832221684179E-2</v>
      </c>
      <c r="O29" s="42">
        <f t="shared" si="7"/>
        <v>7.4924959777566039E-2</v>
      </c>
      <c r="P29" s="42">
        <f t="shared" si="8"/>
        <v>7.9988222246520552E-2</v>
      </c>
      <c r="Q29" s="42">
        <f t="shared" si="9"/>
        <v>8.4038832221684179E-2</v>
      </c>
    </row>
    <row r="30" spans="1:17">
      <c r="A30" s="14"/>
      <c r="B30" s="25"/>
      <c r="C30" s="26"/>
      <c r="D30" s="9"/>
      <c r="E30" s="6"/>
      <c r="F30" s="6"/>
      <c r="G30" s="6"/>
      <c r="H30" s="6"/>
      <c r="I30" s="6"/>
      <c r="J30" s="6"/>
      <c r="K30" s="6"/>
      <c r="L30" s="6"/>
      <c r="M30" s="6"/>
      <c r="O30" s="42"/>
      <c r="P30" s="42"/>
      <c r="Q30" s="42"/>
    </row>
    <row r="31" spans="1:17" ht="13.5" thickBot="1">
      <c r="A31" s="44" t="s">
        <v>2</v>
      </c>
      <c r="B31" s="15"/>
      <c r="C31" s="15" t="s">
        <v>81</v>
      </c>
      <c r="D31" s="45" t="s">
        <v>81</v>
      </c>
      <c r="E31" s="46">
        <f t="shared" ref="E31:M31" si="19">AVERAGE(E7:E29)</f>
        <v>3.158569787439168E-2</v>
      </c>
      <c r="F31" s="46">
        <f t="shared" si="19"/>
        <v>3.2377693489597778E-2</v>
      </c>
      <c r="G31" s="46">
        <f t="shared" si="19"/>
        <v>5.613636363636363E-2</v>
      </c>
      <c r="H31" s="46">
        <f t="shared" si="19"/>
        <v>4.6771428571428582E-2</v>
      </c>
      <c r="I31" s="46">
        <f t="shared" si="19"/>
        <v>5.4545454545454543E-2</v>
      </c>
      <c r="J31" s="46">
        <f t="shared" si="19"/>
        <v>5.2205072463768126E-2</v>
      </c>
      <c r="K31" s="46">
        <f t="shared" si="19"/>
        <v>7.5297580827028379E-2</v>
      </c>
      <c r="L31" s="46">
        <f t="shared" si="19"/>
        <v>8.4582765953365877E-2</v>
      </c>
      <c r="M31" s="46">
        <f t="shared" si="19"/>
        <v>9.493120959090294E-2</v>
      </c>
      <c r="N31" s="15"/>
      <c r="O31" s="43">
        <f>IFERROR(AVERAGE(O7:O29),"")</f>
        <v>8.46721951415767E-2</v>
      </c>
      <c r="P31" s="43">
        <f t="shared" ref="P31:Q31" si="20">IFERROR(AVERAGE(P7:P29),"")</f>
        <v>8.9275018215011062E-2</v>
      </c>
      <c r="Q31" s="43">
        <f t="shared" si="20"/>
        <v>0.10104414096684762</v>
      </c>
    </row>
    <row r="33" spans="1:1">
      <c r="A33" s="12" t="s">
        <v>18</v>
      </c>
    </row>
    <row r="34" spans="1:1">
      <c r="A34" s="14" t="s">
        <v>52</v>
      </c>
    </row>
    <row r="35" spans="1:1">
      <c r="A35" s="14" t="s">
        <v>1305</v>
      </c>
    </row>
    <row r="36" spans="1:1">
      <c r="A36" s="14" t="s">
        <v>54</v>
      </c>
    </row>
    <row r="37" spans="1:1">
      <c r="A37" s="14" t="s">
        <v>58</v>
      </c>
    </row>
    <row r="38" spans="1:1">
      <c r="A38" s="14" t="s">
        <v>87</v>
      </c>
    </row>
    <row r="39" spans="1:1">
      <c r="A39" s="14" t="s">
        <v>59</v>
      </c>
    </row>
    <row r="40" spans="1:1">
      <c r="A40" s="14" t="s">
        <v>60</v>
      </c>
    </row>
    <row r="41" spans="1:1">
      <c r="A41" s="18" t="s">
        <v>61</v>
      </c>
    </row>
    <row r="42" spans="1:1">
      <c r="A42" s="14" t="s">
        <v>62</v>
      </c>
    </row>
    <row r="43" spans="1:1">
      <c r="A43" s="14" t="s">
        <v>63</v>
      </c>
    </row>
    <row r="44" spans="1:1">
      <c r="A44" s="14" t="s">
        <v>64</v>
      </c>
    </row>
    <row r="45" spans="1:1">
      <c r="A45" s="48" t="s">
        <v>1185</v>
      </c>
    </row>
    <row r="46" spans="1:1">
      <c r="A46" s="48" t="s">
        <v>1186</v>
      </c>
    </row>
    <row r="47" spans="1:1">
      <c r="A47" s="48" t="s">
        <v>1187</v>
      </c>
    </row>
    <row r="50" spans="1:17">
      <c r="A50" s="10" t="s">
        <v>1560</v>
      </c>
      <c r="B50" s="1"/>
      <c r="C50" s="1"/>
      <c r="D50" s="1"/>
      <c r="E50" s="1"/>
      <c r="F50" s="1"/>
      <c r="G50" s="1"/>
      <c r="H50" s="1"/>
      <c r="I50" s="1"/>
      <c r="J50" s="1"/>
      <c r="K50" s="1"/>
      <c r="L50" s="1"/>
      <c r="M50" s="1"/>
      <c r="N50" s="1"/>
      <c r="O50" s="1"/>
      <c r="P50" s="1"/>
      <c r="Q50" s="1"/>
    </row>
    <row r="51" spans="1:17">
      <c r="K51" s="385" t="s">
        <v>1178</v>
      </c>
      <c r="L51" s="385"/>
      <c r="M51" s="385"/>
      <c r="O51" s="386" t="s">
        <v>1179</v>
      </c>
      <c r="P51" s="386"/>
      <c r="Q51" s="386"/>
    </row>
    <row r="52" spans="1:17" ht="13.5" thickBot="1">
      <c r="C52" s="16" t="s">
        <v>4</v>
      </c>
      <c r="D52" s="24" t="s">
        <v>5</v>
      </c>
      <c r="E52" s="24" t="s">
        <v>6</v>
      </c>
      <c r="F52" s="24" t="s">
        <v>7</v>
      </c>
      <c r="G52" s="16" t="s">
        <v>8</v>
      </c>
      <c r="H52" s="24" t="s">
        <v>9</v>
      </c>
      <c r="I52" s="16" t="s">
        <v>10</v>
      </c>
      <c r="J52" s="16" t="s">
        <v>11</v>
      </c>
      <c r="K52" s="16" t="s">
        <v>12</v>
      </c>
      <c r="L52" s="16" t="s">
        <v>13</v>
      </c>
      <c r="M52" s="16" t="s">
        <v>19</v>
      </c>
      <c r="O52" s="38" t="s">
        <v>1180</v>
      </c>
      <c r="P52" s="38" t="s">
        <v>1181</v>
      </c>
      <c r="Q52" s="38" t="s">
        <v>205</v>
      </c>
    </row>
    <row r="53" spans="1:17" ht="51">
      <c r="A53" s="4" t="s">
        <v>0</v>
      </c>
      <c r="B53" s="2"/>
      <c r="C53" s="3" t="s">
        <v>14</v>
      </c>
      <c r="D53" s="4" t="s">
        <v>15</v>
      </c>
      <c r="E53" s="3" t="s">
        <v>16</v>
      </c>
      <c r="F53" s="3" t="s">
        <v>17</v>
      </c>
      <c r="G53" s="11" t="s">
        <v>86</v>
      </c>
      <c r="H53" s="11" t="s">
        <v>56</v>
      </c>
      <c r="I53" s="11" t="s">
        <v>57</v>
      </c>
      <c r="J53" s="11" t="s">
        <v>22</v>
      </c>
      <c r="K53" s="39" t="s">
        <v>1182</v>
      </c>
      <c r="L53" s="40" t="s">
        <v>1183</v>
      </c>
      <c r="M53" s="39" t="s">
        <v>1184</v>
      </c>
      <c r="N53" s="47">
        <v>7.0000000000000007E-2</v>
      </c>
      <c r="O53" s="39" t="s">
        <v>1182</v>
      </c>
      <c r="P53" s="40" t="s">
        <v>1183</v>
      </c>
      <c r="Q53" s="39" t="s">
        <v>1184</v>
      </c>
    </row>
    <row r="54" spans="1:17">
      <c r="O54" s="16"/>
      <c r="P54" s="41"/>
      <c r="Q54" s="16"/>
    </row>
    <row r="55" spans="1:17">
      <c r="A55" s="14" t="s">
        <v>1267</v>
      </c>
      <c r="B55" s="8" t="s">
        <v>1268</v>
      </c>
      <c r="C55" s="5">
        <f t="shared" ref="C55:C77" si="21">C7</f>
        <v>2.35</v>
      </c>
      <c r="D55" s="9">
        <v>85.364555555555583</v>
      </c>
      <c r="E55" s="6">
        <f>C55/D55</f>
        <v>2.7528990044007329E-2</v>
      </c>
      <c r="F55" s="6">
        <f t="shared" ref="F55:F61" si="22">E55*(1+(0.5*J55))</f>
        <v>2.8409917725415564E-2</v>
      </c>
      <c r="G55" s="6">
        <f t="shared" ref="G55:I77" si="23">G7</f>
        <v>0.06</v>
      </c>
      <c r="H55" s="6">
        <f t="shared" si="23"/>
        <v>0.06</v>
      </c>
      <c r="I55" s="6">
        <f t="shared" si="23"/>
        <v>7.1999999999999995E-2</v>
      </c>
      <c r="J55" s="6">
        <f>AVERAGE(G55:I55)</f>
        <v>6.4000000000000001E-2</v>
      </c>
      <c r="K55" s="6">
        <f t="shared" ref="K55:K61" si="24">E55*(1+(0.5*MIN(G55:I55)))+MIN(G55:I55)</f>
        <v>8.8354859745327544E-2</v>
      </c>
      <c r="L55" s="6">
        <f t="shared" ref="L55:L77" si="25">J55+F55</f>
        <v>9.2409917725415569E-2</v>
      </c>
      <c r="M55" s="6">
        <f t="shared" ref="M55:M61" si="26">E55*(1+(0.5*MAX(G55:I55)))+MAX(G55:I55)</f>
        <v>0.10052003368559159</v>
      </c>
      <c r="O55" s="42">
        <f>IF((K55&gt;$N$5),K55,"")</f>
        <v>8.8354859745327544E-2</v>
      </c>
      <c r="P55" s="42">
        <f t="shared" ref="P55:P77" si="27">IF((L55&gt;$N$5),L55,"")</f>
        <v>9.2409917725415569E-2</v>
      </c>
      <c r="Q55" s="42">
        <f t="shared" ref="Q55:Q77" si="28">IF((M55&gt;$N$5),M55,"")</f>
        <v>0.10052003368559159</v>
      </c>
    </row>
    <row r="56" spans="1:17">
      <c r="A56" s="14" t="s">
        <v>1269</v>
      </c>
      <c r="B56" s="8" t="s">
        <v>1102</v>
      </c>
      <c r="C56" s="5">
        <f t="shared" si="21"/>
        <v>1.42</v>
      </c>
      <c r="D56" s="9">
        <v>50.631666666666668</v>
      </c>
      <c r="E56" s="6">
        <f t="shared" ref="E56:E77" si="29">C56/D56</f>
        <v>2.804568945653247E-2</v>
      </c>
      <c r="F56" s="6">
        <f t="shared" si="22"/>
        <v>2.8842654465255604E-2</v>
      </c>
      <c r="G56" s="6">
        <f t="shared" si="23"/>
        <v>6.5000000000000002E-2</v>
      </c>
      <c r="H56" s="6">
        <f t="shared" si="23"/>
        <v>5.0500000000000003E-2</v>
      </c>
      <c r="I56" s="6">
        <f t="shared" si="23"/>
        <v>5.5E-2</v>
      </c>
      <c r="J56" s="6">
        <f t="shared" ref="J56:J60" si="30">AVERAGE(G56:I56)</f>
        <v>5.683333333333334E-2</v>
      </c>
      <c r="K56" s="6">
        <f t="shared" si="24"/>
        <v>7.9253843115309919E-2</v>
      </c>
      <c r="L56" s="6">
        <f t="shared" si="25"/>
        <v>8.567598779858894E-2</v>
      </c>
      <c r="M56" s="6">
        <f t="shared" si="26"/>
        <v>9.3957174363869772E-2</v>
      </c>
      <c r="O56" s="42">
        <f t="shared" ref="O56:O77" si="31">IF((K56&gt;$N$5),K56,"")</f>
        <v>7.9253843115309919E-2</v>
      </c>
      <c r="P56" s="42">
        <f t="shared" si="27"/>
        <v>8.567598779858894E-2</v>
      </c>
      <c r="Q56" s="42">
        <f t="shared" si="28"/>
        <v>9.3957174363869772E-2</v>
      </c>
    </row>
    <row r="57" spans="1:17">
      <c r="A57" s="14" t="s">
        <v>1270</v>
      </c>
      <c r="B57" s="8" t="s">
        <v>930</v>
      </c>
      <c r="C57" s="5">
        <f t="shared" si="21"/>
        <v>1.9</v>
      </c>
      <c r="D57" s="9">
        <v>76.419777777777739</v>
      </c>
      <c r="E57" s="6">
        <f t="shared" si="29"/>
        <v>2.486267371157555E-2</v>
      </c>
      <c r="F57" s="6">
        <f t="shared" si="22"/>
        <v>2.5591978807115102E-2</v>
      </c>
      <c r="G57" s="6">
        <f t="shared" si="23"/>
        <v>6.5000000000000002E-2</v>
      </c>
      <c r="H57" s="6">
        <f t="shared" si="23"/>
        <v>4.7E-2</v>
      </c>
      <c r="I57" s="6">
        <f t="shared" si="23"/>
        <v>6.4000000000000001E-2</v>
      </c>
      <c r="J57" s="6">
        <f t="shared" si="30"/>
        <v>5.8666666666666666E-2</v>
      </c>
      <c r="K57" s="6">
        <f t="shared" si="24"/>
        <v>7.2446946543797575E-2</v>
      </c>
      <c r="L57" s="6">
        <f t="shared" si="25"/>
        <v>8.4258645473781771E-2</v>
      </c>
      <c r="M57" s="6">
        <f t="shared" si="26"/>
        <v>9.0670710607201749E-2</v>
      </c>
      <c r="O57" s="42">
        <f t="shared" si="31"/>
        <v>7.2446946543797575E-2</v>
      </c>
      <c r="P57" s="42">
        <f t="shared" si="27"/>
        <v>8.4258645473781771E-2</v>
      </c>
      <c r="Q57" s="42">
        <f t="shared" si="28"/>
        <v>9.0670710607201749E-2</v>
      </c>
    </row>
    <row r="58" spans="1:17">
      <c r="A58" s="14" t="s">
        <v>1271</v>
      </c>
      <c r="B58" s="25" t="s">
        <v>319</v>
      </c>
      <c r="C58" s="5">
        <f t="shared" si="21"/>
        <v>2.68</v>
      </c>
      <c r="D58" s="9">
        <v>90.238111111111095</v>
      </c>
      <c r="E58" s="6">
        <f t="shared" ref="E58" si="32">C58/D58</f>
        <v>2.9699203219137525E-2</v>
      </c>
      <c r="F58" s="6">
        <f t="shared" si="22"/>
        <v>3.0481282237241478E-2</v>
      </c>
      <c r="G58" s="6">
        <f t="shared" si="23"/>
        <v>0.04</v>
      </c>
      <c r="H58" s="6">
        <f t="shared" si="23"/>
        <v>6.0999999999999999E-2</v>
      </c>
      <c r="I58" s="6">
        <f t="shared" si="23"/>
        <v>5.7000000000000002E-2</v>
      </c>
      <c r="J58" s="6">
        <f t="shared" ref="J58" si="33">AVERAGE(G58:I58)</f>
        <v>5.2666666666666667E-2</v>
      </c>
      <c r="K58" s="6">
        <f t="shared" si="24"/>
        <v>7.029318728352027E-2</v>
      </c>
      <c r="L58" s="6">
        <f t="shared" ref="L58" si="34">J58+F58</f>
        <v>8.3147948903908142E-2</v>
      </c>
      <c r="M58" s="6">
        <f t="shared" si="26"/>
        <v>9.1605028917321224E-2</v>
      </c>
      <c r="O58" s="42">
        <f t="shared" si="31"/>
        <v>7.029318728352027E-2</v>
      </c>
      <c r="P58" s="42">
        <f t="shared" si="27"/>
        <v>8.3147948903908142E-2</v>
      </c>
      <c r="Q58" s="42">
        <f t="shared" si="28"/>
        <v>9.1605028917321224E-2</v>
      </c>
    </row>
    <row r="59" spans="1:17">
      <c r="A59" s="14" t="s">
        <v>1272</v>
      </c>
      <c r="B59" s="8" t="s">
        <v>1273</v>
      </c>
      <c r="C59" s="5">
        <f t="shared" si="21"/>
        <v>1.55</v>
      </c>
      <c r="D59" s="9">
        <v>45.589999999999982</v>
      </c>
      <c r="E59" s="6">
        <f t="shared" si="29"/>
        <v>3.3998683921912715E-2</v>
      </c>
      <c r="F59" s="6">
        <f t="shared" si="22"/>
        <v>3.4576661548585227E-2</v>
      </c>
      <c r="G59" s="6">
        <f t="shared" si="23"/>
        <v>3.5000000000000003E-2</v>
      </c>
      <c r="H59" s="6">
        <f t="shared" si="23"/>
        <v>3.4000000000000002E-2</v>
      </c>
      <c r="I59" s="6">
        <f t="shared" si="23"/>
        <v>3.3000000000000002E-2</v>
      </c>
      <c r="J59" s="6">
        <f t="shared" si="30"/>
        <v>3.4000000000000002E-2</v>
      </c>
      <c r="K59" s="6">
        <f t="shared" si="24"/>
        <v>6.7559662206624266E-2</v>
      </c>
      <c r="L59" s="6">
        <f t="shared" si="25"/>
        <v>6.857666154858523E-2</v>
      </c>
      <c r="M59" s="6">
        <f t="shared" si="26"/>
        <v>6.9593660890546194E-2</v>
      </c>
      <c r="O59" s="42" t="str">
        <f t="shared" si="31"/>
        <v/>
      </c>
      <c r="P59" s="42" t="str">
        <f t="shared" si="27"/>
        <v/>
      </c>
      <c r="Q59" s="42" t="str">
        <f t="shared" si="28"/>
        <v/>
      </c>
    </row>
    <row r="60" spans="1:17">
      <c r="A60" s="14" t="s">
        <v>1274</v>
      </c>
      <c r="B60" s="8" t="s">
        <v>474</v>
      </c>
      <c r="C60" s="5">
        <f t="shared" si="21"/>
        <v>1.1499999999999999</v>
      </c>
      <c r="D60" s="9">
        <v>28.904</v>
      </c>
      <c r="E60" s="6">
        <f t="shared" si="29"/>
        <v>3.978688070855245E-2</v>
      </c>
      <c r="F60" s="6">
        <f t="shared" si="22"/>
        <v>4.1319338730510198E-2</v>
      </c>
      <c r="G60" s="6">
        <f t="shared" si="23"/>
        <v>0.125</v>
      </c>
      <c r="H60" s="6">
        <f t="shared" si="23"/>
        <v>5.11E-2</v>
      </c>
      <c r="I60" s="6">
        <f t="shared" si="23"/>
        <v>5.5E-2</v>
      </c>
      <c r="J60" s="6">
        <f t="shared" si="30"/>
        <v>7.7033333333333329E-2</v>
      </c>
      <c r="K60" s="6">
        <f t="shared" si="24"/>
        <v>9.1903435510655967E-2</v>
      </c>
      <c r="L60" s="6">
        <f t="shared" si="25"/>
        <v>0.11835267206384353</v>
      </c>
      <c r="M60" s="6">
        <f t="shared" si="26"/>
        <v>0.16727356075283698</v>
      </c>
      <c r="O60" s="42">
        <f t="shared" si="31"/>
        <v>9.1903435510655967E-2</v>
      </c>
      <c r="P60" s="42">
        <f t="shared" si="27"/>
        <v>0.11835267206384353</v>
      </c>
      <c r="Q60" s="42">
        <f t="shared" si="28"/>
        <v>0.16727356075283698</v>
      </c>
    </row>
    <row r="61" spans="1:17">
      <c r="A61" s="14" t="s">
        <v>1275</v>
      </c>
      <c r="B61" s="25" t="s">
        <v>381</v>
      </c>
      <c r="C61" s="5">
        <f t="shared" si="21"/>
        <v>1.53</v>
      </c>
      <c r="D61" s="9">
        <v>59.835555555555565</v>
      </c>
      <c r="E61" s="6">
        <f t="shared" si="29"/>
        <v>2.5570080962638339E-2</v>
      </c>
      <c r="F61" s="6">
        <f t="shared" si="22"/>
        <v>2.644543006759266E-2</v>
      </c>
      <c r="G61" s="6">
        <f t="shared" si="23"/>
        <v>7.0000000000000007E-2</v>
      </c>
      <c r="H61" s="6">
        <f t="shared" si="23"/>
        <v>7.1400000000000005E-2</v>
      </c>
      <c r="I61" s="6">
        <f t="shared" si="23"/>
        <v>6.4000000000000001E-2</v>
      </c>
      <c r="J61" s="6">
        <f>AVERAGE(G61:I61)</f>
        <v>6.8466666666666676E-2</v>
      </c>
      <c r="K61" s="6">
        <f t="shared" si="24"/>
        <v>9.038832355344277E-2</v>
      </c>
      <c r="L61" s="6">
        <f t="shared" si="25"/>
        <v>9.4912096734259335E-2</v>
      </c>
      <c r="M61" s="6">
        <f t="shared" si="26"/>
        <v>9.7882932853004534E-2</v>
      </c>
      <c r="O61" s="42">
        <f t="shared" si="31"/>
        <v>9.038832355344277E-2</v>
      </c>
      <c r="P61" s="42">
        <f t="shared" si="27"/>
        <v>9.4912096734259335E-2</v>
      </c>
      <c r="Q61" s="42">
        <f t="shared" si="28"/>
        <v>9.7882932853004534E-2</v>
      </c>
    </row>
    <row r="62" spans="1:17">
      <c r="A62" s="14" t="s">
        <v>1276</v>
      </c>
      <c r="B62" s="25" t="s">
        <v>405</v>
      </c>
      <c r="C62" s="5">
        <f t="shared" si="21"/>
        <v>3.67</v>
      </c>
      <c r="D62" s="9">
        <v>77.105666666666693</v>
      </c>
      <c r="E62" s="6">
        <f t="shared" si="29"/>
        <v>4.7597020538914112E-2</v>
      </c>
      <c r="F62" s="6">
        <f t="shared" ref="F62:F77" si="35">E62*(1+(0.5*J62))</f>
        <v>4.8857548299519687E-2</v>
      </c>
      <c r="G62" s="6">
        <f t="shared" si="23"/>
        <v>6.5000000000000002E-2</v>
      </c>
      <c r="H62" s="6">
        <f t="shared" si="23"/>
        <v>4.5900000000000003E-2</v>
      </c>
      <c r="I62" s="6">
        <f t="shared" si="23"/>
        <v>4.8000000000000001E-2</v>
      </c>
      <c r="J62" s="6">
        <f t="shared" ref="J62:J77" si="36">AVERAGE(G62:I62)</f>
        <v>5.2966666666666662E-2</v>
      </c>
      <c r="K62" s="6">
        <f t="shared" ref="K62:K77" si="37">E62*(1+(0.5*MIN(G62:I62)))+MIN(G62:I62)</f>
        <v>9.4589372160282195E-2</v>
      </c>
      <c r="L62" s="6">
        <f t="shared" si="25"/>
        <v>0.10182421496618635</v>
      </c>
      <c r="M62" s="6">
        <f t="shared" ref="M62:M77" si="38">E62*(1+(0.5*MAX(G62:I62)))+MAX(G62:I62)</f>
        <v>0.11414392370642881</v>
      </c>
      <c r="O62" s="42">
        <f t="shared" si="31"/>
        <v>9.4589372160282195E-2</v>
      </c>
      <c r="P62" s="42">
        <f t="shared" si="27"/>
        <v>0.10182421496618635</v>
      </c>
      <c r="Q62" s="42">
        <f t="shared" si="28"/>
        <v>0.11414392370642881</v>
      </c>
    </row>
    <row r="63" spans="1:17">
      <c r="A63" s="14" t="s">
        <v>1277</v>
      </c>
      <c r="B63" s="25" t="s">
        <v>983</v>
      </c>
      <c r="C63" s="5">
        <f t="shared" si="21"/>
        <v>3.78</v>
      </c>
      <c r="D63" s="9">
        <v>129.44099999999995</v>
      </c>
      <c r="E63" s="6">
        <f t="shared" si="29"/>
        <v>2.9202493800264222E-2</v>
      </c>
      <c r="F63" s="6">
        <f t="shared" si="35"/>
        <v>2.9978793427121248E-2</v>
      </c>
      <c r="G63" s="6">
        <f t="shared" si="23"/>
        <v>5.5E-2</v>
      </c>
      <c r="H63" s="6">
        <f t="shared" si="23"/>
        <v>4.4499999999999998E-2</v>
      </c>
      <c r="I63" s="6">
        <f t="shared" si="23"/>
        <v>0.06</v>
      </c>
      <c r="J63" s="6">
        <f t="shared" si="36"/>
        <v>5.3166666666666668E-2</v>
      </c>
      <c r="K63" s="6">
        <f t="shared" si="37"/>
        <v>7.4352249287320107E-2</v>
      </c>
      <c r="L63" s="6">
        <f t="shared" si="25"/>
        <v>8.3145460093787912E-2</v>
      </c>
      <c r="M63" s="6">
        <f t="shared" si="38"/>
        <v>9.0078568614272145E-2</v>
      </c>
      <c r="O63" s="42">
        <f t="shared" si="31"/>
        <v>7.4352249287320107E-2</v>
      </c>
      <c r="P63" s="42">
        <f t="shared" si="27"/>
        <v>8.3145460093787912E-2</v>
      </c>
      <c r="Q63" s="42">
        <f t="shared" si="28"/>
        <v>9.0078568614272145E-2</v>
      </c>
    </row>
    <row r="64" spans="1:17">
      <c r="A64" s="14" t="s">
        <v>1278</v>
      </c>
      <c r="B64" s="25" t="s">
        <v>409</v>
      </c>
      <c r="C64" s="5">
        <f t="shared" si="21"/>
        <v>3.78</v>
      </c>
      <c r="D64" s="9">
        <v>89.98577777777777</v>
      </c>
      <c r="E64" s="6">
        <f t="shared" si="29"/>
        <v>4.2006638086018531E-2</v>
      </c>
      <c r="F64" s="6">
        <f t="shared" si="35"/>
        <v>4.3054003595629921E-2</v>
      </c>
      <c r="G64" s="6">
        <f t="shared" si="23"/>
        <v>0.06</v>
      </c>
      <c r="H64" s="6">
        <f t="shared" si="23"/>
        <v>4.0599999999999997E-2</v>
      </c>
      <c r="I64" s="6">
        <f t="shared" si="23"/>
        <v>4.9000000000000002E-2</v>
      </c>
      <c r="J64" s="6">
        <f t="shared" si="36"/>
        <v>4.986666666666667E-2</v>
      </c>
      <c r="K64" s="6">
        <f t="shared" si="37"/>
        <v>8.3459372839164714E-2</v>
      </c>
      <c r="L64" s="6">
        <f t="shared" si="25"/>
        <v>9.2920670262296584E-2</v>
      </c>
      <c r="M64" s="6">
        <f t="shared" si="38"/>
        <v>0.10326683722859908</v>
      </c>
      <c r="O64" s="42">
        <f t="shared" si="31"/>
        <v>8.3459372839164714E-2</v>
      </c>
      <c r="P64" s="42">
        <f t="shared" si="27"/>
        <v>9.2920670262296584E-2</v>
      </c>
      <c r="Q64" s="42">
        <f t="shared" si="28"/>
        <v>0.10326683722859908</v>
      </c>
    </row>
    <row r="65" spans="1:17">
      <c r="A65" s="14" t="s">
        <v>1279</v>
      </c>
      <c r="B65" s="25" t="s">
        <v>423</v>
      </c>
      <c r="C65" s="5">
        <f t="shared" si="21"/>
        <v>3.64</v>
      </c>
      <c r="D65" s="9">
        <v>106.79777777777777</v>
      </c>
      <c r="E65" s="6">
        <f t="shared" si="29"/>
        <v>3.4083106181984651E-2</v>
      </c>
      <c r="F65" s="6">
        <f t="shared" si="35"/>
        <v>3.4722164422896863E-2</v>
      </c>
      <c r="G65" s="6">
        <f t="shared" si="23"/>
        <v>5.0000000000000001E-3</v>
      </c>
      <c r="H65" s="6" t="str">
        <f t="shared" si="23"/>
        <v>Negative</v>
      </c>
      <c r="I65" s="6">
        <f t="shared" si="23"/>
        <v>7.0000000000000007E-2</v>
      </c>
      <c r="J65" s="6">
        <f t="shared" si="36"/>
        <v>3.7500000000000006E-2</v>
      </c>
      <c r="K65" s="6">
        <f t="shared" si="37"/>
        <v>3.9168313947439609E-2</v>
      </c>
      <c r="L65" s="6">
        <f t="shared" si="25"/>
        <v>7.2222164422896862E-2</v>
      </c>
      <c r="M65" s="6">
        <f t="shared" si="38"/>
        <v>0.10527601489835411</v>
      </c>
      <c r="O65" s="42" t="str">
        <f t="shared" si="31"/>
        <v/>
      </c>
      <c r="P65" s="42">
        <f t="shared" si="27"/>
        <v>7.2222164422896862E-2</v>
      </c>
      <c r="Q65" s="42">
        <f t="shared" si="28"/>
        <v>0.10527601489835411</v>
      </c>
    </row>
    <row r="66" spans="1:17">
      <c r="A66" s="14" t="s">
        <v>1281</v>
      </c>
      <c r="B66" s="25" t="s">
        <v>1034</v>
      </c>
      <c r="C66" s="5">
        <f t="shared" si="21"/>
        <v>1.9</v>
      </c>
      <c r="D66" s="9">
        <v>62.279111111111106</v>
      </c>
      <c r="E66" s="6">
        <f>C66/D66</f>
        <v>3.050782142041562E-2</v>
      </c>
      <c r="F66" s="6">
        <f>E66*(1+(0.5*J66))</f>
        <v>3.1529833437999547E-2</v>
      </c>
      <c r="G66" s="6" t="str">
        <f t="shared" si="23"/>
        <v>NMF</v>
      </c>
      <c r="H66" s="6">
        <f t="shared" si="23"/>
        <v>6.8000000000000005E-2</v>
      </c>
      <c r="I66" s="6">
        <f t="shared" si="23"/>
        <v>6.6000000000000003E-2</v>
      </c>
      <c r="J66" s="6">
        <f>AVERAGE(G66:I66)</f>
        <v>6.7000000000000004E-2</v>
      </c>
      <c r="K66" s="6">
        <f>E66*(1+(0.5*MIN(G66:I66)))+MIN(G66:I66)</f>
        <v>9.7514579527289341E-2</v>
      </c>
      <c r="L66" s="6">
        <f>J66+F66</f>
        <v>9.8529833437999551E-2</v>
      </c>
      <c r="M66" s="6">
        <f>E66*(1+(0.5*MAX(G66:I66)))+MAX(G66:I66)</f>
        <v>9.954508734870976E-2</v>
      </c>
      <c r="O66" s="42">
        <f>IF((K66&gt;$N$5),K66,"")</f>
        <v>9.7514579527289341E-2</v>
      </c>
      <c r="P66" s="42">
        <f>IF((L66&gt;$N$5),L66,"")</f>
        <v>9.8529833437999551E-2</v>
      </c>
      <c r="Q66" s="42">
        <f>IF((M66&gt;$N$5),M66,"")</f>
        <v>9.954508734870976E-2</v>
      </c>
    </row>
    <row r="67" spans="1:17">
      <c r="A67" s="14" t="s">
        <v>1280</v>
      </c>
      <c r="B67" s="25" t="s">
        <v>922</v>
      </c>
      <c r="C67" s="5">
        <f t="shared" si="21"/>
        <v>1.52</v>
      </c>
      <c r="D67" s="9">
        <v>44.557333333333332</v>
      </c>
      <c r="E67" s="6">
        <f t="shared" si="29"/>
        <v>3.411335208570232E-2</v>
      </c>
      <c r="F67" s="6">
        <f t="shared" si="35"/>
        <v>3.5307319408701895E-2</v>
      </c>
      <c r="G67" s="6">
        <f t="shared" si="23"/>
        <v>0.08</v>
      </c>
      <c r="H67" s="6" t="str">
        <f t="shared" si="23"/>
        <v>Negative</v>
      </c>
      <c r="I67" s="6">
        <f t="shared" si="23"/>
        <v>0.06</v>
      </c>
      <c r="J67" s="6">
        <f t="shared" si="36"/>
        <v>7.0000000000000007E-2</v>
      </c>
      <c r="K67" s="6">
        <f t="shared" si="37"/>
        <v>9.5136752648273398E-2</v>
      </c>
      <c r="L67" s="6">
        <f t="shared" si="25"/>
        <v>0.1053073194087019</v>
      </c>
      <c r="M67" s="6">
        <f t="shared" si="38"/>
        <v>0.11547788616913041</v>
      </c>
      <c r="O67" s="42">
        <f t="shared" si="31"/>
        <v>9.5136752648273398E-2</v>
      </c>
      <c r="P67" s="42">
        <f t="shared" si="27"/>
        <v>0.1053073194087019</v>
      </c>
      <c r="Q67" s="42">
        <f t="shared" si="28"/>
        <v>0.11547788616913041</v>
      </c>
    </row>
    <row r="68" spans="1:17">
      <c r="A68" s="14" t="s">
        <v>1282</v>
      </c>
      <c r="B68" s="25" t="s">
        <v>1283</v>
      </c>
      <c r="C68" s="5">
        <f t="shared" si="21"/>
        <v>2.52</v>
      </c>
      <c r="D68" s="9">
        <v>105.47244444444453</v>
      </c>
      <c r="E68" s="6">
        <f t="shared" si="29"/>
        <v>2.389249640769783E-2</v>
      </c>
      <c r="F68" s="6">
        <f t="shared" si="35"/>
        <v>2.427875843295561E-2</v>
      </c>
      <c r="G68" s="6">
        <f t="shared" si="23"/>
        <v>3.5000000000000003E-2</v>
      </c>
      <c r="H68" s="6">
        <f t="shared" si="23"/>
        <v>2.4E-2</v>
      </c>
      <c r="I68" s="6">
        <f t="shared" si="23"/>
        <v>3.7999999999999999E-2</v>
      </c>
      <c r="J68" s="6">
        <f t="shared" si="36"/>
        <v>3.2333333333333332E-2</v>
      </c>
      <c r="K68" s="6">
        <f t="shared" si="37"/>
        <v>4.8179206364590207E-2</v>
      </c>
      <c r="L68" s="6">
        <f t="shared" si="25"/>
        <v>5.6612091766288938E-2</v>
      </c>
      <c r="M68" s="6">
        <f t="shared" si="38"/>
        <v>6.2346453839444087E-2</v>
      </c>
      <c r="O68" s="42" t="str">
        <f t="shared" si="31"/>
        <v/>
      </c>
      <c r="P68" s="42" t="str">
        <f t="shared" si="27"/>
        <v/>
      </c>
      <c r="Q68" s="42" t="str">
        <f t="shared" si="28"/>
        <v/>
      </c>
    </row>
    <row r="69" spans="1:17">
      <c r="A69" s="14" t="s">
        <v>1284</v>
      </c>
      <c r="B69" s="25" t="s">
        <v>438</v>
      </c>
      <c r="C69" s="5">
        <f t="shared" si="21"/>
        <v>5</v>
      </c>
      <c r="D69" s="9">
        <v>212.80266666666651</v>
      </c>
      <c r="E69" s="6">
        <f t="shared" si="29"/>
        <v>2.3495946166088161E-2</v>
      </c>
      <c r="F69" s="6">
        <f t="shared" si="35"/>
        <v>2.4533292189320949E-2</v>
      </c>
      <c r="G69" s="6">
        <f t="shared" si="23"/>
        <v>0.105</v>
      </c>
      <c r="H69" s="6">
        <f t="shared" si="23"/>
        <v>7.9899999999999999E-2</v>
      </c>
      <c r="I69" s="6">
        <f t="shared" si="23"/>
        <v>0.08</v>
      </c>
      <c r="J69" s="6">
        <f t="shared" si="36"/>
        <v>8.8300000000000003E-2</v>
      </c>
      <c r="K69" s="6">
        <f t="shared" si="37"/>
        <v>0.10433460921542338</v>
      </c>
      <c r="L69" s="6">
        <f t="shared" si="25"/>
        <v>0.11283329218932095</v>
      </c>
      <c r="M69" s="6">
        <f t="shared" si="38"/>
        <v>0.12972948333980777</v>
      </c>
      <c r="O69" s="42">
        <f t="shared" si="31"/>
        <v>0.10433460921542338</v>
      </c>
      <c r="P69" s="42">
        <f t="shared" si="27"/>
        <v>0.11283329218932095</v>
      </c>
      <c r="Q69" s="42">
        <f t="shared" si="28"/>
        <v>0.12972948333980777</v>
      </c>
    </row>
    <row r="70" spans="1:17">
      <c r="A70" s="14" t="s">
        <v>1285</v>
      </c>
      <c r="B70" s="25" t="s">
        <v>1286</v>
      </c>
      <c r="C70" s="5">
        <f t="shared" si="21"/>
        <v>2.2999999999999998</v>
      </c>
      <c r="D70" s="9">
        <v>72.213999999999999</v>
      </c>
      <c r="E70" s="6">
        <f t="shared" si="29"/>
        <v>3.1849779821087325E-2</v>
      </c>
      <c r="F70" s="6">
        <f t="shared" si="35"/>
        <v>3.2319033243784677E-2</v>
      </c>
      <c r="G70" s="6">
        <f t="shared" si="23"/>
        <v>0.03</v>
      </c>
      <c r="H70" s="6">
        <f t="shared" si="23"/>
        <v>3.2399999999999998E-2</v>
      </c>
      <c r="I70" s="6">
        <f t="shared" si="23"/>
        <v>2.5999999999999999E-2</v>
      </c>
      <c r="J70" s="6">
        <f t="shared" si="36"/>
        <v>2.9466666666666665E-2</v>
      </c>
      <c r="K70" s="6">
        <f t="shared" si="37"/>
        <v>5.826382695876145E-2</v>
      </c>
      <c r="L70" s="6">
        <f t="shared" si="25"/>
        <v>6.1785699910451339E-2</v>
      </c>
      <c r="M70" s="6">
        <f t="shared" si="38"/>
        <v>6.4765746254188933E-2</v>
      </c>
      <c r="O70" s="42" t="str">
        <f t="shared" si="31"/>
        <v/>
      </c>
      <c r="P70" s="42" t="str">
        <f t="shared" si="27"/>
        <v/>
      </c>
      <c r="Q70" s="42" t="str">
        <f t="shared" si="28"/>
        <v/>
      </c>
    </row>
    <row r="71" spans="1:17">
      <c r="A71" s="14" t="s">
        <v>1287</v>
      </c>
      <c r="B71" s="25" t="s">
        <v>1288</v>
      </c>
      <c r="C71" s="5">
        <f t="shared" si="21"/>
        <v>1.46</v>
      </c>
      <c r="D71" s="9">
        <v>43.177777777777791</v>
      </c>
      <c r="E71" s="6">
        <f t="shared" si="29"/>
        <v>3.3813690169840441E-2</v>
      </c>
      <c r="F71" s="6">
        <f t="shared" si="35"/>
        <v>3.4625218733916614E-2</v>
      </c>
      <c r="G71" s="6">
        <f t="shared" si="23"/>
        <v>6.5000000000000002E-2</v>
      </c>
      <c r="H71" s="6">
        <f t="shared" si="23"/>
        <v>3.4000000000000002E-2</v>
      </c>
      <c r="I71" s="6">
        <f t="shared" si="23"/>
        <v>4.4999999999999998E-2</v>
      </c>
      <c r="J71" s="6">
        <f t="shared" si="36"/>
        <v>4.8000000000000008E-2</v>
      </c>
      <c r="K71" s="6">
        <f t="shared" si="37"/>
        <v>6.8388522902727733E-2</v>
      </c>
      <c r="L71" s="6">
        <f t="shared" si="25"/>
        <v>8.2625218733916622E-2</v>
      </c>
      <c r="M71" s="6">
        <f t="shared" si="38"/>
        <v>9.9912635100360248E-2</v>
      </c>
      <c r="O71" s="42" t="str">
        <f t="shared" si="31"/>
        <v/>
      </c>
      <c r="P71" s="42">
        <f t="shared" si="27"/>
        <v>8.2625218733916622E-2</v>
      </c>
      <c r="Q71" s="42">
        <f t="shared" si="28"/>
        <v>9.9912635100360248E-2</v>
      </c>
    </row>
    <row r="72" spans="1:17">
      <c r="A72" s="14" t="s">
        <v>1289</v>
      </c>
      <c r="B72" s="25" t="s">
        <v>589</v>
      </c>
      <c r="C72" s="5">
        <f t="shared" si="21"/>
        <v>2.95</v>
      </c>
      <c r="D72" s="9">
        <v>94.798777777777786</v>
      </c>
      <c r="E72" s="6">
        <f t="shared" si="29"/>
        <v>3.1118544660092898E-2</v>
      </c>
      <c r="F72" s="6">
        <f t="shared" si="35"/>
        <v>3.1982084274410474E-2</v>
      </c>
      <c r="G72" s="6">
        <f t="shared" si="23"/>
        <v>5.5E-2</v>
      </c>
      <c r="H72" s="6">
        <f t="shared" si="23"/>
        <v>5.0500000000000003E-2</v>
      </c>
      <c r="I72" s="6">
        <f t="shared" si="23"/>
        <v>6.0999999999999999E-2</v>
      </c>
      <c r="J72" s="6">
        <f t="shared" si="36"/>
        <v>5.5500000000000001E-2</v>
      </c>
      <c r="K72" s="6">
        <f t="shared" si="37"/>
        <v>8.2404287912760249E-2</v>
      </c>
      <c r="L72" s="6">
        <f t="shared" si="25"/>
        <v>8.7482084274410482E-2</v>
      </c>
      <c r="M72" s="6">
        <f t="shared" si="38"/>
        <v>9.3067660272225738E-2</v>
      </c>
      <c r="O72" s="42">
        <f t="shared" si="31"/>
        <v>8.2404287912760249E-2</v>
      </c>
      <c r="P72" s="42">
        <f t="shared" si="27"/>
        <v>8.7482084274410482E-2</v>
      </c>
      <c r="Q72" s="42">
        <f t="shared" si="28"/>
        <v>9.3067660272225738E-2</v>
      </c>
    </row>
    <row r="73" spans="1:17">
      <c r="A73" s="14" t="s">
        <v>1290</v>
      </c>
      <c r="B73" s="25" t="s">
        <v>1291</v>
      </c>
      <c r="C73" s="5">
        <f t="shared" si="21"/>
        <v>1.1599999999999999</v>
      </c>
      <c r="D73" s="9">
        <v>50.242888888888906</v>
      </c>
      <c r="E73" s="6">
        <f t="shared" si="29"/>
        <v>2.3087844382621302E-2</v>
      </c>
      <c r="F73" s="6">
        <f t="shared" si="35"/>
        <v>2.3806645937733576E-2</v>
      </c>
      <c r="G73" s="6">
        <f t="shared" si="23"/>
        <v>7.0000000000000007E-2</v>
      </c>
      <c r="H73" s="6">
        <f t="shared" si="23"/>
        <v>6.1800000000000001E-2</v>
      </c>
      <c r="I73" s="6">
        <f t="shared" si="23"/>
        <v>5.5E-2</v>
      </c>
      <c r="J73" s="6">
        <f t="shared" si="36"/>
        <v>6.2266666666666665E-2</v>
      </c>
      <c r="K73" s="6">
        <f t="shared" si="37"/>
        <v>7.8722760103143385E-2</v>
      </c>
      <c r="L73" s="6">
        <f t="shared" si="25"/>
        <v>8.6073312604400237E-2</v>
      </c>
      <c r="M73" s="6">
        <f t="shared" si="38"/>
        <v>9.3895918936013054E-2</v>
      </c>
      <c r="O73" s="42">
        <f t="shared" si="31"/>
        <v>7.8722760103143385E-2</v>
      </c>
      <c r="P73" s="42">
        <f t="shared" si="27"/>
        <v>8.6073312604400237E-2</v>
      </c>
      <c r="Q73" s="42">
        <f t="shared" si="28"/>
        <v>9.3895918936013054E-2</v>
      </c>
    </row>
    <row r="74" spans="1:17">
      <c r="A74" s="14" t="s">
        <v>1292</v>
      </c>
      <c r="B74" s="25" t="s">
        <v>1293</v>
      </c>
      <c r="C74" s="5">
        <f t="shared" si="21"/>
        <v>1.54</v>
      </c>
      <c r="D74" s="9">
        <v>55.281777777777776</v>
      </c>
      <c r="E74" s="6">
        <f t="shared" si="29"/>
        <v>2.7857280679187035E-2</v>
      </c>
      <c r="F74" s="6">
        <f t="shared" si="35"/>
        <v>2.8511926775147932E-2</v>
      </c>
      <c r="G74" s="6">
        <f t="shared" si="23"/>
        <v>4.4999999999999998E-2</v>
      </c>
      <c r="H74" s="6">
        <f t="shared" si="23"/>
        <v>4.8000000000000001E-2</v>
      </c>
      <c r="I74" s="6">
        <f t="shared" si="23"/>
        <v>4.8000000000000001E-2</v>
      </c>
      <c r="J74" s="6">
        <f t="shared" si="36"/>
        <v>4.7000000000000007E-2</v>
      </c>
      <c r="K74" s="6">
        <f t="shared" si="37"/>
        <v>7.3484069494468743E-2</v>
      </c>
      <c r="L74" s="6">
        <f t="shared" si="25"/>
        <v>7.5511926775147939E-2</v>
      </c>
      <c r="M74" s="6">
        <f t="shared" si="38"/>
        <v>7.6525855415487523E-2</v>
      </c>
      <c r="O74" s="42">
        <f t="shared" si="31"/>
        <v>7.3484069494468743E-2</v>
      </c>
      <c r="P74" s="42">
        <f t="shared" si="27"/>
        <v>7.5511926775147939E-2</v>
      </c>
      <c r="Q74" s="42">
        <f t="shared" si="28"/>
        <v>7.6525855415487523E-2</v>
      </c>
    </row>
    <row r="75" spans="1:17">
      <c r="A75" s="14" t="s">
        <v>1294</v>
      </c>
      <c r="B75" s="25" t="s">
        <v>581</v>
      </c>
      <c r="C75" s="5">
        <f t="shared" si="21"/>
        <v>1.65</v>
      </c>
      <c r="D75" s="9">
        <v>30.420666666666662</v>
      </c>
      <c r="E75" s="6">
        <f t="shared" si="29"/>
        <v>5.4239442484276049E-2</v>
      </c>
      <c r="F75" s="6">
        <f t="shared" si="35"/>
        <v>5.4522843571256391E-2</v>
      </c>
      <c r="G75" s="6">
        <f t="shared" si="23"/>
        <v>1.4999999999999999E-2</v>
      </c>
      <c r="H75" s="6">
        <f t="shared" si="23"/>
        <v>5.8999999999999999E-3</v>
      </c>
      <c r="I75" s="6" t="str">
        <f t="shared" si="23"/>
        <v>n/a</v>
      </c>
      <c r="J75" s="6">
        <f t="shared" si="36"/>
        <v>1.0449999999999999E-2</v>
      </c>
      <c r="K75" s="6">
        <f t="shared" si="37"/>
        <v>6.0299448839604669E-2</v>
      </c>
      <c r="L75" s="6">
        <f t="shared" si="25"/>
        <v>6.4972843571256392E-2</v>
      </c>
      <c r="M75" s="6">
        <f t="shared" si="38"/>
        <v>6.9646238302908114E-2</v>
      </c>
      <c r="O75" s="42" t="str">
        <f t="shared" si="31"/>
        <v/>
      </c>
      <c r="P75" s="42" t="str">
        <f t="shared" si="27"/>
        <v/>
      </c>
      <c r="Q75" s="42" t="str">
        <f t="shared" si="28"/>
        <v/>
      </c>
    </row>
    <row r="76" spans="1:17">
      <c r="A76" s="14" t="s">
        <v>1295</v>
      </c>
      <c r="B76" s="25" t="s">
        <v>617</v>
      </c>
      <c r="C76" s="5">
        <f t="shared" si="21"/>
        <v>2.48</v>
      </c>
      <c r="D76" s="9">
        <v>57.065777777777775</v>
      </c>
      <c r="E76" s="6">
        <f t="shared" si="29"/>
        <v>4.3458620850792072E-2</v>
      </c>
      <c r="F76" s="6">
        <f t="shared" si="35"/>
        <v>4.4137299646411943E-2</v>
      </c>
      <c r="G76" s="6">
        <f t="shared" si="23"/>
        <v>3.5000000000000003E-2</v>
      </c>
      <c r="H76" s="6">
        <f t="shared" si="23"/>
        <v>1.37E-2</v>
      </c>
      <c r="I76" s="6">
        <f t="shared" si="23"/>
        <v>4.4999999999999998E-2</v>
      </c>
      <c r="J76" s="6">
        <f t="shared" si="36"/>
        <v>3.1233333333333335E-2</v>
      </c>
      <c r="K76" s="6">
        <f t="shared" si="37"/>
        <v>5.7456312403619994E-2</v>
      </c>
      <c r="L76" s="6">
        <f t="shared" si="25"/>
        <v>7.5370632979745278E-2</v>
      </c>
      <c r="M76" s="6">
        <f t="shared" si="38"/>
        <v>8.943643981993489E-2</v>
      </c>
      <c r="O76" s="42" t="str">
        <f t="shared" si="31"/>
        <v/>
      </c>
      <c r="P76" s="42">
        <f t="shared" si="27"/>
        <v>7.5370632979745278E-2</v>
      </c>
      <c r="Q76" s="42">
        <f t="shared" si="28"/>
        <v>8.943643981993489E-2</v>
      </c>
    </row>
    <row r="77" spans="1:17">
      <c r="A77" s="14" t="s">
        <v>1296</v>
      </c>
      <c r="B77" s="25" t="s">
        <v>733</v>
      </c>
      <c r="C77" s="5">
        <f t="shared" si="21"/>
        <v>1.62</v>
      </c>
      <c r="D77" s="9">
        <v>61.458555555555563</v>
      </c>
      <c r="E77" s="6">
        <f t="shared" si="29"/>
        <v>2.6359226723699981E-2</v>
      </c>
      <c r="F77" s="6">
        <f t="shared" si="35"/>
        <v>2.7070925845239877E-2</v>
      </c>
      <c r="G77" s="6">
        <f t="shared" si="23"/>
        <v>5.5E-2</v>
      </c>
      <c r="H77" s="6">
        <f t="shared" si="23"/>
        <v>5.8000000000000003E-2</v>
      </c>
      <c r="I77" s="6">
        <f t="shared" si="23"/>
        <v>4.9000000000000002E-2</v>
      </c>
      <c r="J77" s="6">
        <f t="shared" si="36"/>
        <v>5.3999999999999999E-2</v>
      </c>
      <c r="K77" s="6">
        <f t="shared" si="37"/>
        <v>7.6005027778430628E-2</v>
      </c>
      <c r="L77" s="6">
        <f t="shared" si="25"/>
        <v>8.107092584523988E-2</v>
      </c>
      <c r="M77" s="6">
        <f t="shared" si="38"/>
        <v>8.5123644298687282E-2</v>
      </c>
      <c r="O77" s="42">
        <f t="shared" si="31"/>
        <v>7.6005027778430628E-2</v>
      </c>
      <c r="P77" s="42">
        <f t="shared" si="27"/>
        <v>8.107092584523988E-2</v>
      </c>
      <c r="Q77" s="42">
        <f t="shared" si="28"/>
        <v>8.5123644298687282E-2</v>
      </c>
    </row>
    <row r="78" spans="1:17">
      <c r="B78" s="24"/>
      <c r="C78" s="5"/>
      <c r="D78" s="5"/>
      <c r="E78" s="6"/>
      <c r="F78" s="6"/>
      <c r="G78" s="6"/>
      <c r="H78" s="6"/>
      <c r="I78" s="6"/>
      <c r="J78" s="6"/>
      <c r="K78" s="6"/>
      <c r="L78" s="6"/>
      <c r="M78" s="6"/>
      <c r="O78" s="42" t="str">
        <f t="shared" ref="O78" si="39">IF((K78&gt;7%),K78,"")</f>
        <v/>
      </c>
      <c r="P78" s="42" t="str">
        <f t="shared" ref="P78" si="40">IF((L78&gt;7%),L78,"")</f>
        <v/>
      </c>
      <c r="Q78" s="42" t="str">
        <f t="shared" ref="Q78" si="41">IF((M78&gt;7%),M78,"")</f>
        <v/>
      </c>
    </row>
    <row r="79" spans="1:17" ht="13.5" thickBot="1">
      <c r="A79" s="44" t="s">
        <v>2</v>
      </c>
      <c r="B79" s="15"/>
      <c r="C79" s="15" t="s">
        <v>81</v>
      </c>
      <c r="D79" s="45" t="s">
        <v>81</v>
      </c>
      <c r="E79" s="46">
        <f t="shared" ref="E79:M79" si="42">AVERAGE(E55:E77)</f>
        <v>3.2442413325349514E-2</v>
      </c>
      <c r="F79" s="46">
        <f t="shared" si="42"/>
        <v>3.325673716625057E-2</v>
      </c>
      <c r="G79" s="46">
        <f t="shared" si="42"/>
        <v>5.613636363636363E-2</v>
      </c>
      <c r="H79" s="46">
        <f t="shared" si="42"/>
        <v>4.6771428571428582E-2</v>
      </c>
      <c r="I79" s="46">
        <f t="shared" si="42"/>
        <v>5.4545454545454543E-2</v>
      </c>
      <c r="J79" s="46">
        <f t="shared" si="42"/>
        <v>5.2205072463768126E-2</v>
      </c>
      <c r="K79" s="46">
        <f t="shared" si="42"/>
        <v>7.6172129145303386E-2</v>
      </c>
      <c r="L79" s="46">
        <f t="shared" si="42"/>
        <v>8.5461809630018676E-2</v>
      </c>
      <c r="M79" s="46">
        <f t="shared" si="42"/>
        <v>9.5814847635431452E-2</v>
      </c>
      <c r="N79" s="15"/>
      <c r="O79" s="43">
        <f>IFERROR(AVERAGE(O55:O77),"")</f>
        <v>8.4540229794913144E-2</v>
      </c>
      <c r="P79" s="43">
        <f t="shared" ref="P79:Q79" si="43">IFERROR(AVERAGE(P55:P77),"")</f>
        <v>9.0193385510202506E-2</v>
      </c>
      <c r="Q79" s="43">
        <f t="shared" si="43"/>
        <v>0.10196786296462299</v>
      </c>
    </row>
    <row r="81" spans="1:1">
      <c r="A81" s="12" t="s">
        <v>18</v>
      </c>
    </row>
    <row r="82" spans="1:1">
      <c r="A82" s="14" t="s">
        <v>52</v>
      </c>
    </row>
    <row r="83" spans="1:1">
      <c r="A83" s="14" t="s">
        <v>1306</v>
      </c>
    </row>
    <row r="84" spans="1:1">
      <c r="A84" s="14" t="s">
        <v>54</v>
      </c>
    </row>
    <row r="85" spans="1:1">
      <c r="A85" s="14" t="s">
        <v>58</v>
      </c>
    </row>
    <row r="86" spans="1:1">
      <c r="A86" s="14" t="s">
        <v>87</v>
      </c>
    </row>
    <row r="87" spans="1:1">
      <c r="A87" s="14" t="s">
        <v>59</v>
      </c>
    </row>
    <row r="88" spans="1:1">
      <c r="A88" s="14" t="s">
        <v>60</v>
      </c>
    </row>
    <row r="89" spans="1:1">
      <c r="A89" s="18" t="s">
        <v>61</v>
      </c>
    </row>
    <row r="90" spans="1:1">
      <c r="A90" s="14" t="s">
        <v>62</v>
      </c>
    </row>
    <row r="91" spans="1:1">
      <c r="A91" s="14" t="s">
        <v>63</v>
      </c>
    </row>
    <row r="92" spans="1:1">
      <c r="A92" s="14" t="s">
        <v>64</v>
      </c>
    </row>
    <row r="93" spans="1:1">
      <c r="A93" s="48" t="s">
        <v>1185</v>
      </c>
    </row>
    <row r="94" spans="1:1">
      <c r="A94" s="48" t="s">
        <v>1186</v>
      </c>
    </row>
    <row r="95" spans="1:1">
      <c r="A95" s="48" t="s">
        <v>1187</v>
      </c>
    </row>
    <row r="96" spans="1:1">
      <c r="A96" s="17"/>
    </row>
    <row r="98" spans="1:17">
      <c r="A98" s="10" t="s">
        <v>1561</v>
      </c>
      <c r="B98" s="1"/>
      <c r="C98" s="1"/>
      <c r="D98" s="1"/>
      <c r="E98" s="1"/>
      <c r="F98" s="1"/>
      <c r="G98" s="1"/>
      <c r="H98" s="1"/>
      <c r="I98" s="1"/>
      <c r="J98" s="1"/>
      <c r="K98" s="1"/>
      <c r="L98" s="1"/>
      <c r="M98" s="1"/>
      <c r="N98" s="1"/>
      <c r="O98" s="1"/>
      <c r="P98" s="1"/>
      <c r="Q98" s="1"/>
    </row>
    <row r="99" spans="1:17">
      <c r="K99" s="385" t="s">
        <v>1178</v>
      </c>
      <c r="L99" s="385"/>
      <c r="M99" s="385"/>
      <c r="O99" s="386" t="s">
        <v>1179</v>
      </c>
      <c r="P99" s="386"/>
      <c r="Q99" s="386"/>
    </row>
    <row r="100" spans="1:17" ht="13.5" thickBot="1">
      <c r="C100" s="16" t="s">
        <v>4</v>
      </c>
      <c r="D100" s="24" t="s">
        <v>5</v>
      </c>
      <c r="E100" s="24" t="s">
        <v>6</v>
      </c>
      <c r="F100" s="24" t="s">
        <v>7</v>
      </c>
      <c r="G100" s="16" t="s">
        <v>8</v>
      </c>
      <c r="H100" s="24" t="s">
        <v>9</v>
      </c>
      <c r="I100" s="16" t="s">
        <v>10</v>
      </c>
      <c r="J100" s="16" t="s">
        <v>11</v>
      </c>
      <c r="K100" s="16" t="s">
        <v>12</v>
      </c>
      <c r="L100" s="16" t="s">
        <v>13</v>
      </c>
      <c r="M100" s="16" t="s">
        <v>19</v>
      </c>
      <c r="O100" s="38" t="s">
        <v>1180</v>
      </c>
      <c r="P100" s="38" t="s">
        <v>1181</v>
      </c>
      <c r="Q100" s="38" t="s">
        <v>205</v>
      </c>
    </row>
    <row r="101" spans="1:17" ht="51">
      <c r="A101" s="4" t="s">
        <v>0</v>
      </c>
      <c r="B101" s="2"/>
      <c r="C101" s="3" t="s">
        <v>14</v>
      </c>
      <c r="D101" s="4" t="s">
        <v>15</v>
      </c>
      <c r="E101" s="3" t="s">
        <v>16</v>
      </c>
      <c r="F101" s="3" t="s">
        <v>17</v>
      </c>
      <c r="G101" s="11" t="s">
        <v>86</v>
      </c>
      <c r="H101" s="11" t="s">
        <v>56</v>
      </c>
      <c r="I101" s="11" t="s">
        <v>57</v>
      </c>
      <c r="J101" s="11" t="s">
        <v>22</v>
      </c>
      <c r="K101" s="39" t="s">
        <v>1182</v>
      </c>
      <c r="L101" s="40" t="s">
        <v>1183</v>
      </c>
      <c r="M101" s="39" t="s">
        <v>1184</v>
      </c>
      <c r="N101" s="47">
        <v>7.0000000000000007E-2</v>
      </c>
      <c r="O101" s="39" t="s">
        <v>1182</v>
      </c>
      <c r="P101" s="40" t="s">
        <v>1183</v>
      </c>
      <c r="Q101" s="39" t="s">
        <v>1184</v>
      </c>
    </row>
    <row r="102" spans="1:17">
      <c r="O102" s="16"/>
      <c r="P102" s="41"/>
      <c r="Q102" s="16"/>
    </row>
    <row r="103" spans="1:17">
      <c r="A103" s="14" t="s">
        <v>1267</v>
      </c>
      <c r="B103" s="8" t="s">
        <v>1268</v>
      </c>
      <c r="C103" s="5">
        <f t="shared" ref="C103:C115" si="44">C55</f>
        <v>2.35</v>
      </c>
      <c r="D103" s="9">
        <v>82.789388888888851</v>
      </c>
      <c r="E103" s="6">
        <f t="shared" ref="E103:E125" si="45">C103/D103</f>
        <v>2.8385280185531037E-2</v>
      </c>
      <c r="F103" s="6">
        <f t="shared" ref="F103:F109" si="46">E103*(1+(0.5*J103))</f>
        <v>2.9293609151468031E-2</v>
      </c>
      <c r="G103" s="6">
        <f t="shared" ref="G103:I115" si="47">G55</f>
        <v>0.06</v>
      </c>
      <c r="H103" s="6">
        <f t="shared" si="47"/>
        <v>0.06</v>
      </c>
      <c r="I103" s="6">
        <f t="shared" si="47"/>
        <v>7.1999999999999995E-2</v>
      </c>
      <c r="J103" s="6">
        <f t="shared" ref="J103:J125" si="48">AVERAGE(G103:I103)</f>
        <v>6.4000000000000001E-2</v>
      </c>
      <c r="K103" s="6">
        <f t="shared" ref="K103:K109" si="49">E103*(1+(0.5*MIN(G103:I103)))+MIN(G103:I103)</f>
        <v>8.9236838591096962E-2</v>
      </c>
      <c r="L103" s="6">
        <f t="shared" ref="L103:L125" si="50">J103+F103</f>
        <v>9.3293609151468032E-2</v>
      </c>
      <c r="M103" s="6">
        <f t="shared" ref="M103:M109" si="51">E103*(1+(0.5*MAX(G103:I103)))+MAX(G103:I103)</f>
        <v>0.10140715027221014</v>
      </c>
      <c r="O103" s="42">
        <f>IF((K103&gt;$N$5),K103,"")</f>
        <v>8.9236838591096962E-2</v>
      </c>
      <c r="P103" s="42">
        <f t="shared" ref="P103:P125" si="52">IF((L103&gt;$N$5),L103,"")</f>
        <v>9.3293609151468032E-2</v>
      </c>
      <c r="Q103" s="42">
        <f t="shared" ref="Q103:Q125" si="53">IF((M103&gt;$N$5),M103,"")</f>
        <v>0.10140715027221014</v>
      </c>
    </row>
    <row r="104" spans="1:17">
      <c r="A104" s="14" t="s">
        <v>1269</v>
      </c>
      <c r="B104" s="8" t="s">
        <v>1102</v>
      </c>
      <c r="C104" s="5">
        <f t="shared" si="44"/>
        <v>1.42</v>
      </c>
      <c r="D104" s="9">
        <v>48.268333333333317</v>
      </c>
      <c r="E104" s="6">
        <f t="shared" si="45"/>
        <v>2.9418873657677574E-2</v>
      </c>
      <c r="F104" s="6">
        <f t="shared" si="46"/>
        <v>3.0254859984116582E-2</v>
      </c>
      <c r="G104" s="6">
        <f t="shared" si="47"/>
        <v>6.5000000000000002E-2</v>
      </c>
      <c r="H104" s="6">
        <f t="shared" si="47"/>
        <v>5.0500000000000003E-2</v>
      </c>
      <c r="I104" s="6">
        <f t="shared" si="47"/>
        <v>5.5E-2</v>
      </c>
      <c r="J104" s="6">
        <f t="shared" si="48"/>
        <v>5.683333333333334E-2</v>
      </c>
      <c r="K104" s="6">
        <f t="shared" si="49"/>
        <v>8.0661700217533938E-2</v>
      </c>
      <c r="L104" s="6">
        <f t="shared" si="50"/>
        <v>8.7088193317449922E-2</v>
      </c>
      <c r="M104" s="6">
        <f t="shared" si="51"/>
        <v>9.537498705155209E-2</v>
      </c>
      <c r="O104" s="42">
        <f t="shared" ref="O104:O125" si="54">IF((K104&gt;$N$5),K104,"")</f>
        <v>8.0661700217533938E-2</v>
      </c>
      <c r="P104" s="42">
        <f t="shared" si="52"/>
        <v>8.7088193317449922E-2</v>
      </c>
      <c r="Q104" s="42">
        <f t="shared" si="53"/>
        <v>9.537498705155209E-2</v>
      </c>
    </row>
    <row r="105" spans="1:17">
      <c r="A105" s="14" t="s">
        <v>1270</v>
      </c>
      <c r="B105" s="8" t="s">
        <v>930</v>
      </c>
      <c r="C105" s="5">
        <f t="shared" si="44"/>
        <v>1.9</v>
      </c>
      <c r="D105" s="9">
        <v>73.849499999999964</v>
      </c>
      <c r="E105" s="6">
        <f t="shared" si="45"/>
        <v>2.572800086662741E-2</v>
      </c>
      <c r="F105" s="6">
        <f t="shared" si="46"/>
        <v>2.6482688892048484E-2</v>
      </c>
      <c r="G105" s="6">
        <f t="shared" si="47"/>
        <v>6.5000000000000002E-2</v>
      </c>
      <c r="H105" s="6">
        <f t="shared" si="47"/>
        <v>4.7E-2</v>
      </c>
      <c r="I105" s="6">
        <f t="shared" si="47"/>
        <v>6.4000000000000001E-2</v>
      </c>
      <c r="J105" s="6">
        <f t="shared" si="48"/>
        <v>5.8666666666666666E-2</v>
      </c>
      <c r="K105" s="6">
        <f t="shared" si="49"/>
        <v>7.3332608886993153E-2</v>
      </c>
      <c r="L105" s="6">
        <f t="shared" si="50"/>
        <v>8.5149355558715153E-2</v>
      </c>
      <c r="M105" s="6">
        <f t="shared" si="51"/>
        <v>9.1564160894792801E-2</v>
      </c>
      <c r="O105" s="42">
        <f t="shared" si="54"/>
        <v>7.3332608886993153E-2</v>
      </c>
      <c r="P105" s="42">
        <f t="shared" si="52"/>
        <v>8.5149355558715153E-2</v>
      </c>
      <c r="Q105" s="42">
        <f t="shared" si="53"/>
        <v>9.1564160894792801E-2</v>
      </c>
    </row>
    <row r="106" spans="1:17">
      <c r="A106" s="14" t="s">
        <v>1271</v>
      </c>
      <c r="B106" s="25" t="s">
        <v>319</v>
      </c>
      <c r="C106" s="5">
        <f t="shared" si="44"/>
        <v>2.68</v>
      </c>
      <c r="D106" s="9">
        <v>86.138666666666666</v>
      </c>
      <c r="E106" s="6">
        <f t="shared" si="45"/>
        <v>3.11126246052876E-2</v>
      </c>
      <c r="F106" s="6">
        <f t="shared" si="46"/>
        <v>3.1931923719893507E-2</v>
      </c>
      <c r="G106" s="6">
        <f t="shared" si="47"/>
        <v>0.04</v>
      </c>
      <c r="H106" s="6">
        <f t="shared" si="47"/>
        <v>6.0999999999999999E-2</v>
      </c>
      <c r="I106" s="6">
        <f t="shared" si="47"/>
        <v>5.7000000000000002E-2</v>
      </c>
      <c r="J106" s="6">
        <f t="shared" si="48"/>
        <v>5.2666666666666667E-2</v>
      </c>
      <c r="K106" s="6">
        <f t="shared" si="49"/>
        <v>7.1734877097393346E-2</v>
      </c>
      <c r="L106" s="6">
        <f t="shared" si="50"/>
        <v>8.4598590386560174E-2</v>
      </c>
      <c r="M106" s="6">
        <f t="shared" si="51"/>
        <v>9.306155965574886E-2</v>
      </c>
      <c r="O106" s="42">
        <f t="shared" si="54"/>
        <v>7.1734877097393346E-2</v>
      </c>
      <c r="P106" s="42">
        <f t="shared" si="52"/>
        <v>8.4598590386560174E-2</v>
      </c>
      <c r="Q106" s="42">
        <f t="shared" si="53"/>
        <v>9.306155965574886E-2</v>
      </c>
    </row>
    <row r="107" spans="1:17">
      <c r="A107" s="14" t="s">
        <v>1272</v>
      </c>
      <c r="B107" s="8" t="s">
        <v>1273</v>
      </c>
      <c r="C107" s="5">
        <f t="shared" si="44"/>
        <v>1.55</v>
      </c>
      <c r="D107" s="9">
        <v>43.493499999999997</v>
      </c>
      <c r="E107" s="6">
        <f t="shared" si="45"/>
        <v>3.5637509053076902E-2</v>
      </c>
      <c r="F107" s="6">
        <f t="shared" si="46"/>
        <v>3.6243346706979207E-2</v>
      </c>
      <c r="G107" s="6">
        <f t="shared" si="47"/>
        <v>3.5000000000000003E-2</v>
      </c>
      <c r="H107" s="6">
        <f t="shared" si="47"/>
        <v>3.4000000000000002E-2</v>
      </c>
      <c r="I107" s="6">
        <f t="shared" si="47"/>
        <v>3.3000000000000002E-2</v>
      </c>
      <c r="J107" s="6">
        <f t="shared" si="48"/>
        <v>3.4000000000000002E-2</v>
      </c>
      <c r="K107" s="6">
        <f t="shared" si="49"/>
        <v>6.9225527952452667E-2</v>
      </c>
      <c r="L107" s="6">
        <f t="shared" si="50"/>
        <v>7.0243346706979209E-2</v>
      </c>
      <c r="M107" s="6">
        <f t="shared" si="51"/>
        <v>7.1261165461505752E-2</v>
      </c>
      <c r="O107" s="42" t="str">
        <f t="shared" si="54"/>
        <v/>
      </c>
      <c r="P107" s="42">
        <f t="shared" si="52"/>
        <v>7.0243346706979209E-2</v>
      </c>
      <c r="Q107" s="42">
        <f t="shared" si="53"/>
        <v>7.1261165461505752E-2</v>
      </c>
    </row>
    <row r="108" spans="1:17">
      <c r="A108" s="14" t="s">
        <v>1274</v>
      </c>
      <c r="B108" s="8" t="s">
        <v>474</v>
      </c>
      <c r="C108" s="5">
        <f t="shared" si="44"/>
        <v>1.1499999999999999</v>
      </c>
      <c r="D108" s="9">
        <v>29.647833333333342</v>
      </c>
      <c r="E108" s="6">
        <f t="shared" si="45"/>
        <v>3.8788669211353259E-2</v>
      </c>
      <c r="F108" s="6">
        <f t="shared" si="46"/>
        <v>4.0282679453810553E-2</v>
      </c>
      <c r="G108" s="6">
        <f t="shared" si="47"/>
        <v>0.125</v>
      </c>
      <c r="H108" s="6">
        <f t="shared" si="47"/>
        <v>5.11E-2</v>
      </c>
      <c r="I108" s="6">
        <f t="shared" si="47"/>
        <v>5.5E-2</v>
      </c>
      <c r="J108" s="6">
        <f t="shared" si="48"/>
        <v>7.7033333333333329E-2</v>
      </c>
      <c r="K108" s="6">
        <f t="shared" si="49"/>
        <v>9.0879719709703335E-2</v>
      </c>
      <c r="L108" s="6">
        <f t="shared" si="50"/>
        <v>0.11731601278714388</v>
      </c>
      <c r="M108" s="6">
        <f t="shared" si="51"/>
        <v>0.16621296103706285</v>
      </c>
      <c r="O108" s="42">
        <f t="shared" si="54"/>
        <v>9.0879719709703335E-2</v>
      </c>
      <c r="P108" s="42">
        <f t="shared" si="52"/>
        <v>0.11731601278714388</v>
      </c>
      <c r="Q108" s="42">
        <f t="shared" si="53"/>
        <v>0.16621296103706285</v>
      </c>
    </row>
    <row r="109" spans="1:17">
      <c r="A109" s="14" t="s">
        <v>1275</v>
      </c>
      <c r="B109" s="25" t="s">
        <v>381</v>
      </c>
      <c r="C109" s="5">
        <f t="shared" si="44"/>
        <v>1.53</v>
      </c>
      <c r="D109" s="9">
        <v>56.91744444444447</v>
      </c>
      <c r="E109" s="6">
        <f t="shared" si="45"/>
        <v>2.6881038228857769E-2</v>
      </c>
      <c r="F109" s="6">
        <f t="shared" si="46"/>
        <v>2.7801265770892335E-2</v>
      </c>
      <c r="G109" s="6">
        <f t="shared" si="47"/>
        <v>7.0000000000000007E-2</v>
      </c>
      <c r="H109" s="6">
        <f t="shared" si="47"/>
        <v>7.1400000000000005E-2</v>
      </c>
      <c r="I109" s="6">
        <f t="shared" si="47"/>
        <v>6.4000000000000001E-2</v>
      </c>
      <c r="J109" s="6">
        <f t="shared" si="48"/>
        <v>6.8466666666666676E-2</v>
      </c>
      <c r="K109" s="6">
        <f t="shared" si="49"/>
        <v>9.1741231452181216E-2</v>
      </c>
      <c r="L109" s="6">
        <f t="shared" si="50"/>
        <v>9.6267932437559017E-2</v>
      </c>
      <c r="M109" s="6">
        <f t="shared" si="51"/>
        <v>9.9240691293628003E-2</v>
      </c>
      <c r="O109" s="42">
        <f t="shared" si="54"/>
        <v>9.1741231452181216E-2</v>
      </c>
      <c r="P109" s="42">
        <f t="shared" si="52"/>
        <v>9.6267932437559017E-2</v>
      </c>
      <c r="Q109" s="42">
        <f t="shared" si="53"/>
        <v>9.9240691293628003E-2</v>
      </c>
    </row>
    <row r="110" spans="1:17">
      <c r="A110" s="14" t="s">
        <v>1276</v>
      </c>
      <c r="B110" s="25" t="s">
        <v>405</v>
      </c>
      <c r="C110" s="5">
        <f t="shared" si="44"/>
        <v>3.67</v>
      </c>
      <c r="D110" s="9">
        <v>75.741666666666731</v>
      </c>
      <c r="E110" s="6">
        <f t="shared" si="45"/>
        <v>4.8454175376829091E-2</v>
      </c>
      <c r="F110" s="6">
        <f t="shared" ref="F110:F125" si="55">E110*(1+(0.5*J110))</f>
        <v>4.9737403454725451E-2</v>
      </c>
      <c r="G110" s="6">
        <f t="shared" si="47"/>
        <v>6.5000000000000002E-2</v>
      </c>
      <c r="H110" s="6">
        <f t="shared" si="47"/>
        <v>4.5900000000000003E-2</v>
      </c>
      <c r="I110" s="6">
        <f t="shared" si="47"/>
        <v>4.8000000000000001E-2</v>
      </c>
      <c r="J110" s="6">
        <f t="shared" si="48"/>
        <v>5.2966666666666662E-2</v>
      </c>
      <c r="K110" s="6">
        <f t="shared" ref="K110:K125" si="56">E110*(1+(0.5*MIN(G110:I110)))+MIN(G110:I110)</f>
        <v>9.5466198701727317E-2</v>
      </c>
      <c r="L110" s="6">
        <f t="shared" si="50"/>
        <v>0.10270407012139211</v>
      </c>
      <c r="M110" s="6">
        <f t="shared" ref="M110:M125" si="57">E110*(1+(0.5*MAX(G110:I110)))+MAX(G110:I110)</f>
        <v>0.11502893607657604</v>
      </c>
      <c r="O110" s="42">
        <f t="shared" si="54"/>
        <v>9.5466198701727317E-2</v>
      </c>
      <c r="P110" s="42">
        <f t="shared" si="52"/>
        <v>0.10270407012139211</v>
      </c>
      <c r="Q110" s="42">
        <f t="shared" si="53"/>
        <v>0.11502893607657604</v>
      </c>
    </row>
    <row r="111" spans="1:17">
      <c r="A111" s="14" t="s">
        <v>1277</v>
      </c>
      <c r="B111" s="25" t="s">
        <v>983</v>
      </c>
      <c r="C111" s="5">
        <f t="shared" si="44"/>
        <v>3.78</v>
      </c>
      <c r="D111" s="9">
        <v>125.64694444444444</v>
      </c>
      <c r="E111" s="6">
        <f t="shared" si="45"/>
        <v>3.0084297049271656E-2</v>
      </c>
      <c r="F111" s="6">
        <f t="shared" si="55"/>
        <v>3.0884037945831461E-2</v>
      </c>
      <c r="G111" s="6">
        <f t="shared" si="47"/>
        <v>5.5E-2</v>
      </c>
      <c r="H111" s="6">
        <f t="shared" si="47"/>
        <v>4.4499999999999998E-2</v>
      </c>
      <c r="I111" s="6">
        <f t="shared" si="47"/>
        <v>0.06</v>
      </c>
      <c r="J111" s="6">
        <f t="shared" si="48"/>
        <v>5.3166666666666668E-2</v>
      </c>
      <c r="K111" s="6">
        <f t="shared" si="56"/>
        <v>7.5253672658617959E-2</v>
      </c>
      <c r="L111" s="6">
        <f t="shared" si="50"/>
        <v>8.4050704612498126E-2</v>
      </c>
      <c r="M111" s="6">
        <f t="shared" si="57"/>
        <v>9.0986825960749806E-2</v>
      </c>
      <c r="O111" s="42">
        <f t="shared" si="54"/>
        <v>7.5253672658617959E-2</v>
      </c>
      <c r="P111" s="42">
        <f t="shared" si="52"/>
        <v>8.4050704612498126E-2</v>
      </c>
      <c r="Q111" s="42">
        <f t="shared" si="53"/>
        <v>9.0986825960749806E-2</v>
      </c>
    </row>
    <row r="112" spans="1:17">
      <c r="A112" s="14" t="s">
        <v>1278</v>
      </c>
      <c r="B112" s="25" t="s">
        <v>409</v>
      </c>
      <c r="C112" s="5">
        <f t="shared" si="44"/>
        <v>3.78</v>
      </c>
      <c r="D112" s="9">
        <v>89.391055555555567</v>
      </c>
      <c r="E112" s="6">
        <f t="shared" si="45"/>
        <v>4.2286109907839389E-2</v>
      </c>
      <c r="F112" s="6">
        <f t="shared" si="55"/>
        <v>4.3340443581541516E-2</v>
      </c>
      <c r="G112" s="6">
        <f t="shared" si="47"/>
        <v>0.06</v>
      </c>
      <c r="H112" s="6">
        <f t="shared" si="47"/>
        <v>4.0599999999999997E-2</v>
      </c>
      <c r="I112" s="6">
        <f t="shared" si="47"/>
        <v>4.9000000000000002E-2</v>
      </c>
      <c r="J112" s="6">
        <f t="shared" si="48"/>
        <v>4.986666666666667E-2</v>
      </c>
      <c r="K112" s="6">
        <f t="shared" si="56"/>
        <v>8.3744517938968532E-2</v>
      </c>
      <c r="L112" s="6">
        <f t="shared" si="50"/>
        <v>9.3207110248208186E-2</v>
      </c>
      <c r="M112" s="6">
        <f t="shared" si="57"/>
        <v>0.10355469320507457</v>
      </c>
      <c r="O112" s="42">
        <f t="shared" si="54"/>
        <v>8.3744517938968532E-2</v>
      </c>
      <c r="P112" s="42">
        <f t="shared" si="52"/>
        <v>9.3207110248208186E-2</v>
      </c>
      <c r="Q112" s="42">
        <f t="shared" si="53"/>
        <v>0.10355469320507457</v>
      </c>
    </row>
    <row r="113" spans="1:17">
      <c r="A113" s="14" t="s">
        <v>1279</v>
      </c>
      <c r="B113" s="25" t="s">
        <v>423</v>
      </c>
      <c r="C113" s="5">
        <f t="shared" si="44"/>
        <v>3.64</v>
      </c>
      <c r="D113" s="9">
        <v>99.861722222222127</v>
      </c>
      <c r="E113" s="6">
        <f t="shared" si="45"/>
        <v>3.6450402806992591E-2</v>
      </c>
      <c r="F113" s="6">
        <f t="shared" si="55"/>
        <v>3.7133847859623703E-2</v>
      </c>
      <c r="G113" s="6">
        <f t="shared" si="47"/>
        <v>5.0000000000000001E-3</v>
      </c>
      <c r="H113" s="6" t="str">
        <f t="shared" si="47"/>
        <v>Negative</v>
      </c>
      <c r="I113" s="6">
        <f t="shared" si="47"/>
        <v>7.0000000000000007E-2</v>
      </c>
      <c r="J113" s="6">
        <f t="shared" si="48"/>
        <v>3.7500000000000006E-2</v>
      </c>
      <c r="K113" s="6">
        <f t="shared" si="56"/>
        <v>4.1541528814010069E-2</v>
      </c>
      <c r="L113" s="6">
        <f t="shared" si="50"/>
        <v>7.4633847859623709E-2</v>
      </c>
      <c r="M113" s="6">
        <f t="shared" si="57"/>
        <v>0.10772616690523734</v>
      </c>
      <c r="O113" s="42" t="str">
        <f t="shared" si="54"/>
        <v/>
      </c>
      <c r="P113" s="42">
        <f t="shared" si="52"/>
        <v>7.4633847859623709E-2</v>
      </c>
      <c r="Q113" s="42">
        <f t="shared" si="53"/>
        <v>0.10772616690523734</v>
      </c>
    </row>
    <row r="114" spans="1:17">
      <c r="A114" s="14" t="s">
        <v>1281</v>
      </c>
      <c r="B114" s="25" t="s">
        <v>1034</v>
      </c>
      <c r="C114" s="5">
        <f t="shared" si="44"/>
        <v>1.9</v>
      </c>
      <c r="D114" s="9">
        <v>59.755333333333347</v>
      </c>
      <c r="E114" s="6">
        <f>C114/D114</f>
        <v>3.1796325014224663E-2</v>
      </c>
      <c r="F114" s="6">
        <f>E114*(1+(0.5*J114))</f>
        <v>3.286150190220119E-2</v>
      </c>
      <c r="G114" s="6" t="str">
        <f t="shared" si="47"/>
        <v>NMF</v>
      </c>
      <c r="H114" s="6">
        <f t="shared" si="47"/>
        <v>6.8000000000000005E-2</v>
      </c>
      <c r="I114" s="6">
        <f t="shared" si="47"/>
        <v>6.6000000000000003E-2</v>
      </c>
      <c r="J114" s="6">
        <f>AVERAGE(G114:I114)</f>
        <v>6.7000000000000004E-2</v>
      </c>
      <c r="K114" s="6">
        <f>E114*(1+(0.5*MIN(G114:I114)))+MIN(G114:I114)</f>
        <v>9.8845603739694088E-2</v>
      </c>
      <c r="L114" s="6">
        <f>J114+F114</f>
        <v>9.9861501902201194E-2</v>
      </c>
      <c r="M114" s="6">
        <f>E114*(1+(0.5*MAX(G114:I114)))+MAX(G114:I114)</f>
        <v>0.1008774000647083</v>
      </c>
      <c r="O114" s="42">
        <f>IF((K114&gt;$N$5),K114,"")</f>
        <v>9.8845603739694088E-2</v>
      </c>
      <c r="P114" s="42">
        <f>IF((L114&gt;$N$5),L114,"")</f>
        <v>9.9861501902201194E-2</v>
      </c>
      <c r="Q114" s="42">
        <f>IF((M114&gt;$N$5),M114,"")</f>
        <v>0.1008774000647083</v>
      </c>
    </row>
    <row r="115" spans="1:17">
      <c r="A115" s="14" t="s">
        <v>1280</v>
      </c>
      <c r="B115" s="25" t="s">
        <v>922</v>
      </c>
      <c r="C115" s="5">
        <f t="shared" si="44"/>
        <v>1.52</v>
      </c>
      <c r="D115" s="9">
        <v>42.588944444444422</v>
      </c>
      <c r="E115" s="6">
        <f t="shared" si="45"/>
        <v>3.5690013448978042E-2</v>
      </c>
      <c r="F115" s="6">
        <f t="shared" si="55"/>
        <v>3.6939163919692271E-2</v>
      </c>
      <c r="G115" s="6">
        <f t="shared" si="47"/>
        <v>0.08</v>
      </c>
      <c r="H115" s="6" t="str">
        <f t="shared" si="47"/>
        <v>Negative</v>
      </c>
      <c r="I115" s="6">
        <f t="shared" si="47"/>
        <v>0.06</v>
      </c>
      <c r="J115" s="6">
        <f t="shared" si="48"/>
        <v>7.0000000000000007E-2</v>
      </c>
      <c r="K115" s="6">
        <f t="shared" si="56"/>
        <v>9.6760713852447389E-2</v>
      </c>
      <c r="L115" s="6">
        <f t="shared" si="50"/>
        <v>0.10693916391969227</v>
      </c>
      <c r="M115" s="6">
        <f t="shared" si="57"/>
        <v>0.11711761398693717</v>
      </c>
      <c r="O115" s="42">
        <f t="shared" si="54"/>
        <v>9.6760713852447389E-2</v>
      </c>
      <c r="P115" s="42">
        <f t="shared" si="52"/>
        <v>0.10693916391969227</v>
      </c>
      <c r="Q115" s="42">
        <f t="shared" si="53"/>
        <v>0.11711761398693717</v>
      </c>
    </row>
    <row r="116" spans="1:17">
      <c r="A116" s="14" t="s">
        <v>1282</v>
      </c>
      <c r="B116" s="25" t="s">
        <v>1283</v>
      </c>
      <c r="C116" s="5">
        <f t="shared" ref="C116:C125" si="58">C68</f>
        <v>2.52</v>
      </c>
      <c r="D116" s="9">
        <v>101.9995000000001</v>
      </c>
      <c r="E116" s="6">
        <f t="shared" si="45"/>
        <v>2.4706003460801255E-2</v>
      </c>
      <c r="F116" s="6">
        <f t="shared" si="55"/>
        <v>2.5105417183417543E-2</v>
      </c>
      <c r="G116" s="6">
        <f t="shared" ref="G116:I125" si="59">G68</f>
        <v>3.5000000000000003E-2</v>
      </c>
      <c r="H116" s="6">
        <f t="shared" si="59"/>
        <v>2.4E-2</v>
      </c>
      <c r="I116" s="6">
        <f t="shared" si="59"/>
        <v>3.7999999999999999E-2</v>
      </c>
      <c r="J116" s="6">
        <f t="shared" si="48"/>
        <v>3.2333333333333332E-2</v>
      </c>
      <c r="K116" s="6">
        <f t="shared" si="56"/>
        <v>4.9002475502330875E-2</v>
      </c>
      <c r="L116" s="6">
        <f t="shared" si="50"/>
        <v>5.7438750516750875E-2</v>
      </c>
      <c r="M116" s="6">
        <f t="shared" si="57"/>
        <v>6.3175417526556477E-2</v>
      </c>
      <c r="O116" s="42" t="str">
        <f t="shared" si="54"/>
        <v/>
      </c>
      <c r="P116" s="42" t="str">
        <f t="shared" si="52"/>
        <v/>
      </c>
      <c r="Q116" s="42" t="str">
        <f t="shared" si="53"/>
        <v/>
      </c>
    </row>
    <row r="117" spans="1:17">
      <c r="A117" s="14" t="s">
        <v>1284</v>
      </c>
      <c r="B117" s="25" t="s">
        <v>438</v>
      </c>
      <c r="C117" s="5">
        <f t="shared" si="58"/>
        <v>5</v>
      </c>
      <c r="D117" s="9">
        <v>200.15672222222213</v>
      </c>
      <c r="E117" s="6">
        <f t="shared" si="45"/>
        <v>2.4980425061361649E-2</v>
      </c>
      <c r="F117" s="6">
        <f t="shared" si="55"/>
        <v>2.6083310827820765E-2</v>
      </c>
      <c r="G117" s="6">
        <f t="shared" si="59"/>
        <v>0.105</v>
      </c>
      <c r="H117" s="6">
        <f t="shared" si="59"/>
        <v>7.9899999999999999E-2</v>
      </c>
      <c r="I117" s="6">
        <f t="shared" si="59"/>
        <v>0.08</v>
      </c>
      <c r="J117" s="6">
        <f t="shared" si="48"/>
        <v>8.8300000000000003E-2</v>
      </c>
      <c r="K117" s="6">
        <f t="shared" si="56"/>
        <v>0.10587839304256305</v>
      </c>
      <c r="L117" s="6">
        <f t="shared" si="50"/>
        <v>0.11438331082782077</v>
      </c>
      <c r="M117" s="6">
        <f t="shared" si="57"/>
        <v>0.13129189737708313</v>
      </c>
      <c r="O117" s="42">
        <f t="shared" si="54"/>
        <v>0.10587839304256305</v>
      </c>
      <c r="P117" s="42">
        <f t="shared" si="52"/>
        <v>0.11438331082782077</v>
      </c>
      <c r="Q117" s="42">
        <f t="shared" si="53"/>
        <v>0.13129189737708313</v>
      </c>
    </row>
    <row r="118" spans="1:17">
      <c r="A118" s="14" t="s">
        <v>1285</v>
      </c>
      <c r="B118" s="25" t="s">
        <v>1286</v>
      </c>
      <c r="C118" s="5">
        <f t="shared" si="58"/>
        <v>2.2999999999999998</v>
      </c>
      <c r="D118" s="9">
        <v>70.095555555555549</v>
      </c>
      <c r="E118" s="6">
        <f t="shared" si="45"/>
        <v>3.2812351393336082E-2</v>
      </c>
      <c r="F118" s="6">
        <f t="shared" si="55"/>
        <v>3.3295786703864565E-2</v>
      </c>
      <c r="G118" s="6">
        <f t="shared" si="59"/>
        <v>0.03</v>
      </c>
      <c r="H118" s="6">
        <f t="shared" si="59"/>
        <v>3.2399999999999998E-2</v>
      </c>
      <c r="I118" s="6">
        <f t="shared" si="59"/>
        <v>2.5999999999999999E-2</v>
      </c>
      <c r="J118" s="6">
        <f t="shared" si="48"/>
        <v>2.9466666666666665E-2</v>
      </c>
      <c r="K118" s="6">
        <f t="shared" si="56"/>
        <v>5.9238911961449453E-2</v>
      </c>
      <c r="L118" s="6">
        <f t="shared" si="50"/>
        <v>6.2762453370531227E-2</v>
      </c>
      <c r="M118" s="6">
        <f t="shared" si="57"/>
        <v>6.5743911485908135E-2</v>
      </c>
      <c r="O118" s="42" t="str">
        <f t="shared" si="54"/>
        <v/>
      </c>
      <c r="P118" s="42" t="str">
        <f t="shared" si="52"/>
        <v/>
      </c>
      <c r="Q118" s="42" t="str">
        <f t="shared" si="53"/>
        <v/>
      </c>
    </row>
    <row r="119" spans="1:17">
      <c r="A119" s="14" t="s">
        <v>1287</v>
      </c>
      <c r="B119" s="25" t="s">
        <v>1288</v>
      </c>
      <c r="C119" s="5">
        <f t="shared" si="58"/>
        <v>1.46</v>
      </c>
      <c r="D119" s="9">
        <v>42.510500000000015</v>
      </c>
      <c r="E119" s="6">
        <f t="shared" si="45"/>
        <v>3.4344456075557792E-2</v>
      </c>
      <c r="F119" s="6">
        <f t="shared" si="55"/>
        <v>3.5168723021371182E-2</v>
      </c>
      <c r="G119" s="6">
        <f t="shared" si="59"/>
        <v>6.5000000000000002E-2</v>
      </c>
      <c r="H119" s="6">
        <f t="shared" si="59"/>
        <v>3.4000000000000002E-2</v>
      </c>
      <c r="I119" s="6">
        <f t="shared" si="59"/>
        <v>4.4999999999999998E-2</v>
      </c>
      <c r="J119" s="6">
        <f t="shared" si="48"/>
        <v>4.8000000000000008E-2</v>
      </c>
      <c r="K119" s="6">
        <f t="shared" si="56"/>
        <v>6.8928311828842265E-2</v>
      </c>
      <c r="L119" s="6">
        <f t="shared" si="50"/>
        <v>8.3168723021371183E-2</v>
      </c>
      <c r="M119" s="6">
        <f t="shared" si="57"/>
        <v>0.10046065089801343</v>
      </c>
      <c r="O119" s="42" t="str">
        <f t="shared" si="54"/>
        <v/>
      </c>
      <c r="P119" s="42">
        <f t="shared" si="52"/>
        <v>8.3168723021371183E-2</v>
      </c>
      <c r="Q119" s="42">
        <f t="shared" si="53"/>
        <v>0.10046065089801343</v>
      </c>
    </row>
    <row r="120" spans="1:17">
      <c r="A120" s="14" t="s">
        <v>1289</v>
      </c>
      <c r="B120" s="25" t="s">
        <v>589</v>
      </c>
      <c r="C120" s="5">
        <f t="shared" si="58"/>
        <v>2.95</v>
      </c>
      <c r="D120" s="9">
        <v>93.669166666666669</v>
      </c>
      <c r="E120" s="6">
        <f t="shared" si="45"/>
        <v>3.1493821339288096E-2</v>
      </c>
      <c r="F120" s="6">
        <f t="shared" si="55"/>
        <v>3.2367774881453336E-2</v>
      </c>
      <c r="G120" s="6">
        <f t="shared" si="59"/>
        <v>5.5E-2</v>
      </c>
      <c r="H120" s="6">
        <f t="shared" si="59"/>
        <v>5.0500000000000003E-2</v>
      </c>
      <c r="I120" s="6">
        <f t="shared" si="59"/>
        <v>6.0999999999999999E-2</v>
      </c>
      <c r="J120" s="6">
        <f t="shared" si="48"/>
        <v>5.5500000000000001E-2</v>
      </c>
      <c r="K120" s="6">
        <f t="shared" si="56"/>
        <v>8.2789040328105121E-2</v>
      </c>
      <c r="L120" s="6">
        <f t="shared" si="50"/>
        <v>8.7867774881453337E-2</v>
      </c>
      <c r="M120" s="6">
        <f t="shared" si="57"/>
        <v>9.3454382890136384E-2</v>
      </c>
      <c r="O120" s="42">
        <f t="shared" si="54"/>
        <v>8.2789040328105121E-2</v>
      </c>
      <c r="P120" s="42">
        <f t="shared" si="52"/>
        <v>8.7867774881453337E-2</v>
      </c>
      <c r="Q120" s="42">
        <f t="shared" si="53"/>
        <v>9.3454382890136384E-2</v>
      </c>
    </row>
    <row r="121" spans="1:17">
      <c r="A121" s="14" t="s">
        <v>1290</v>
      </c>
      <c r="B121" s="25" t="s">
        <v>1291</v>
      </c>
      <c r="C121" s="5">
        <f t="shared" si="58"/>
        <v>1.1599999999999999</v>
      </c>
      <c r="D121" s="9">
        <v>47.646166666666652</v>
      </c>
      <c r="E121" s="6">
        <f t="shared" si="45"/>
        <v>2.4346134876188016E-2</v>
      </c>
      <c r="F121" s="6">
        <f t="shared" si="55"/>
        <v>2.5104111208666669E-2</v>
      </c>
      <c r="G121" s="6">
        <f t="shared" si="59"/>
        <v>7.0000000000000007E-2</v>
      </c>
      <c r="H121" s="6">
        <f t="shared" si="59"/>
        <v>6.1800000000000001E-2</v>
      </c>
      <c r="I121" s="6">
        <f t="shared" si="59"/>
        <v>5.5E-2</v>
      </c>
      <c r="J121" s="6">
        <f t="shared" si="48"/>
        <v>6.2266666666666665E-2</v>
      </c>
      <c r="K121" s="6">
        <f t="shared" si="56"/>
        <v>8.0015653585283189E-2</v>
      </c>
      <c r="L121" s="6">
        <f t="shared" si="50"/>
        <v>8.737077787533333E-2</v>
      </c>
      <c r="M121" s="6">
        <f t="shared" si="57"/>
        <v>9.5198249596854606E-2</v>
      </c>
      <c r="O121" s="42">
        <f t="shared" si="54"/>
        <v>8.0015653585283189E-2</v>
      </c>
      <c r="P121" s="42">
        <f t="shared" si="52"/>
        <v>8.737077787533333E-2</v>
      </c>
      <c r="Q121" s="42">
        <f t="shared" si="53"/>
        <v>9.5198249596854606E-2</v>
      </c>
    </row>
    <row r="122" spans="1:17">
      <c r="A122" s="14" t="s">
        <v>1292</v>
      </c>
      <c r="B122" s="25" t="s">
        <v>1293</v>
      </c>
      <c r="C122" s="5">
        <f t="shared" si="58"/>
        <v>1.54</v>
      </c>
      <c r="D122" s="9">
        <v>52.857833333333346</v>
      </c>
      <c r="E122" s="6">
        <f t="shared" si="45"/>
        <v>2.9134754545999168E-2</v>
      </c>
      <c r="F122" s="6">
        <f t="shared" si="55"/>
        <v>2.981942127783015E-2</v>
      </c>
      <c r="G122" s="6">
        <f t="shared" si="59"/>
        <v>4.4999999999999998E-2</v>
      </c>
      <c r="H122" s="6">
        <f t="shared" si="59"/>
        <v>4.8000000000000001E-2</v>
      </c>
      <c r="I122" s="6">
        <f t="shared" si="59"/>
        <v>4.8000000000000001E-2</v>
      </c>
      <c r="J122" s="6">
        <f t="shared" si="48"/>
        <v>4.7000000000000007E-2</v>
      </c>
      <c r="K122" s="6">
        <f t="shared" si="56"/>
        <v>7.479028652328415E-2</v>
      </c>
      <c r="L122" s="6">
        <f t="shared" si="50"/>
        <v>7.681942127783016E-2</v>
      </c>
      <c r="M122" s="6">
        <f t="shared" si="57"/>
        <v>7.7833988655103145E-2</v>
      </c>
      <c r="O122" s="42">
        <f t="shared" si="54"/>
        <v>7.479028652328415E-2</v>
      </c>
      <c r="P122" s="42">
        <f t="shared" si="52"/>
        <v>7.681942127783016E-2</v>
      </c>
      <c r="Q122" s="42">
        <f t="shared" si="53"/>
        <v>7.7833988655103145E-2</v>
      </c>
    </row>
    <row r="123" spans="1:17">
      <c r="A123" s="14" t="s">
        <v>1294</v>
      </c>
      <c r="B123" s="25" t="s">
        <v>581</v>
      </c>
      <c r="C123" s="5">
        <f t="shared" si="58"/>
        <v>1.65</v>
      </c>
      <c r="D123" s="9">
        <v>30.843</v>
      </c>
      <c r="E123" s="6">
        <f t="shared" si="45"/>
        <v>5.3496741562104849E-2</v>
      </c>
      <c r="F123" s="6">
        <f t="shared" si="55"/>
        <v>5.3776262036766852E-2</v>
      </c>
      <c r="G123" s="6">
        <f t="shared" si="59"/>
        <v>1.4999999999999999E-2</v>
      </c>
      <c r="H123" s="6">
        <f t="shared" si="59"/>
        <v>5.8999999999999999E-3</v>
      </c>
      <c r="I123" s="6" t="str">
        <f t="shared" si="59"/>
        <v>n/a</v>
      </c>
      <c r="J123" s="6">
        <f t="shared" si="48"/>
        <v>1.0449999999999999E-2</v>
      </c>
      <c r="K123" s="6">
        <f t="shared" si="56"/>
        <v>5.955455694971306E-2</v>
      </c>
      <c r="L123" s="6">
        <f t="shared" si="50"/>
        <v>6.4226262036766846E-2</v>
      </c>
      <c r="M123" s="6">
        <f t="shared" si="57"/>
        <v>6.8897967123820639E-2</v>
      </c>
      <c r="O123" s="42" t="str">
        <f t="shared" si="54"/>
        <v/>
      </c>
      <c r="P123" s="42" t="str">
        <f t="shared" si="52"/>
        <v/>
      </c>
      <c r="Q123" s="42" t="str">
        <f t="shared" si="53"/>
        <v/>
      </c>
    </row>
    <row r="124" spans="1:17">
      <c r="A124" s="14" t="s">
        <v>1295</v>
      </c>
      <c r="B124" s="25" t="s">
        <v>617</v>
      </c>
      <c r="C124" s="5">
        <f t="shared" si="58"/>
        <v>2.48</v>
      </c>
      <c r="D124" s="9">
        <v>53.948499999999996</v>
      </c>
      <c r="E124" s="6">
        <f t="shared" si="45"/>
        <v>4.5969767463414184E-2</v>
      </c>
      <c r="F124" s="6">
        <f t="shared" si="55"/>
        <v>4.66876619986345E-2</v>
      </c>
      <c r="G124" s="6">
        <f t="shared" si="59"/>
        <v>3.5000000000000003E-2</v>
      </c>
      <c r="H124" s="6">
        <f t="shared" si="59"/>
        <v>1.37E-2</v>
      </c>
      <c r="I124" s="6">
        <f t="shared" si="59"/>
        <v>4.4999999999999998E-2</v>
      </c>
      <c r="J124" s="6">
        <f t="shared" si="48"/>
        <v>3.1233333333333335E-2</v>
      </c>
      <c r="K124" s="6">
        <f t="shared" si="56"/>
        <v>5.9984660370538567E-2</v>
      </c>
      <c r="L124" s="6">
        <f t="shared" si="50"/>
        <v>7.7920995331967835E-2</v>
      </c>
      <c r="M124" s="6">
        <f t="shared" si="57"/>
        <v>9.2004087231341E-2</v>
      </c>
      <c r="O124" s="42" t="str">
        <f t="shared" si="54"/>
        <v/>
      </c>
      <c r="P124" s="42">
        <f t="shared" si="52"/>
        <v>7.7920995331967835E-2</v>
      </c>
      <c r="Q124" s="42">
        <f t="shared" si="53"/>
        <v>9.2004087231341E-2</v>
      </c>
    </row>
    <row r="125" spans="1:17">
      <c r="A125" s="14" t="s">
        <v>1296</v>
      </c>
      <c r="B125" s="25" t="s">
        <v>733</v>
      </c>
      <c r="C125" s="5">
        <f t="shared" si="58"/>
        <v>1.62</v>
      </c>
      <c r="D125" s="9">
        <v>58.142888888888862</v>
      </c>
      <c r="E125" s="6">
        <f t="shared" si="45"/>
        <v>2.7862392649526276E-2</v>
      </c>
      <c r="F125" s="6">
        <f t="shared" si="55"/>
        <v>2.8614677251063484E-2</v>
      </c>
      <c r="G125" s="6">
        <f t="shared" si="59"/>
        <v>5.5E-2</v>
      </c>
      <c r="H125" s="6">
        <f t="shared" si="59"/>
        <v>5.8000000000000003E-2</v>
      </c>
      <c r="I125" s="6">
        <f t="shared" si="59"/>
        <v>4.9000000000000002E-2</v>
      </c>
      <c r="J125" s="6">
        <f t="shared" si="48"/>
        <v>5.3999999999999999E-2</v>
      </c>
      <c r="K125" s="6">
        <f t="shared" si="56"/>
        <v>7.7545021269439671E-2</v>
      </c>
      <c r="L125" s="6">
        <f t="shared" si="50"/>
        <v>8.2614677251063487E-2</v>
      </c>
      <c r="M125" s="6">
        <f t="shared" si="57"/>
        <v>8.6670402036362532E-2</v>
      </c>
      <c r="O125" s="42">
        <f t="shared" si="54"/>
        <v>7.7545021269439671E-2</v>
      </c>
      <c r="P125" s="42">
        <f t="shared" si="52"/>
        <v>8.2614677251063487E-2</v>
      </c>
      <c r="Q125" s="42">
        <f t="shared" si="53"/>
        <v>8.6670402036362532E-2</v>
      </c>
    </row>
    <row r="126" spans="1:17">
      <c r="B126" s="24"/>
      <c r="C126" s="5"/>
      <c r="D126" s="5"/>
      <c r="E126" s="6"/>
      <c r="F126" s="6"/>
      <c r="G126" s="6"/>
      <c r="H126" s="6"/>
      <c r="I126" s="6"/>
      <c r="J126" s="6"/>
      <c r="K126" s="6"/>
      <c r="L126" s="6"/>
      <c r="M126" s="6"/>
      <c r="O126" s="42" t="str">
        <f t="shared" ref="O126" si="60">IF((K126&gt;7%),K126,"")</f>
        <v/>
      </c>
      <c r="P126" s="42" t="str">
        <f t="shared" ref="P126" si="61">IF((L126&gt;7%),L126,"")</f>
        <v/>
      </c>
      <c r="Q126" s="42" t="str">
        <f t="shared" ref="Q126" si="62">IF((M126&gt;7%),M126,"")</f>
        <v/>
      </c>
    </row>
    <row r="127" spans="1:17" ht="13.5" thickBot="1">
      <c r="A127" s="44" t="s">
        <v>2</v>
      </c>
      <c r="B127" s="15"/>
      <c r="C127" s="15" t="s">
        <v>81</v>
      </c>
      <c r="D127" s="45" t="s">
        <v>81</v>
      </c>
      <c r="E127" s="46">
        <f t="shared" ref="E127:M127" si="63">AVERAGE(E103:E125)</f>
        <v>3.347218121044019E-2</v>
      </c>
      <c r="F127" s="46">
        <f t="shared" si="63"/>
        <v>3.4313474727552751E-2</v>
      </c>
      <c r="G127" s="46">
        <f t="shared" si="63"/>
        <v>5.613636363636363E-2</v>
      </c>
      <c r="H127" s="46">
        <f t="shared" si="63"/>
        <v>4.6771428571428582E-2</v>
      </c>
      <c r="I127" s="46">
        <f t="shared" si="63"/>
        <v>5.4545454545454543E-2</v>
      </c>
      <c r="J127" s="46">
        <f t="shared" si="63"/>
        <v>5.2205072463768126E-2</v>
      </c>
      <c r="K127" s="46">
        <f t="shared" si="63"/>
        <v>7.7224002216276913E-2</v>
      </c>
      <c r="L127" s="46">
        <f t="shared" si="63"/>
        <v>8.6518547191320877E-2</v>
      </c>
      <c r="M127" s="46">
        <f t="shared" si="63"/>
        <v>9.6875881160302768E-2</v>
      </c>
      <c r="N127" s="46"/>
      <c r="O127" s="43">
        <f>IFERROR(AVERAGE(O103:O125),"")</f>
        <v>8.5542254849689525E-2</v>
      </c>
      <c r="P127" s="43">
        <f t="shared" ref="P127:Q127" si="64">IFERROR(AVERAGE(P103:P125),"")</f>
        <v>9.0274955973816545E-2</v>
      </c>
      <c r="Q127" s="43">
        <f t="shared" si="64"/>
        <v>0.10151639852753391</v>
      </c>
    </row>
    <row r="129" spans="1:1">
      <c r="A129" s="12" t="s">
        <v>18</v>
      </c>
    </row>
    <row r="130" spans="1:1">
      <c r="A130" s="14" t="s">
        <v>52</v>
      </c>
    </row>
    <row r="131" spans="1:1">
      <c r="A131" s="14" t="s">
        <v>1307</v>
      </c>
    </row>
    <row r="132" spans="1:1">
      <c r="A132" s="14" t="s">
        <v>54</v>
      </c>
    </row>
    <row r="133" spans="1:1">
      <c r="A133" s="14" t="s">
        <v>58</v>
      </c>
    </row>
    <row r="134" spans="1:1">
      <c r="A134" s="14" t="s">
        <v>87</v>
      </c>
    </row>
    <row r="135" spans="1:1">
      <c r="A135" s="14" t="s">
        <v>59</v>
      </c>
    </row>
    <row r="136" spans="1:1">
      <c r="A136" s="14" t="s">
        <v>60</v>
      </c>
    </row>
    <row r="137" spans="1:1">
      <c r="A137" s="18" t="s">
        <v>61</v>
      </c>
    </row>
    <row r="138" spans="1:1">
      <c r="A138" s="14" t="s">
        <v>62</v>
      </c>
    </row>
    <row r="139" spans="1:1">
      <c r="A139" s="14" t="s">
        <v>63</v>
      </c>
    </row>
    <row r="140" spans="1:1">
      <c r="A140" s="14" t="s">
        <v>64</v>
      </c>
    </row>
    <row r="141" spans="1:1">
      <c r="A141" s="48" t="s">
        <v>1185</v>
      </c>
    </row>
    <row r="142" spans="1:1">
      <c r="A142" s="48" t="s">
        <v>1186</v>
      </c>
    </row>
    <row r="143" spans="1:1">
      <c r="A143" s="48" t="s">
        <v>1187</v>
      </c>
    </row>
  </sheetData>
  <mergeCells count="6">
    <mergeCell ref="K3:M3"/>
    <mergeCell ref="O3:Q3"/>
    <mergeCell ref="O51:Q51"/>
    <mergeCell ref="K51:M51"/>
    <mergeCell ref="K99:M99"/>
    <mergeCell ref="O99:Q99"/>
  </mergeCells>
  <conditionalFormatting sqref="A31 A7:B30 A54:B77 A103:B125 D7:D30 D54:D77 D102:D125">
    <cfRule type="expression" dxfId="22" priority="22">
      <formula>"(blank)"</formula>
    </cfRule>
  </conditionalFormatting>
  <conditionalFormatting sqref="A31 A7:B30 A54:B77 A103:B125 D7:D30 D54:D77 D102:D125">
    <cfRule type="expression" dxfId="21" priority="28">
      <formula>#REF!</formula>
    </cfRule>
  </conditionalFormatting>
  <conditionalFormatting sqref="A102:B102">
    <cfRule type="expression" dxfId="20" priority="9">
      <formula>"(blank)"</formula>
    </cfRule>
  </conditionalFormatting>
  <conditionalFormatting sqref="A102:B102">
    <cfRule type="expression" dxfId="19" priority="10">
      <formula>#REF!</formula>
    </cfRule>
  </conditionalFormatting>
  <conditionalFormatting sqref="A79">
    <cfRule type="expression" dxfId="18" priority="5">
      <formula>"(blank)"</formula>
    </cfRule>
  </conditionalFormatting>
  <conditionalFormatting sqref="A79">
    <cfRule type="expression" dxfId="17" priority="6">
      <formula>#REF!</formula>
    </cfRule>
  </conditionalFormatting>
  <conditionalFormatting sqref="A127">
    <cfRule type="expression" dxfId="16" priority="3">
      <formula>"(blank)"</formula>
    </cfRule>
  </conditionalFormatting>
  <conditionalFormatting sqref="A127">
    <cfRule type="expression" dxfId="15" priority="4">
      <formula>#REF!</formula>
    </cfRule>
  </conditionalFormatting>
  <printOptions horizontalCentered="1"/>
  <pageMargins left="0.7" right="0.7" top="1" bottom="0.75" header="0.3" footer="0.3"/>
  <pageSetup scale="65" fitToHeight="3" orientation="landscape" useFirstPageNumber="1" r:id="rId1"/>
  <headerFooter>
    <oddHeader>&amp;RDocket No. UE-19____
PacifiCorp
Exhibit No. AEB-6
Page &amp;P of 3</oddHeader>
  </headerFooter>
  <rowBreaks count="2" manualBreakCount="2">
    <brk id="48" max="16383" man="1"/>
    <brk id="9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S51"/>
  <sheetViews>
    <sheetView zoomScaleNormal="100" workbookViewId="0">
      <selection activeCell="U26" sqref="U26"/>
    </sheetView>
  </sheetViews>
  <sheetFormatPr defaultRowHeight="12.75"/>
  <cols>
    <col min="1" max="1" width="35.140625" customWidth="1"/>
    <col min="2" max="2" width="7.5703125" customWidth="1"/>
    <col min="3" max="3" width="10.85546875" customWidth="1"/>
    <col min="4" max="4" width="10.5703125" customWidth="1"/>
    <col min="5" max="5" width="10.42578125" customWidth="1"/>
    <col min="6" max="6" width="10.5703125" customWidth="1"/>
    <col min="7" max="7" width="10.7109375" customWidth="1"/>
    <col min="8" max="15" width="10.5703125" customWidth="1"/>
    <col min="16" max="16" width="3.28515625" customWidth="1"/>
  </cols>
  <sheetData>
    <row r="2" spans="1:19">
      <c r="A2" s="386" t="s">
        <v>1562</v>
      </c>
      <c r="B2" s="386"/>
      <c r="C2" s="386"/>
      <c r="D2" s="386"/>
      <c r="E2" s="386"/>
      <c r="F2" s="386"/>
      <c r="G2" s="386"/>
      <c r="H2" s="386"/>
      <c r="I2" s="386"/>
      <c r="J2" s="386"/>
      <c r="K2" s="386"/>
      <c r="L2" s="386"/>
      <c r="M2" s="386"/>
      <c r="N2" s="386"/>
      <c r="O2" s="386"/>
      <c r="P2" s="386"/>
      <c r="Q2" s="386"/>
      <c r="R2" s="386"/>
      <c r="S2" s="386"/>
    </row>
    <row r="3" spans="1:19">
      <c r="A3" s="14"/>
      <c r="B3" s="14"/>
      <c r="C3" s="14"/>
      <c r="D3" s="14"/>
      <c r="E3" s="14"/>
      <c r="F3" s="14"/>
      <c r="G3" s="14"/>
      <c r="H3" s="14"/>
      <c r="I3" s="14"/>
      <c r="J3" s="14"/>
      <c r="K3" s="14"/>
      <c r="L3" s="14"/>
      <c r="M3" s="385" t="s">
        <v>1178</v>
      </c>
      <c r="N3" s="385"/>
      <c r="O3" s="385"/>
      <c r="P3" s="302"/>
      <c r="Q3" s="386" t="s">
        <v>1179</v>
      </c>
      <c r="R3" s="386"/>
      <c r="S3" s="386"/>
    </row>
    <row r="4" spans="1:19" ht="13.5" thickBot="1">
      <c r="A4" s="14"/>
      <c r="B4" s="14"/>
      <c r="C4" s="38">
        <v>1</v>
      </c>
      <c r="D4" s="38">
        <v>2</v>
      </c>
      <c r="E4" s="38">
        <v>3</v>
      </c>
      <c r="F4" s="38">
        <v>4</v>
      </c>
      <c r="G4" s="38">
        <v>5</v>
      </c>
      <c r="H4" s="38">
        <v>6</v>
      </c>
      <c r="I4" s="38">
        <v>7</v>
      </c>
      <c r="J4" s="38">
        <v>8</v>
      </c>
      <c r="K4" s="38">
        <v>9</v>
      </c>
      <c r="L4" s="38">
        <v>10</v>
      </c>
      <c r="M4" s="38">
        <v>11</v>
      </c>
      <c r="N4" s="38">
        <v>12</v>
      </c>
      <c r="O4" s="38">
        <v>13</v>
      </c>
      <c r="P4" s="38"/>
      <c r="Q4" s="38" t="s">
        <v>205</v>
      </c>
      <c r="R4" s="38" t="s">
        <v>1496</v>
      </c>
      <c r="S4" s="38" t="s">
        <v>1497</v>
      </c>
    </row>
    <row r="5" spans="1:19" ht="12.75" customHeight="1">
      <c r="A5" s="389" t="s">
        <v>0</v>
      </c>
      <c r="B5" s="389"/>
      <c r="C5" s="387" t="s">
        <v>1498</v>
      </c>
      <c r="D5" s="391" t="s">
        <v>1516</v>
      </c>
      <c r="E5" s="391"/>
      <c r="F5" s="391"/>
      <c r="G5" s="387" t="s">
        <v>16</v>
      </c>
      <c r="H5" s="387" t="s">
        <v>17</v>
      </c>
      <c r="I5" s="387" t="s">
        <v>86</v>
      </c>
      <c r="J5" s="387" t="s">
        <v>56</v>
      </c>
      <c r="K5" s="387" t="s">
        <v>57</v>
      </c>
      <c r="L5" s="387" t="s">
        <v>1499</v>
      </c>
      <c r="M5" s="389" t="s">
        <v>1182</v>
      </c>
      <c r="N5" s="387" t="s">
        <v>1183</v>
      </c>
      <c r="O5" s="389" t="s">
        <v>1184</v>
      </c>
      <c r="P5" s="392">
        <v>7.0000000000000007E-2</v>
      </c>
      <c r="Q5" s="387" t="s">
        <v>1182</v>
      </c>
      <c r="R5" s="387" t="s">
        <v>1183</v>
      </c>
      <c r="S5" s="387" t="s">
        <v>1184</v>
      </c>
    </row>
    <row r="6" spans="1:19">
      <c r="A6" s="390"/>
      <c r="B6" s="390"/>
      <c r="C6" s="388"/>
      <c r="D6" s="305" t="s">
        <v>1500</v>
      </c>
      <c r="E6" s="306" t="s">
        <v>1501</v>
      </c>
      <c r="F6" s="306" t="s">
        <v>1258</v>
      </c>
      <c r="G6" s="388"/>
      <c r="H6" s="388"/>
      <c r="I6" s="388"/>
      <c r="J6" s="388"/>
      <c r="K6" s="388"/>
      <c r="L6" s="388"/>
      <c r="M6" s="390"/>
      <c r="N6" s="388"/>
      <c r="O6" s="390"/>
      <c r="P6" s="393"/>
      <c r="Q6" s="388"/>
      <c r="R6" s="388"/>
      <c r="S6" s="388"/>
    </row>
    <row r="7" spans="1:19">
      <c r="A7" s="302"/>
      <c r="B7" s="302"/>
      <c r="C7" s="41"/>
      <c r="D7" s="302"/>
      <c r="E7" s="41"/>
      <c r="F7" s="41"/>
      <c r="G7" s="41"/>
      <c r="H7" s="41"/>
      <c r="I7" s="41"/>
      <c r="J7" s="41"/>
      <c r="K7" s="41"/>
      <c r="L7" s="41"/>
      <c r="M7" s="302"/>
      <c r="N7" s="41"/>
      <c r="O7" s="302"/>
      <c r="P7" s="307"/>
      <c r="Q7" s="41"/>
      <c r="R7" s="41"/>
      <c r="S7" s="41"/>
    </row>
    <row r="8" spans="1:19">
      <c r="A8" s="14" t="str">
        <f>'Exhibit AEB-6 Constant DCF'!A7</f>
        <v>ALLETE, Inc.</v>
      </c>
      <c r="B8" s="308" t="str">
        <f>'Exhibit AEB-6 Constant DCF'!B7</f>
        <v>ALE</v>
      </c>
      <c r="C8" s="26">
        <v>2.85</v>
      </c>
      <c r="D8" s="26">
        <v>85</v>
      </c>
      <c r="E8" s="26">
        <v>65</v>
      </c>
      <c r="F8" s="26">
        <f>AVERAGE(D8:E8)</f>
        <v>75</v>
      </c>
      <c r="G8" s="309">
        <f>IFERROR(C8/F8,"")</f>
        <v>3.7999999999999999E-2</v>
      </c>
      <c r="H8" s="310">
        <f t="shared" ref="H8:H30" si="0">IFERROR(G8*(1+0.5*L8),"")</f>
        <v>3.9216000000000001E-2</v>
      </c>
      <c r="I8" s="309">
        <f>'Exhibit AEB-6 Constant DCF'!G7</f>
        <v>0.06</v>
      </c>
      <c r="J8" s="309">
        <f>'Exhibit AEB-6 Constant DCF'!H7</f>
        <v>0.06</v>
      </c>
      <c r="K8" s="309">
        <f>'Exhibit AEB-6 Constant DCF'!I7</f>
        <v>7.1999999999999995E-2</v>
      </c>
      <c r="L8" s="311">
        <f t="shared" ref="L8:L30" si="1">AVERAGE(I8:K8)</f>
        <v>6.4000000000000001E-2</v>
      </c>
      <c r="M8" s="312">
        <f>G8*(1+0.5*MIN(I8:K8))+MIN(I8:K8)</f>
        <v>9.9140000000000006E-2</v>
      </c>
      <c r="N8" s="309">
        <f>H8+L8</f>
        <v>0.103216</v>
      </c>
      <c r="O8" s="312">
        <f>G8*(1+0.5*MAX(I8:K8))+MAX(I8:K8)</f>
        <v>0.11136799999999999</v>
      </c>
      <c r="P8" s="309"/>
      <c r="Q8" s="312">
        <f>IF(M8&lt;$P$5,"",M8)</f>
        <v>9.9140000000000006E-2</v>
      </c>
      <c r="R8" s="312">
        <f>IF(N8&lt;$P$5,"",N8)</f>
        <v>0.103216</v>
      </c>
      <c r="S8" s="312">
        <f>IF(O8&lt;$P$5,"",O8)</f>
        <v>0.11136799999999999</v>
      </c>
    </row>
    <row r="9" spans="1:19">
      <c r="A9" s="14" t="str">
        <f>'Exhibit AEB-6 Constant DCF'!A8</f>
        <v>Alliant Energy Corporation</v>
      </c>
      <c r="B9" s="308" t="str">
        <f>'Exhibit AEB-6 Constant DCF'!B8</f>
        <v>LNT</v>
      </c>
      <c r="C9" s="26">
        <v>1.74</v>
      </c>
      <c r="D9" s="26">
        <v>50</v>
      </c>
      <c r="E9" s="26">
        <v>35</v>
      </c>
      <c r="F9" s="26">
        <f t="shared" ref="F9:F29" si="2">AVERAGE(D9:E9)</f>
        <v>42.5</v>
      </c>
      <c r="G9" s="309">
        <f t="shared" ref="G9:G30" si="3">IFERROR(C9/F9,"")</f>
        <v>4.0941176470588238E-2</v>
      </c>
      <c r="H9" s="310">
        <f t="shared" si="0"/>
        <v>4.2104588235294123E-2</v>
      </c>
      <c r="I9" s="309">
        <f>'Exhibit AEB-6 Constant DCF'!G8</f>
        <v>6.5000000000000002E-2</v>
      </c>
      <c r="J9" s="309">
        <f>'Exhibit AEB-6 Constant DCF'!H8</f>
        <v>5.0500000000000003E-2</v>
      </c>
      <c r="K9" s="309">
        <f>'Exhibit AEB-6 Constant DCF'!I8</f>
        <v>5.5E-2</v>
      </c>
      <c r="L9" s="311">
        <f t="shared" si="1"/>
        <v>5.683333333333334E-2</v>
      </c>
      <c r="M9" s="312">
        <f t="shared" ref="M9:M30" si="4">G9*(1+0.5*MIN(I9:K9))+MIN(I9:K9)</f>
        <v>9.2474941176470593E-2</v>
      </c>
      <c r="N9" s="309">
        <f t="shared" ref="N9:N30" si="5">H9+L9</f>
        <v>9.8937921568627463E-2</v>
      </c>
      <c r="O9" s="312">
        <f t="shared" ref="O9:O30" si="6">G9*(1+0.5*MAX(I9:K9))+MAX(I9:K9)</f>
        <v>0.10727176470588236</v>
      </c>
      <c r="P9" s="309"/>
      <c r="Q9" s="312">
        <f t="shared" ref="Q9:Q30" si="7">IF(M9&lt;$P$5,"",M9)</f>
        <v>9.2474941176470593E-2</v>
      </c>
      <c r="R9" s="312">
        <f t="shared" ref="R9:R30" si="8">IF(N9&lt;$P$5,"",N9)</f>
        <v>9.8937921568627463E-2</v>
      </c>
      <c r="S9" s="312">
        <f t="shared" ref="S9:S30" si="9">IF(O9&lt;$P$5,"",O9)</f>
        <v>0.10727176470588236</v>
      </c>
    </row>
    <row r="10" spans="1:19">
      <c r="A10" s="14" t="str">
        <f>'Exhibit AEB-6 Constant DCF'!A9</f>
        <v>Ameren Corporation</v>
      </c>
      <c r="B10" s="308" t="str">
        <f>'Exhibit AEB-6 Constant DCF'!B9</f>
        <v>AEE</v>
      </c>
      <c r="C10" s="26">
        <v>2.5499999999999998</v>
      </c>
      <c r="D10" s="26">
        <v>75</v>
      </c>
      <c r="E10" s="26">
        <v>55</v>
      </c>
      <c r="F10" s="26">
        <f t="shared" si="2"/>
        <v>65</v>
      </c>
      <c r="G10" s="309">
        <f t="shared" si="3"/>
        <v>3.9230769230769229E-2</v>
      </c>
      <c r="H10" s="310">
        <f t="shared" si="0"/>
        <v>4.0381538461538462E-2</v>
      </c>
      <c r="I10" s="309">
        <f>'Exhibit AEB-6 Constant DCF'!G9</f>
        <v>6.5000000000000002E-2</v>
      </c>
      <c r="J10" s="309">
        <f>'Exhibit AEB-6 Constant DCF'!H9</f>
        <v>4.7E-2</v>
      </c>
      <c r="K10" s="309">
        <f>'Exhibit AEB-6 Constant DCF'!I9</f>
        <v>6.4000000000000001E-2</v>
      </c>
      <c r="L10" s="311">
        <f t="shared" si="1"/>
        <v>5.8666666666666666E-2</v>
      </c>
      <c r="M10" s="312">
        <f t="shared" si="4"/>
        <v>8.7152692307692306E-2</v>
      </c>
      <c r="N10" s="309">
        <f t="shared" si="5"/>
        <v>9.9048205128205127E-2</v>
      </c>
      <c r="O10" s="312">
        <f t="shared" si="6"/>
        <v>0.10550576923076924</v>
      </c>
      <c r="P10" s="309"/>
      <c r="Q10" s="312">
        <f t="shared" si="7"/>
        <v>8.7152692307692306E-2</v>
      </c>
      <c r="R10" s="312">
        <f t="shared" si="8"/>
        <v>9.9048205128205127E-2</v>
      </c>
      <c r="S10" s="312">
        <f t="shared" si="9"/>
        <v>0.10550576923076924</v>
      </c>
    </row>
    <row r="11" spans="1:19">
      <c r="A11" s="14" t="str">
        <f>'Exhibit AEB-6 Constant DCF'!A10</f>
        <v>American Electric Power Company, Inc.</v>
      </c>
      <c r="B11" s="308" t="str">
        <f>'Exhibit AEB-6 Constant DCF'!B10</f>
        <v>AEP</v>
      </c>
      <c r="C11" s="26">
        <v>3.4</v>
      </c>
      <c r="D11" s="26">
        <v>95</v>
      </c>
      <c r="E11" s="26">
        <v>80</v>
      </c>
      <c r="F11" s="26">
        <f t="shared" si="2"/>
        <v>87.5</v>
      </c>
      <c r="G11" s="309">
        <f t="shared" si="3"/>
        <v>3.8857142857142854E-2</v>
      </c>
      <c r="H11" s="310">
        <f t="shared" si="0"/>
        <v>3.9880380952380952E-2</v>
      </c>
      <c r="I11" s="309">
        <f>'Exhibit AEB-6 Constant DCF'!G10</f>
        <v>0.04</v>
      </c>
      <c r="J11" s="309">
        <f>'Exhibit AEB-6 Constant DCF'!H10</f>
        <v>6.0999999999999999E-2</v>
      </c>
      <c r="K11" s="309">
        <f>'Exhibit AEB-6 Constant DCF'!I10</f>
        <v>5.7000000000000002E-2</v>
      </c>
      <c r="L11" s="311">
        <f t="shared" si="1"/>
        <v>5.2666666666666667E-2</v>
      </c>
      <c r="M11" s="312">
        <f t="shared" si="4"/>
        <v>7.9634285714285713E-2</v>
      </c>
      <c r="N11" s="309">
        <f t="shared" si="5"/>
        <v>9.2547047619047612E-2</v>
      </c>
      <c r="O11" s="312">
        <f t="shared" si="6"/>
        <v>0.10104228571428571</v>
      </c>
      <c r="P11" s="309"/>
      <c r="Q11" s="312">
        <f t="shared" si="7"/>
        <v>7.9634285714285713E-2</v>
      </c>
      <c r="R11" s="312">
        <f t="shared" si="8"/>
        <v>9.2547047619047612E-2</v>
      </c>
      <c r="S11" s="312">
        <f t="shared" si="9"/>
        <v>0.10104228571428571</v>
      </c>
    </row>
    <row r="12" spans="1:19">
      <c r="A12" s="14" t="str">
        <f>'Exhibit AEB-6 Constant DCF'!A11</f>
        <v>Avista Corporation</v>
      </c>
      <c r="B12" s="308" t="str">
        <f>'Exhibit AEB-6 Constant DCF'!B11</f>
        <v>AVA</v>
      </c>
      <c r="C12" s="26">
        <v>1.8</v>
      </c>
      <c r="D12" s="26">
        <v>55</v>
      </c>
      <c r="E12" s="26">
        <v>40</v>
      </c>
      <c r="F12" s="26">
        <f t="shared" si="2"/>
        <v>47.5</v>
      </c>
      <c r="G12" s="309">
        <f t="shared" si="3"/>
        <v>3.7894736842105266E-2</v>
      </c>
      <c r="H12" s="310">
        <f t="shared" si="0"/>
        <v>3.8538947368421055E-2</v>
      </c>
      <c r="I12" s="309">
        <f>'Exhibit AEB-6 Constant DCF'!G11</f>
        <v>3.5000000000000003E-2</v>
      </c>
      <c r="J12" s="309">
        <f>'Exhibit AEB-6 Constant DCF'!H11</f>
        <v>3.4000000000000002E-2</v>
      </c>
      <c r="K12" s="309">
        <f>'Exhibit AEB-6 Constant DCF'!I11</f>
        <v>3.3000000000000002E-2</v>
      </c>
      <c r="L12" s="311">
        <f t="shared" si="1"/>
        <v>3.4000000000000002E-2</v>
      </c>
      <c r="M12" s="312">
        <f t="shared" si="4"/>
        <v>7.152E-2</v>
      </c>
      <c r="N12" s="309">
        <f t="shared" si="5"/>
        <v>7.2538947368421064E-2</v>
      </c>
      <c r="O12" s="312">
        <f t="shared" si="6"/>
        <v>7.3557894736842114E-2</v>
      </c>
      <c r="P12" s="313"/>
      <c r="Q12" s="312">
        <f t="shared" si="7"/>
        <v>7.152E-2</v>
      </c>
      <c r="R12" s="312">
        <f t="shared" si="8"/>
        <v>7.2538947368421064E-2</v>
      </c>
      <c r="S12" s="312">
        <f t="shared" si="9"/>
        <v>7.3557894736842114E-2</v>
      </c>
    </row>
    <row r="13" spans="1:19">
      <c r="A13" s="14" t="str">
        <f>'Exhibit AEB-6 Constant DCF'!A12</f>
        <v>CenterPoint Energy, Inc.</v>
      </c>
      <c r="B13" s="308" t="str">
        <f>'Exhibit AEB-6 Constant DCF'!B12</f>
        <v>CNP</v>
      </c>
      <c r="C13" s="26">
        <v>1.35</v>
      </c>
      <c r="D13" s="26">
        <v>40</v>
      </c>
      <c r="E13" s="26">
        <v>25</v>
      </c>
      <c r="F13" s="26">
        <f t="shared" si="2"/>
        <v>32.5</v>
      </c>
      <c r="G13" s="309">
        <f t="shared" si="3"/>
        <v>4.1538461538461538E-2</v>
      </c>
      <c r="H13" s="310">
        <f t="shared" si="0"/>
        <v>4.313838461538462E-2</v>
      </c>
      <c r="I13" s="309">
        <f>'Exhibit AEB-6 Constant DCF'!G12</f>
        <v>0.125</v>
      </c>
      <c r="J13" s="309">
        <f>'Exhibit AEB-6 Constant DCF'!H12</f>
        <v>5.11E-2</v>
      </c>
      <c r="K13" s="309">
        <f>'Exhibit AEB-6 Constant DCF'!I12</f>
        <v>5.5E-2</v>
      </c>
      <c r="L13" s="311">
        <f t="shared" si="1"/>
        <v>7.7033333333333329E-2</v>
      </c>
      <c r="M13" s="312">
        <f t="shared" si="4"/>
        <v>9.3699769230769225E-2</v>
      </c>
      <c r="N13" s="309">
        <f t="shared" si="5"/>
        <v>0.12017171794871795</v>
      </c>
      <c r="O13" s="312">
        <f t="shared" si="6"/>
        <v>0.16913461538461538</v>
      </c>
      <c r="P13" s="312"/>
      <c r="Q13" s="312">
        <f t="shared" si="7"/>
        <v>9.3699769230769225E-2</v>
      </c>
      <c r="R13" s="312">
        <f t="shared" si="8"/>
        <v>0.12017171794871795</v>
      </c>
      <c r="S13" s="312">
        <f t="shared" si="9"/>
        <v>0.16913461538461538</v>
      </c>
    </row>
    <row r="14" spans="1:19">
      <c r="A14" s="14" t="str">
        <f>'Exhibit AEB-6 Constant DCF'!A13</f>
        <v>CMS Energy Corporation</v>
      </c>
      <c r="B14" s="308" t="str">
        <f>'Exhibit AEB-6 Constant DCF'!B13</f>
        <v>CMS</v>
      </c>
      <c r="C14" s="26">
        <v>2</v>
      </c>
      <c r="D14" s="26">
        <v>65</v>
      </c>
      <c r="E14" s="26">
        <v>45</v>
      </c>
      <c r="F14" s="26">
        <f t="shared" si="2"/>
        <v>55</v>
      </c>
      <c r="G14" s="309">
        <f t="shared" si="3"/>
        <v>3.6363636363636362E-2</v>
      </c>
      <c r="H14" s="310">
        <f t="shared" si="0"/>
        <v>3.7608484848484849E-2</v>
      </c>
      <c r="I14" s="309">
        <f>'Exhibit AEB-6 Constant DCF'!G13</f>
        <v>7.0000000000000007E-2</v>
      </c>
      <c r="J14" s="309">
        <f>'Exhibit AEB-6 Constant DCF'!H13</f>
        <v>7.1400000000000005E-2</v>
      </c>
      <c r="K14" s="309">
        <f>'Exhibit AEB-6 Constant DCF'!I13</f>
        <v>6.4000000000000001E-2</v>
      </c>
      <c r="L14" s="311">
        <f t="shared" si="1"/>
        <v>6.8466666666666676E-2</v>
      </c>
      <c r="M14" s="312">
        <f t="shared" si="4"/>
        <v>0.10152727272727273</v>
      </c>
      <c r="N14" s="309">
        <f t="shared" si="5"/>
        <v>0.10607515151515153</v>
      </c>
      <c r="O14" s="312">
        <f t="shared" si="6"/>
        <v>0.10906181818181819</v>
      </c>
      <c r="P14" s="312"/>
      <c r="Q14" s="312">
        <f t="shared" si="7"/>
        <v>0.10152727272727273</v>
      </c>
      <c r="R14" s="312">
        <f t="shared" si="8"/>
        <v>0.10607515151515153</v>
      </c>
      <c r="S14" s="312">
        <f t="shared" si="9"/>
        <v>0.10906181818181819</v>
      </c>
    </row>
    <row r="15" spans="1:19">
      <c r="A15" s="14" t="str">
        <f>'Exhibit AEB-6 Constant DCF'!A14</f>
        <v>Dominion Resources, Inc.</v>
      </c>
      <c r="B15" s="308" t="str">
        <f>'Exhibit AEB-6 Constant DCF'!B14</f>
        <v>D</v>
      </c>
      <c r="C15" s="26">
        <v>4.05</v>
      </c>
      <c r="D15" s="26">
        <v>105</v>
      </c>
      <c r="E15" s="26">
        <v>75</v>
      </c>
      <c r="F15" s="26">
        <f t="shared" si="2"/>
        <v>90</v>
      </c>
      <c r="G15" s="309">
        <f t="shared" si="3"/>
        <v>4.4999999999999998E-2</v>
      </c>
      <c r="H15" s="310">
        <f t="shared" si="0"/>
        <v>4.6191750000000004E-2</v>
      </c>
      <c r="I15" s="309">
        <f>'Exhibit AEB-6 Constant DCF'!G14</f>
        <v>6.5000000000000002E-2</v>
      </c>
      <c r="J15" s="309">
        <f>'Exhibit AEB-6 Constant DCF'!H14</f>
        <v>4.5900000000000003E-2</v>
      </c>
      <c r="K15" s="309">
        <f>'Exhibit AEB-6 Constant DCF'!I14</f>
        <v>4.8000000000000001E-2</v>
      </c>
      <c r="L15" s="311">
        <f t="shared" si="1"/>
        <v>5.2966666666666662E-2</v>
      </c>
      <c r="M15" s="312">
        <f t="shared" si="4"/>
        <v>9.1932750000000008E-2</v>
      </c>
      <c r="N15" s="309">
        <f t="shared" si="5"/>
        <v>9.9158416666666666E-2</v>
      </c>
      <c r="O15" s="312">
        <f t="shared" si="6"/>
        <v>0.11146249999999999</v>
      </c>
      <c r="P15" s="312"/>
      <c r="Q15" s="312">
        <f t="shared" si="7"/>
        <v>9.1932750000000008E-2</v>
      </c>
      <c r="R15" s="312">
        <f t="shared" si="8"/>
        <v>9.9158416666666666E-2</v>
      </c>
      <c r="S15" s="312">
        <f t="shared" si="9"/>
        <v>0.11146249999999999</v>
      </c>
    </row>
    <row r="16" spans="1:19">
      <c r="A16" s="14" t="str">
        <f>'Exhibit AEB-6 Constant DCF'!A15</f>
        <v>DTE Energy Company</v>
      </c>
      <c r="B16" s="308" t="str">
        <f>'Exhibit AEB-6 Constant DCF'!B15</f>
        <v>DTE</v>
      </c>
      <c r="C16" s="26">
        <v>4.8</v>
      </c>
      <c r="D16" s="26">
        <v>145</v>
      </c>
      <c r="E16" s="26">
        <v>105</v>
      </c>
      <c r="F16" s="26">
        <f t="shared" si="2"/>
        <v>125</v>
      </c>
      <c r="G16" s="309">
        <f t="shared" si="3"/>
        <v>3.8399999999999997E-2</v>
      </c>
      <c r="H16" s="310">
        <f t="shared" si="0"/>
        <v>3.9420799999999999E-2</v>
      </c>
      <c r="I16" s="309">
        <f>'Exhibit AEB-6 Constant DCF'!G15</f>
        <v>5.5E-2</v>
      </c>
      <c r="J16" s="309">
        <f>'Exhibit AEB-6 Constant DCF'!H15</f>
        <v>4.4499999999999998E-2</v>
      </c>
      <c r="K16" s="309">
        <f>'Exhibit AEB-6 Constant DCF'!I15</f>
        <v>0.06</v>
      </c>
      <c r="L16" s="311">
        <f t="shared" si="1"/>
        <v>5.3166666666666668E-2</v>
      </c>
      <c r="M16" s="312">
        <f t="shared" si="4"/>
        <v>8.3754400000000007E-2</v>
      </c>
      <c r="N16" s="309">
        <f t="shared" si="5"/>
        <v>9.2587466666666673E-2</v>
      </c>
      <c r="O16" s="312">
        <f t="shared" si="6"/>
        <v>9.9552000000000002E-2</v>
      </c>
      <c r="P16" s="312"/>
      <c r="Q16" s="312">
        <f t="shared" si="7"/>
        <v>8.3754400000000007E-2</v>
      </c>
      <c r="R16" s="312">
        <f t="shared" si="8"/>
        <v>9.2587466666666673E-2</v>
      </c>
      <c r="S16" s="312">
        <f t="shared" si="9"/>
        <v>9.9552000000000002E-2</v>
      </c>
    </row>
    <row r="17" spans="1:19">
      <c r="A17" s="14" t="str">
        <f>'Exhibit AEB-6 Constant DCF'!A16</f>
        <v>Duke Energy Corporation</v>
      </c>
      <c r="B17" s="308" t="str">
        <f>'Exhibit AEB-6 Constant DCF'!B16</f>
        <v>DUK</v>
      </c>
      <c r="C17" s="26">
        <v>4.05</v>
      </c>
      <c r="D17" s="26">
        <v>105</v>
      </c>
      <c r="E17" s="26">
        <v>80</v>
      </c>
      <c r="F17" s="26">
        <f t="shared" si="2"/>
        <v>92.5</v>
      </c>
      <c r="G17" s="309">
        <f t="shared" si="3"/>
        <v>4.3783783783783781E-2</v>
      </c>
      <c r="H17" s="310">
        <f t="shared" si="0"/>
        <v>4.4875459459459456E-2</v>
      </c>
      <c r="I17" s="309">
        <f>'Exhibit AEB-6 Constant DCF'!G16</f>
        <v>0.06</v>
      </c>
      <c r="J17" s="309">
        <f>'Exhibit AEB-6 Constant DCF'!H16</f>
        <v>4.0599999999999997E-2</v>
      </c>
      <c r="K17" s="309">
        <f>'Exhibit AEB-6 Constant DCF'!I16</f>
        <v>4.9000000000000002E-2</v>
      </c>
      <c r="L17" s="311">
        <f t="shared" si="1"/>
        <v>4.986666666666667E-2</v>
      </c>
      <c r="M17" s="312">
        <f t="shared" si="4"/>
        <v>8.5272594594594589E-2</v>
      </c>
      <c r="N17" s="309">
        <f t="shared" si="5"/>
        <v>9.4742126126126119E-2</v>
      </c>
      <c r="O17" s="312">
        <f t="shared" si="6"/>
        <v>0.10509729729729729</v>
      </c>
      <c r="P17" s="312"/>
      <c r="Q17" s="312">
        <f t="shared" si="7"/>
        <v>8.5272594594594589E-2</v>
      </c>
      <c r="R17" s="312">
        <f t="shared" si="8"/>
        <v>9.4742126126126119E-2</v>
      </c>
      <c r="S17" s="312">
        <f t="shared" si="9"/>
        <v>0.10509729729729729</v>
      </c>
    </row>
    <row r="18" spans="1:19">
      <c r="A18" s="14" t="str">
        <f>'Exhibit AEB-6 Constant DCF'!A17</f>
        <v>Entergy Corporation</v>
      </c>
      <c r="B18" s="308" t="str">
        <f>'Exhibit AEB-6 Constant DCF'!B17</f>
        <v>ETR</v>
      </c>
      <c r="C18" s="26">
        <v>4.45</v>
      </c>
      <c r="D18" s="26">
        <v>135</v>
      </c>
      <c r="E18" s="26">
        <v>90</v>
      </c>
      <c r="F18" s="26">
        <f t="shared" si="2"/>
        <v>112.5</v>
      </c>
      <c r="G18" s="309">
        <f t="shared" si="3"/>
        <v>3.9555555555555559E-2</v>
      </c>
      <c r="H18" s="310">
        <f t="shared" si="0"/>
        <v>4.0297222222222227E-2</v>
      </c>
      <c r="I18" s="309">
        <f>'Exhibit AEB-6 Constant DCF'!G17</f>
        <v>5.0000000000000001E-3</v>
      </c>
      <c r="J18" s="309" t="str">
        <f>'Exhibit AEB-6 Constant DCF'!H17</f>
        <v>Negative</v>
      </c>
      <c r="K18" s="309">
        <f>'Exhibit AEB-6 Constant DCF'!I17</f>
        <v>7.0000000000000007E-2</v>
      </c>
      <c r="L18" s="311">
        <f t="shared" si="1"/>
        <v>3.7500000000000006E-2</v>
      </c>
      <c r="M18" s="312">
        <f t="shared" si="4"/>
        <v>4.4654444444444441E-2</v>
      </c>
      <c r="N18" s="309">
        <f t="shared" si="5"/>
        <v>7.779722222222224E-2</v>
      </c>
      <c r="O18" s="312">
        <f t="shared" si="6"/>
        <v>0.11094000000000001</v>
      </c>
      <c r="P18" s="309"/>
      <c r="Q18" s="312" t="str">
        <f t="shared" si="7"/>
        <v/>
      </c>
      <c r="R18" s="312">
        <f t="shared" si="8"/>
        <v>7.779722222222224E-2</v>
      </c>
      <c r="S18" s="312">
        <f t="shared" si="9"/>
        <v>0.11094000000000001</v>
      </c>
    </row>
    <row r="19" spans="1:19">
      <c r="A19" s="14" t="str">
        <f>'Exhibit AEB-6 Constant DCF'!A18</f>
        <v xml:space="preserve">Evergy, Inc. </v>
      </c>
      <c r="B19" s="308" t="str">
        <f>'Exhibit AEB-6 Constant DCF'!B18</f>
        <v>EVRG</v>
      </c>
      <c r="C19" s="26">
        <v>2.5</v>
      </c>
      <c r="D19" s="26">
        <v>75</v>
      </c>
      <c r="E19" s="26">
        <v>55</v>
      </c>
      <c r="F19" s="26">
        <f t="shared" si="2"/>
        <v>65</v>
      </c>
      <c r="G19" s="309">
        <f t="shared" si="3"/>
        <v>3.8461538461538464E-2</v>
      </c>
      <c r="H19" s="310">
        <f t="shared" si="0"/>
        <v>3.9750000000000008E-2</v>
      </c>
      <c r="I19" s="309" t="str">
        <f>'Exhibit AEB-6 Constant DCF'!G18</f>
        <v>NMF</v>
      </c>
      <c r="J19" s="309">
        <f>'Exhibit AEB-6 Constant DCF'!H18</f>
        <v>6.8000000000000005E-2</v>
      </c>
      <c r="K19" s="309">
        <f>'Exhibit AEB-6 Constant DCF'!I18</f>
        <v>6.6000000000000003E-2</v>
      </c>
      <c r="L19" s="311">
        <f t="shared" si="1"/>
        <v>6.7000000000000004E-2</v>
      </c>
      <c r="M19" s="312">
        <f t="shared" si="4"/>
        <v>0.10573076923076924</v>
      </c>
      <c r="N19" s="309">
        <f t="shared" si="5"/>
        <v>0.10675000000000001</v>
      </c>
      <c r="O19" s="312">
        <f t="shared" si="6"/>
        <v>0.10776923076923078</v>
      </c>
      <c r="P19" s="312"/>
      <c r="Q19" s="312">
        <f t="shared" si="7"/>
        <v>0.10573076923076924</v>
      </c>
      <c r="R19" s="312">
        <f t="shared" si="8"/>
        <v>0.10675000000000001</v>
      </c>
      <c r="S19" s="312">
        <f t="shared" si="9"/>
        <v>0.10776923076923078</v>
      </c>
    </row>
    <row r="20" spans="1:19">
      <c r="A20" s="14" t="str">
        <f>'Exhibit AEB-6 Constant DCF'!A19</f>
        <v>FirstEnergy Corporation</v>
      </c>
      <c r="B20" s="308" t="str">
        <f>'Exhibit AEB-6 Constant DCF'!B19</f>
        <v>FE</v>
      </c>
      <c r="C20" s="26">
        <v>1.9</v>
      </c>
      <c r="D20" s="26">
        <v>60</v>
      </c>
      <c r="E20" s="26">
        <v>45</v>
      </c>
      <c r="F20" s="26">
        <f t="shared" si="2"/>
        <v>52.5</v>
      </c>
      <c r="G20" s="309">
        <f t="shared" si="3"/>
        <v>3.619047619047619E-2</v>
      </c>
      <c r="H20" s="310">
        <f t="shared" si="0"/>
        <v>3.7457142857142856E-2</v>
      </c>
      <c r="I20" s="309">
        <f>'Exhibit AEB-6 Constant DCF'!G19</f>
        <v>0.08</v>
      </c>
      <c r="J20" s="309" t="str">
        <f>'Exhibit AEB-6 Constant DCF'!H19</f>
        <v>Negative</v>
      </c>
      <c r="K20" s="309">
        <f>'Exhibit AEB-6 Constant DCF'!I19</f>
        <v>0.06</v>
      </c>
      <c r="L20" s="311">
        <f t="shared" si="1"/>
        <v>7.0000000000000007E-2</v>
      </c>
      <c r="M20" s="312">
        <f t="shared" si="4"/>
        <v>9.7276190476190474E-2</v>
      </c>
      <c r="N20" s="309">
        <f t="shared" si="5"/>
        <v>0.10745714285714286</v>
      </c>
      <c r="O20" s="312">
        <f t="shared" si="6"/>
        <v>0.11763809523809524</v>
      </c>
      <c r="P20" s="309"/>
      <c r="Q20" s="312">
        <f t="shared" si="7"/>
        <v>9.7276190476190474E-2</v>
      </c>
      <c r="R20" s="312">
        <f t="shared" si="8"/>
        <v>0.10745714285714286</v>
      </c>
      <c r="S20" s="312">
        <f t="shared" si="9"/>
        <v>0.11763809523809524</v>
      </c>
    </row>
    <row r="21" spans="1:19">
      <c r="A21" s="14" t="str">
        <f>'Exhibit AEB-6 Constant DCF'!A20</f>
        <v>IDACORP, Inc.</v>
      </c>
      <c r="B21" s="308" t="str">
        <f>'Exhibit AEB-6 Constant DCF'!B20</f>
        <v>IDA</v>
      </c>
      <c r="C21" s="26">
        <v>3.2</v>
      </c>
      <c r="D21" s="26">
        <v>105</v>
      </c>
      <c r="E21" s="26">
        <v>80</v>
      </c>
      <c r="F21" s="26">
        <f t="shared" si="2"/>
        <v>92.5</v>
      </c>
      <c r="G21" s="309">
        <f t="shared" si="3"/>
        <v>3.4594594594594595E-2</v>
      </c>
      <c r="H21" s="310">
        <f t="shared" si="0"/>
        <v>3.5153873873873871E-2</v>
      </c>
      <c r="I21" s="309">
        <f>'Exhibit AEB-6 Constant DCF'!G20</f>
        <v>3.5000000000000003E-2</v>
      </c>
      <c r="J21" s="309">
        <f>'Exhibit AEB-6 Constant DCF'!H20</f>
        <v>2.4E-2</v>
      </c>
      <c r="K21" s="309">
        <f>'Exhibit AEB-6 Constant DCF'!I20</f>
        <v>3.7999999999999999E-2</v>
      </c>
      <c r="L21" s="311">
        <f t="shared" si="1"/>
        <v>3.2333333333333332E-2</v>
      </c>
      <c r="M21" s="312">
        <f t="shared" si="4"/>
        <v>5.9009729729729732E-2</v>
      </c>
      <c r="N21" s="309">
        <f t="shared" si="5"/>
        <v>6.7487207207207203E-2</v>
      </c>
      <c r="O21" s="312">
        <f t="shared" si="6"/>
        <v>7.3251891891891879E-2</v>
      </c>
      <c r="P21" s="312"/>
      <c r="Q21" s="312" t="str">
        <f t="shared" si="7"/>
        <v/>
      </c>
      <c r="R21" s="312" t="str">
        <f t="shared" si="8"/>
        <v/>
      </c>
      <c r="S21" s="312">
        <f t="shared" si="9"/>
        <v>7.3251891891891879E-2</v>
      </c>
    </row>
    <row r="22" spans="1:19">
      <c r="A22" s="14" t="str">
        <f>'Exhibit AEB-6 Constant DCF'!A21</f>
        <v>NextEra Energy, Inc.</v>
      </c>
      <c r="B22" s="308" t="str">
        <f>'Exhibit AEB-6 Constant DCF'!B21</f>
        <v>NEE</v>
      </c>
      <c r="C22" s="26">
        <v>7</v>
      </c>
      <c r="D22" s="26">
        <v>225</v>
      </c>
      <c r="E22" s="26">
        <v>185</v>
      </c>
      <c r="F22" s="26">
        <f t="shared" si="2"/>
        <v>205</v>
      </c>
      <c r="G22" s="309">
        <f t="shared" si="3"/>
        <v>3.4146341463414637E-2</v>
      </c>
      <c r="H22" s="310">
        <f t="shared" si="0"/>
        <v>3.5653902439024387E-2</v>
      </c>
      <c r="I22" s="309">
        <f>'Exhibit AEB-6 Constant DCF'!G21</f>
        <v>0.105</v>
      </c>
      <c r="J22" s="309">
        <f>'Exhibit AEB-6 Constant DCF'!H21</f>
        <v>7.9899999999999999E-2</v>
      </c>
      <c r="K22" s="309">
        <f>'Exhibit AEB-6 Constant DCF'!I21</f>
        <v>0.08</v>
      </c>
      <c r="L22" s="311">
        <f t="shared" si="1"/>
        <v>8.8300000000000003E-2</v>
      </c>
      <c r="M22" s="312">
        <f t="shared" si="4"/>
        <v>0.11541048780487805</v>
      </c>
      <c r="N22" s="309">
        <f t="shared" si="5"/>
        <v>0.12395390243902439</v>
      </c>
      <c r="O22" s="312">
        <f t="shared" si="6"/>
        <v>0.14093902439024392</v>
      </c>
      <c r="P22" s="312"/>
      <c r="Q22" s="312">
        <f t="shared" si="7"/>
        <v>0.11541048780487805</v>
      </c>
      <c r="R22" s="312">
        <f t="shared" si="8"/>
        <v>0.12395390243902439</v>
      </c>
      <c r="S22" s="312">
        <f t="shared" si="9"/>
        <v>0.14093902439024392</v>
      </c>
    </row>
    <row r="23" spans="1:19">
      <c r="A23" s="14" t="str">
        <f>'Exhibit AEB-6 Constant DCF'!A22</f>
        <v>NorthWestern Corporation</v>
      </c>
      <c r="B23" s="308" t="str">
        <f>'Exhibit AEB-6 Constant DCF'!B22</f>
        <v>NWE</v>
      </c>
      <c r="C23" s="26">
        <v>2.7</v>
      </c>
      <c r="D23" s="26">
        <v>80</v>
      </c>
      <c r="E23" s="26">
        <v>60</v>
      </c>
      <c r="F23" s="26">
        <f t="shared" si="2"/>
        <v>70</v>
      </c>
      <c r="G23" s="309">
        <f t="shared" si="3"/>
        <v>3.8571428571428576E-2</v>
      </c>
      <c r="H23" s="310">
        <f t="shared" si="0"/>
        <v>3.9139714285714285E-2</v>
      </c>
      <c r="I23" s="309">
        <f>'Exhibit AEB-6 Constant DCF'!G22</f>
        <v>0.03</v>
      </c>
      <c r="J23" s="309">
        <f>'Exhibit AEB-6 Constant DCF'!H22</f>
        <v>3.2399999999999998E-2</v>
      </c>
      <c r="K23" s="309">
        <f>'Exhibit AEB-6 Constant DCF'!I22</f>
        <v>2.5999999999999999E-2</v>
      </c>
      <c r="L23" s="311">
        <f t="shared" si="1"/>
        <v>2.9466666666666665E-2</v>
      </c>
      <c r="M23" s="312">
        <f t="shared" si="4"/>
        <v>6.5072857142857141E-2</v>
      </c>
      <c r="N23" s="309">
        <f t="shared" si="5"/>
        <v>6.8606380952380946E-2</v>
      </c>
      <c r="O23" s="312">
        <f t="shared" si="6"/>
        <v>7.1596285714285723E-2</v>
      </c>
      <c r="P23" s="312"/>
      <c r="Q23" s="312" t="str">
        <f t="shared" si="7"/>
        <v/>
      </c>
      <c r="R23" s="312" t="str">
        <f t="shared" si="8"/>
        <v/>
      </c>
      <c r="S23" s="312">
        <f t="shared" si="9"/>
        <v>7.1596285714285723E-2</v>
      </c>
    </row>
    <row r="24" spans="1:19">
      <c r="A24" s="14" t="str">
        <f>'Exhibit AEB-6 Constant DCF'!A23</f>
        <v>OGE Energy Corporation</v>
      </c>
      <c r="B24" s="308" t="str">
        <f>'Exhibit AEB-6 Constant DCF'!B23</f>
        <v>OGE</v>
      </c>
      <c r="C24" s="26">
        <v>1.9</v>
      </c>
      <c r="D24" s="26">
        <v>55</v>
      </c>
      <c r="E24" s="26">
        <v>40</v>
      </c>
      <c r="F24" s="26">
        <f t="shared" si="2"/>
        <v>47.5</v>
      </c>
      <c r="G24" s="309">
        <f t="shared" si="3"/>
        <v>0.04</v>
      </c>
      <c r="H24" s="310">
        <f t="shared" si="0"/>
        <v>4.0960000000000003E-2</v>
      </c>
      <c r="I24" s="309">
        <f>'Exhibit AEB-6 Constant DCF'!G23</f>
        <v>6.5000000000000002E-2</v>
      </c>
      <c r="J24" s="309">
        <f>'Exhibit AEB-6 Constant DCF'!H23</f>
        <v>3.4000000000000002E-2</v>
      </c>
      <c r="K24" s="309">
        <f>'Exhibit AEB-6 Constant DCF'!I23</f>
        <v>4.4999999999999998E-2</v>
      </c>
      <c r="L24" s="311">
        <f t="shared" si="1"/>
        <v>4.8000000000000008E-2</v>
      </c>
      <c r="M24" s="312">
        <f t="shared" si="4"/>
        <v>7.4679999999999996E-2</v>
      </c>
      <c r="N24" s="309">
        <f t="shared" si="5"/>
        <v>8.8960000000000011E-2</v>
      </c>
      <c r="O24" s="312">
        <f t="shared" si="6"/>
        <v>0.10630000000000001</v>
      </c>
      <c r="P24" s="312"/>
      <c r="Q24" s="312">
        <f t="shared" si="7"/>
        <v>7.4679999999999996E-2</v>
      </c>
      <c r="R24" s="312">
        <f t="shared" si="8"/>
        <v>8.8960000000000011E-2</v>
      </c>
      <c r="S24" s="312">
        <f t="shared" si="9"/>
        <v>0.10630000000000001</v>
      </c>
    </row>
    <row r="25" spans="1:19">
      <c r="A25" s="14" t="str">
        <f>'Exhibit AEB-6 Constant DCF'!A24</f>
        <v>Pinnacle West Capital Corporation</v>
      </c>
      <c r="B25" s="308" t="str">
        <f>'Exhibit AEB-6 Constant DCF'!B24</f>
        <v>PNW</v>
      </c>
      <c r="C25" s="26">
        <v>3.8</v>
      </c>
      <c r="D25" s="26">
        <v>110</v>
      </c>
      <c r="E25" s="26">
        <v>90</v>
      </c>
      <c r="F25" s="26">
        <f t="shared" si="2"/>
        <v>100</v>
      </c>
      <c r="G25" s="309">
        <f t="shared" si="3"/>
        <v>3.7999999999999999E-2</v>
      </c>
      <c r="H25" s="310">
        <f t="shared" si="0"/>
        <v>3.9054499999999999E-2</v>
      </c>
      <c r="I25" s="309">
        <f>'Exhibit AEB-6 Constant DCF'!G24</f>
        <v>5.5E-2</v>
      </c>
      <c r="J25" s="309">
        <f>'Exhibit AEB-6 Constant DCF'!H24</f>
        <v>5.0500000000000003E-2</v>
      </c>
      <c r="K25" s="309">
        <f>'Exhibit AEB-6 Constant DCF'!I24</f>
        <v>6.0999999999999999E-2</v>
      </c>
      <c r="L25" s="311">
        <f t="shared" si="1"/>
        <v>5.5500000000000001E-2</v>
      </c>
      <c r="M25" s="312">
        <f t="shared" si="4"/>
        <v>8.9459499999999997E-2</v>
      </c>
      <c r="N25" s="309">
        <f t="shared" si="5"/>
        <v>9.45545E-2</v>
      </c>
      <c r="O25" s="312">
        <f t="shared" si="6"/>
        <v>0.100159</v>
      </c>
      <c r="P25" s="312"/>
      <c r="Q25" s="312">
        <f t="shared" si="7"/>
        <v>8.9459499999999997E-2</v>
      </c>
      <c r="R25" s="312">
        <f t="shared" si="8"/>
        <v>9.45545E-2</v>
      </c>
      <c r="S25" s="312">
        <f t="shared" si="9"/>
        <v>0.100159</v>
      </c>
    </row>
    <row r="26" spans="1:19">
      <c r="A26" s="14" t="str">
        <f>'Exhibit AEB-6 Constant DCF'!A25</f>
        <v>PNM Resources, Inc.</v>
      </c>
      <c r="B26" s="308" t="str">
        <f>'Exhibit AEB-6 Constant DCF'!B25</f>
        <v>PNM</v>
      </c>
      <c r="C26" s="26">
        <v>1.5</v>
      </c>
      <c r="D26" s="26">
        <v>55</v>
      </c>
      <c r="E26" s="26">
        <v>35</v>
      </c>
      <c r="F26" s="26">
        <f t="shared" si="2"/>
        <v>45</v>
      </c>
      <c r="G26" s="309">
        <f t="shared" si="3"/>
        <v>3.3333333333333333E-2</v>
      </c>
      <c r="H26" s="310">
        <f t="shared" si="0"/>
        <v>3.4371111111111109E-2</v>
      </c>
      <c r="I26" s="309">
        <f>'Exhibit AEB-6 Constant DCF'!G25</f>
        <v>7.0000000000000007E-2</v>
      </c>
      <c r="J26" s="309">
        <f>'Exhibit AEB-6 Constant DCF'!H25</f>
        <v>6.1800000000000001E-2</v>
      </c>
      <c r="K26" s="309">
        <f>'Exhibit AEB-6 Constant DCF'!I25</f>
        <v>5.5E-2</v>
      </c>
      <c r="L26" s="311">
        <f t="shared" si="1"/>
        <v>6.2266666666666665E-2</v>
      </c>
      <c r="M26" s="312">
        <f t="shared" si="4"/>
        <v>8.9249999999999996E-2</v>
      </c>
      <c r="N26" s="309">
        <f t="shared" si="5"/>
        <v>9.6637777777777767E-2</v>
      </c>
      <c r="O26" s="312">
        <f t="shared" si="6"/>
        <v>0.10450000000000001</v>
      </c>
      <c r="P26" s="309"/>
      <c r="Q26" s="312">
        <f t="shared" si="7"/>
        <v>8.9249999999999996E-2</v>
      </c>
      <c r="R26" s="312">
        <f t="shared" si="8"/>
        <v>9.6637777777777767E-2</v>
      </c>
      <c r="S26" s="312">
        <f t="shared" si="9"/>
        <v>0.10450000000000001</v>
      </c>
    </row>
    <row r="27" spans="1:19">
      <c r="A27" s="14" t="str">
        <f>'Exhibit AEB-6 Constant DCF'!A26</f>
        <v>Portland General Electric Company</v>
      </c>
      <c r="B27" s="308" t="str">
        <f>'Exhibit AEB-6 Constant DCF'!B26</f>
        <v>POR</v>
      </c>
      <c r="C27" s="26">
        <v>1.95</v>
      </c>
      <c r="D27" s="26">
        <v>60</v>
      </c>
      <c r="E27" s="26">
        <v>45</v>
      </c>
      <c r="F27" s="26">
        <f t="shared" si="2"/>
        <v>52.5</v>
      </c>
      <c r="G27" s="309">
        <f t="shared" si="3"/>
        <v>3.7142857142857144E-2</v>
      </c>
      <c r="H27" s="310">
        <f t="shared" si="0"/>
        <v>3.8015714285714292E-2</v>
      </c>
      <c r="I27" s="309">
        <f>'Exhibit AEB-6 Constant DCF'!G26</f>
        <v>4.4999999999999998E-2</v>
      </c>
      <c r="J27" s="309">
        <f>'Exhibit AEB-6 Constant DCF'!H26</f>
        <v>4.8000000000000001E-2</v>
      </c>
      <c r="K27" s="309">
        <f>'Exhibit AEB-6 Constant DCF'!I26</f>
        <v>4.8000000000000001E-2</v>
      </c>
      <c r="L27" s="311">
        <f t="shared" si="1"/>
        <v>4.7000000000000007E-2</v>
      </c>
      <c r="M27" s="312">
        <f t="shared" si="4"/>
        <v>8.2978571428571429E-2</v>
      </c>
      <c r="N27" s="309">
        <f t="shared" si="5"/>
        <v>8.5015714285714306E-2</v>
      </c>
      <c r="O27" s="312">
        <f t="shared" si="6"/>
        <v>8.6034285714285716E-2</v>
      </c>
      <c r="P27" s="309"/>
      <c r="Q27" s="312">
        <f t="shared" si="7"/>
        <v>8.2978571428571429E-2</v>
      </c>
      <c r="R27" s="312">
        <f t="shared" si="8"/>
        <v>8.5015714285714306E-2</v>
      </c>
      <c r="S27" s="312">
        <f t="shared" si="9"/>
        <v>8.6034285714285716E-2</v>
      </c>
    </row>
    <row r="28" spans="1:19">
      <c r="A28" s="14" t="str">
        <f>'Exhibit AEB-6 Constant DCF'!A27</f>
        <v>PPL Corporation</v>
      </c>
      <c r="B28" s="308" t="str">
        <f>'Exhibit AEB-6 Constant DCF'!B27</f>
        <v>PPL</v>
      </c>
      <c r="C28" s="26">
        <v>1.8</v>
      </c>
      <c r="D28" s="26">
        <v>45</v>
      </c>
      <c r="E28" s="26">
        <v>35</v>
      </c>
      <c r="F28" s="26">
        <f t="shared" si="2"/>
        <v>40</v>
      </c>
      <c r="G28" s="309">
        <f t="shared" si="3"/>
        <v>4.4999999999999998E-2</v>
      </c>
      <c r="H28" s="310">
        <f t="shared" si="0"/>
        <v>4.5235125000000001E-2</v>
      </c>
      <c r="I28" s="309">
        <f>'Exhibit AEB-6 Constant DCF'!G27</f>
        <v>1.4999999999999999E-2</v>
      </c>
      <c r="J28" s="309">
        <f>'Exhibit AEB-6 Constant DCF'!H27</f>
        <v>5.8999999999999999E-3</v>
      </c>
      <c r="K28" s="309" t="str">
        <f>'Exhibit AEB-6 Constant DCF'!I27</f>
        <v>n/a</v>
      </c>
      <c r="L28" s="311">
        <f t="shared" si="1"/>
        <v>1.0449999999999999E-2</v>
      </c>
      <c r="M28" s="312">
        <f t="shared" si="4"/>
        <v>5.1032750000000002E-2</v>
      </c>
      <c r="N28" s="309">
        <f t="shared" si="5"/>
        <v>5.5685125000000002E-2</v>
      </c>
      <c r="O28" s="312">
        <f t="shared" si="6"/>
        <v>6.0337500000000002E-2</v>
      </c>
      <c r="P28" s="309"/>
      <c r="Q28" s="312" t="str">
        <f t="shared" si="7"/>
        <v/>
      </c>
      <c r="R28" s="312" t="str">
        <f t="shared" si="8"/>
        <v/>
      </c>
      <c r="S28" s="312" t="str">
        <f t="shared" si="9"/>
        <v/>
      </c>
    </row>
    <row r="29" spans="1:19">
      <c r="A29" s="14" t="str">
        <f>'Exhibit AEB-6 Constant DCF'!A28</f>
        <v>Southern Company</v>
      </c>
      <c r="B29" s="308" t="str">
        <f>'Exhibit AEB-6 Constant DCF'!B28</f>
        <v>SO</v>
      </c>
      <c r="C29" s="26">
        <v>2.78</v>
      </c>
      <c r="D29" s="26">
        <v>70</v>
      </c>
      <c r="E29" s="26">
        <v>50</v>
      </c>
      <c r="F29" s="26">
        <f t="shared" si="2"/>
        <v>60</v>
      </c>
      <c r="G29" s="309">
        <f t="shared" si="3"/>
        <v>4.6333333333333331E-2</v>
      </c>
      <c r="H29" s="310">
        <f t="shared" si="0"/>
        <v>4.7056905555555549E-2</v>
      </c>
      <c r="I29" s="309">
        <f>'Exhibit AEB-6 Constant DCF'!G28</f>
        <v>3.5000000000000003E-2</v>
      </c>
      <c r="J29" s="309">
        <f>'Exhibit AEB-6 Constant DCF'!H28</f>
        <v>1.37E-2</v>
      </c>
      <c r="K29" s="309">
        <f>'Exhibit AEB-6 Constant DCF'!I28</f>
        <v>4.4999999999999998E-2</v>
      </c>
      <c r="L29" s="311">
        <f t="shared" si="1"/>
        <v>3.1233333333333335E-2</v>
      </c>
      <c r="M29" s="312">
        <f t="shared" si="4"/>
        <v>6.0350716666666665E-2</v>
      </c>
      <c r="N29" s="309">
        <f t="shared" si="5"/>
        <v>7.8290238888888891E-2</v>
      </c>
      <c r="O29" s="312">
        <f t="shared" si="6"/>
        <v>9.2375833333333324E-2</v>
      </c>
      <c r="P29" s="309"/>
      <c r="Q29" s="312" t="str">
        <f t="shared" si="7"/>
        <v/>
      </c>
      <c r="R29" s="312">
        <f t="shared" si="8"/>
        <v>7.8290238888888891E-2</v>
      </c>
      <c r="S29" s="312">
        <f t="shared" si="9"/>
        <v>9.2375833333333324E-2</v>
      </c>
    </row>
    <row r="30" spans="1:19">
      <c r="A30" s="14" t="str">
        <f>'Exhibit AEB-6 Constant DCF'!A29</f>
        <v>Xcel Energy Inc.</v>
      </c>
      <c r="B30" s="308" t="str">
        <f>'Exhibit AEB-6 Constant DCF'!B29</f>
        <v>XEL</v>
      </c>
      <c r="C30" s="26">
        <v>2.0499999999999998</v>
      </c>
      <c r="D30" s="26">
        <v>65</v>
      </c>
      <c r="E30" s="26">
        <v>50</v>
      </c>
      <c r="F30" s="26">
        <f>AVERAGE(D30:E30)</f>
        <v>57.5</v>
      </c>
      <c r="G30" s="309">
        <f t="shared" si="3"/>
        <v>3.5652173913043476E-2</v>
      </c>
      <c r="H30" s="310">
        <f t="shared" si="0"/>
        <v>3.6614782608695648E-2</v>
      </c>
      <c r="I30" s="309">
        <f>'Exhibit AEB-6 Constant DCF'!G29</f>
        <v>5.5E-2</v>
      </c>
      <c r="J30" s="309">
        <f>'Exhibit AEB-6 Constant DCF'!H29</f>
        <v>5.8000000000000003E-2</v>
      </c>
      <c r="K30" s="309">
        <f>'Exhibit AEB-6 Constant DCF'!I29</f>
        <v>4.9000000000000002E-2</v>
      </c>
      <c r="L30" s="311">
        <f t="shared" si="1"/>
        <v>5.3999999999999999E-2</v>
      </c>
      <c r="M30" s="312">
        <f t="shared" si="4"/>
        <v>8.5525652173913044E-2</v>
      </c>
      <c r="N30" s="309">
        <f t="shared" si="5"/>
        <v>9.0614782608695654E-2</v>
      </c>
      <c r="O30" s="312">
        <f t="shared" si="6"/>
        <v>9.4686086956521739E-2</v>
      </c>
      <c r="P30" s="309"/>
      <c r="Q30" s="312">
        <f t="shared" si="7"/>
        <v>8.5525652173913044E-2</v>
      </c>
      <c r="R30" s="312">
        <f t="shared" si="8"/>
        <v>9.0614782608695654E-2</v>
      </c>
      <c r="S30" s="312">
        <f t="shared" si="9"/>
        <v>9.4686086956521739E-2</v>
      </c>
    </row>
    <row r="31" spans="1:19">
      <c r="A31" s="14"/>
      <c r="B31" s="308"/>
      <c r="C31" s="26"/>
      <c r="D31" s="26"/>
      <c r="E31" s="26"/>
      <c r="F31" s="26"/>
      <c r="G31" s="309"/>
      <c r="H31" s="310"/>
      <c r="I31" s="309"/>
      <c r="J31" s="309"/>
      <c r="K31" s="309"/>
      <c r="L31" s="311"/>
      <c r="M31" s="312"/>
      <c r="N31" s="309"/>
      <c r="O31" s="312"/>
      <c r="P31" s="312"/>
      <c r="Q31" s="312"/>
      <c r="R31" s="312"/>
      <c r="S31" s="312"/>
    </row>
    <row r="32" spans="1:19" ht="13.5" thickBot="1">
      <c r="A32" s="317" t="s">
        <v>1258</v>
      </c>
      <c r="B32" s="44"/>
      <c r="C32" s="318"/>
      <c r="D32" s="44"/>
      <c r="E32" s="44"/>
      <c r="F32" s="44"/>
      <c r="G32" s="319">
        <f>AVERAGE(G8:G30)</f>
        <v>3.8999623462872293E-2</v>
      </c>
      <c r="H32" s="319">
        <f t="shared" ref="H32:N32" si="10">AVERAGE(H8:H30)</f>
        <v>4.0005057746957291E-2</v>
      </c>
      <c r="I32" s="319">
        <f t="shared" si="10"/>
        <v>5.613636363636363E-2</v>
      </c>
      <c r="J32" s="319">
        <f t="shared" si="10"/>
        <v>4.6771428571428582E-2</v>
      </c>
      <c r="K32" s="319">
        <f t="shared" si="10"/>
        <v>5.4545454545454543E-2</v>
      </c>
      <c r="L32" s="319">
        <f t="shared" si="10"/>
        <v>5.2205072463768126E-2</v>
      </c>
      <c r="M32" s="319">
        <f t="shared" si="10"/>
        <v>8.2893059776048064E-2</v>
      </c>
      <c r="N32" s="319">
        <f t="shared" si="10"/>
        <v>9.2210130210725424E-2</v>
      </c>
      <c r="O32" s="319">
        <f>AVERAGE(O8:O30)</f>
        <v>0.10259048605475649</v>
      </c>
      <c r="P32" s="319"/>
      <c r="Q32" s="319">
        <f>AVERAGE(Q8:Q30)</f>
        <v>9.0356659825855959E-2</v>
      </c>
      <c r="R32" s="319">
        <f>AVERAGE(R8:R30)</f>
        <v>9.6452714084354824E-2</v>
      </c>
      <c r="S32" s="319">
        <f>AVERAGE(S8:S30)</f>
        <v>0.10451107632997268</v>
      </c>
    </row>
    <row r="33" spans="1:15">
      <c r="A33" s="14"/>
      <c r="B33" s="14"/>
      <c r="C33" s="14"/>
      <c r="D33" s="14"/>
      <c r="E33" s="14"/>
      <c r="F33" s="14"/>
      <c r="G33" s="14"/>
      <c r="H33" s="14"/>
      <c r="I33" s="14"/>
      <c r="J33" s="14"/>
      <c r="K33" s="14"/>
      <c r="L33" s="14"/>
      <c r="M33" s="14"/>
    </row>
    <row r="34" spans="1:15">
      <c r="A34" s="14"/>
      <c r="B34" s="14"/>
      <c r="C34" s="14"/>
      <c r="D34" s="14"/>
      <c r="E34" s="14"/>
      <c r="F34" s="14"/>
      <c r="G34" s="14"/>
      <c r="H34" s="14"/>
      <c r="I34" s="14"/>
      <c r="J34" s="14"/>
      <c r="K34" s="14"/>
      <c r="L34" s="14"/>
      <c r="M34" s="314"/>
      <c r="N34" s="314"/>
      <c r="O34" s="314"/>
    </row>
    <row r="35" spans="1:15">
      <c r="A35" s="315" t="s">
        <v>23</v>
      </c>
      <c r="B35" s="316"/>
      <c r="C35" s="14"/>
      <c r="D35" s="14"/>
      <c r="E35" s="14"/>
      <c r="F35" s="14"/>
      <c r="G35" s="14"/>
      <c r="H35" s="14"/>
      <c r="I35" s="14"/>
      <c r="J35" s="14"/>
      <c r="K35" s="14"/>
      <c r="L35" s="14"/>
      <c r="M35" s="314"/>
      <c r="N35" s="314"/>
      <c r="O35" s="314"/>
    </row>
    <row r="36" spans="1:15">
      <c r="A36" s="14" t="s">
        <v>1192</v>
      </c>
      <c r="C36" s="14"/>
      <c r="D36" s="14"/>
      <c r="E36" s="14"/>
      <c r="F36" s="14"/>
      <c r="G36" s="14"/>
      <c r="H36" s="14"/>
      <c r="I36" s="14"/>
      <c r="J36" s="14"/>
      <c r="K36" s="14"/>
      <c r="L36" s="14"/>
      <c r="M36" s="14"/>
    </row>
    <row r="37" spans="1:15">
      <c r="A37" s="14" t="s">
        <v>1502</v>
      </c>
      <c r="C37" s="14"/>
      <c r="D37" s="14"/>
      <c r="E37" s="14"/>
      <c r="F37" s="14"/>
      <c r="G37" s="14"/>
      <c r="H37" s="14"/>
      <c r="I37" s="14"/>
      <c r="J37" s="14"/>
      <c r="K37" s="14"/>
      <c r="L37" s="14"/>
      <c r="M37" s="14"/>
    </row>
    <row r="38" spans="1:15">
      <c r="A38" s="14" t="s">
        <v>1503</v>
      </c>
      <c r="C38" s="14"/>
      <c r="D38" s="14"/>
      <c r="E38" s="14"/>
      <c r="F38" s="14"/>
      <c r="G38" s="14"/>
      <c r="H38" s="14"/>
      <c r="I38" s="14"/>
      <c r="J38" s="14"/>
      <c r="K38" s="14"/>
      <c r="L38" s="14"/>
      <c r="M38" s="14"/>
    </row>
    <row r="39" spans="1:15">
      <c r="A39" s="14" t="s">
        <v>1504</v>
      </c>
      <c r="C39" s="14"/>
      <c r="D39" s="14"/>
      <c r="E39" s="14"/>
      <c r="F39" s="14"/>
      <c r="G39" s="14"/>
      <c r="H39" s="14"/>
      <c r="I39" s="14"/>
      <c r="J39" s="14"/>
      <c r="K39" s="14"/>
      <c r="L39" s="14"/>
      <c r="M39" s="14"/>
    </row>
    <row r="40" spans="1:15">
      <c r="A40" s="14" t="s">
        <v>1505</v>
      </c>
      <c r="C40" s="14"/>
      <c r="D40" s="14"/>
      <c r="E40" s="14"/>
      <c r="F40" s="14"/>
      <c r="G40" s="14"/>
      <c r="H40" s="14"/>
      <c r="I40" s="14"/>
      <c r="J40" s="14"/>
      <c r="K40" s="314"/>
      <c r="L40" s="14"/>
      <c r="M40" s="14"/>
    </row>
    <row r="41" spans="1:15">
      <c r="A41" s="14" t="s">
        <v>1506</v>
      </c>
      <c r="C41" s="14"/>
      <c r="D41" s="14"/>
      <c r="E41" s="14"/>
      <c r="F41" s="14"/>
      <c r="H41" s="14"/>
      <c r="I41" s="14"/>
      <c r="J41" s="14"/>
      <c r="K41" s="14"/>
      <c r="L41" s="14"/>
      <c r="M41" s="14"/>
    </row>
    <row r="42" spans="1:15">
      <c r="A42" s="14" t="s">
        <v>1507</v>
      </c>
      <c r="C42" s="14"/>
      <c r="D42" s="14"/>
      <c r="E42" s="14"/>
      <c r="F42" s="14"/>
      <c r="G42" s="14"/>
      <c r="H42" s="14"/>
      <c r="I42" s="14"/>
      <c r="J42" s="14"/>
      <c r="K42" s="14"/>
      <c r="L42" s="14"/>
      <c r="M42" s="14"/>
    </row>
    <row r="43" spans="1:15">
      <c r="A43" s="14" t="s">
        <v>1508</v>
      </c>
      <c r="C43" s="14"/>
      <c r="D43" s="14"/>
      <c r="E43" s="14"/>
      <c r="F43" s="14"/>
      <c r="G43" s="14"/>
      <c r="H43" s="14"/>
      <c r="I43" s="14"/>
      <c r="J43" s="14"/>
      <c r="K43" s="14"/>
      <c r="L43" s="14"/>
      <c r="M43" s="14"/>
    </row>
    <row r="44" spans="1:15">
      <c r="A44" s="14" t="s">
        <v>1509</v>
      </c>
      <c r="C44" s="14"/>
      <c r="D44" s="14"/>
      <c r="E44" s="14"/>
      <c r="F44" s="14"/>
      <c r="G44" s="14"/>
      <c r="H44" s="14"/>
      <c r="I44" s="14"/>
      <c r="J44" s="14"/>
      <c r="K44" s="14"/>
      <c r="L44" s="14"/>
      <c r="M44" s="14"/>
    </row>
    <row r="45" spans="1:15">
      <c r="A45" s="18" t="s">
        <v>1510</v>
      </c>
      <c r="C45" s="14"/>
      <c r="D45" s="14"/>
      <c r="E45" s="14"/>
      <c r="F45" s="14"/>
      <c r="G45" s="14"/>
      <c r="H45" s="14"/>
      <c r="I45" s="14"/>
      <c r="J45" s="14"/>
      <c r="K45" s="14"/>
      <c r="L45" s="14"/>
      <c r="M45" s="14"/>
    </row>
    <row r="46" spans="1:15">
      <c r="A46" s="14" t="s">
        <v>1511</v>
      </c>
      <c r="C46" s="14"/>
      <c r="D46" s="14"/>
      <c r="E46" s="14"/>
      <c r="F46" s="14"/>
      <c r="G46" s="14"/>
      <c r="H46" s="14"/>
      <c r="I46" s="14"/>
      <c r="J46" s="14"/>
      <c r="K46" s="14"/>
      <c r="L46" s="14"/>
      <c r="M46" s="14"/>
    </row>
    <row r="47" spans="1:15">
      <c r="A47" s="14" t="s">
        <v>1512</v>
      </c>
      <c r="C47" s="14"/>
      <c r="D47" s="14"/>
      <c r="E47" s="14"/>
      <c r="F47" s="14"/>
      <c r="G47" s="14"/>
      <c r="H47" s="14"/>
      <c r="I47" s="14"/>
      <c r="J47" s="14"/>
      <c r="K47" s="14"/>
      <c r="L47" s="14"/>
      <c r="M47" s="14"/>
    </row>
    <row r="48" spans="1:15">
      <c r="A48" s="14" t="s">
        <v>1513</v>
      </c>
      <c r="C48" s="14"/>
      <c r="D48" s="14"/>
      <c r="E48" s="14"/>
      <c r="F48" s="14"/>
      <c r="G48" s="14"/>
      <c r="H48" s="14"/>
      <c r="I48" s="14"/>
      <c r="J48" s="14"/>
      <c r="K48" s="14"/>
      <c r="L48" s="14"/>
      <c r="M48" s="14"/>
    </row>
    <row r="49" spans="1:1">
      <c r="A49" s="48" t="s">
        <v>1187</v>
      </c>
    </row>
    <row r="50" spans="1:1">
      <c r="A50" s="48" t="s">
        <v>1514</v>
      </c>
    </row>
    <row r="51" spans="1:1">
      <c r="A51" s="48" t="s">
        <v>1515</v>
      </c>
    </row>
  </sheetData>
  <mergeCells count="20">
    <mergeCell ref="R5:R6"/>
    <mergeCell ref="S5:S6"/>
    <mergeCell ref="J5:J6"/>
    <mergeCell ref="K5:K6"/>
    <mergeCell ref="L5:L6"/>
    <mergeCell ref="M5:M6"/>
    <mergeCell ref="N5:N6"/>
    <mergeCell ref="O5:O6"/>
    <mergeCell ref="A2:S2"/>
    <mergeCell ref="M3:O3"/>
    <mergeCell ref="Q3:S3"/>
    <mergeCell ref="A5:A6"/>
    <mergeCell ref="B5:B6"/>
    <mergeCell ref="C5:C6"/>
    <mergeCell ref="D5:F5"/>
    <mergeCell ref="G5:G6"/>
    <mergeCell ref="H5:H6"/>
    <mergeCell ref="I5:I6"/>
    <mergeCell ref="P5:P6"/>
    <mergeCell ref="Q5:Q6"/>
  </mergeCells>
  <conditionalFormatting sqref="A31:B31">
    <cfRule type="expression" dxfId="14" priority="1">
      <formula>"(blank)"</formula>
    </cfRule>
  </conditionalFormatting>
  <conditionalFormatting sqref="A31:B31">
    <cfRule type="expression" dxfId="13" priority="2">
      <formula>#REF!</formula>
    </cfRule>
  </conditionalFormatting>
  <pageMargins left="0.7" right="0.7" top="0.75" bottom="0.75" header="0.3" footer="0.3"/>
  <pageSetup scale="59" orientation="landscape" useFirstPageNumber="1" r:id="rId1"/>
  <headerFooter>
    <oddHeader>&amp;RDocket No. UE-19____
PacifiCorp
Exhibit No. AEB-7
Page 1 of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40"/>
  <sheetViews>
    <sheetView zoomScale="90" zoomScaleNormal="90" zoomScaleSheetLayoutView="80" zoomScalePageLayoutView="90" workbookViewId="0">
      <selection activeCell="I1" sqref="I1"/>
    </sheetView>
  </sheetViews>
  <sheetFormatPr defaultColWidth="9.140625" defaultRowHeight="12.75"/>
  <cols>
    <col min="1" max="1" width="6.7109375" style="126" customWidth="1"/>
    <col min="2" max="2" width="36.85546875" style="126" customWidth="1"/>
    <col min="3" max="3" width="7.5703125" style="126" customWidth="1"/>
    <col min="4" max="4" width="18.85546875" style="126" customWidth="1"/>
    <col min="5" max="8" width="10.5703125" style="126" customWidth="1"/>
    <col min="9" max="16384" width="9.140625" style="126"/>
  </cols>
  <sheetData>
    <row r="1" spans="1:8">
      <c r="A1" s="172"/>
      <c r="B1" s="172"/>
      <c r="C1" s="172"/>
      <c r="D1" s="172"/>
      <c r="E1" s="172"/>
      <c r="F1" s="172"/>
      <c r="G1" s="172"/>
      <c r="H1" s="172"/>
    </row>
    <row r="2" spans="1:8">
      <c r="A2" s="172"/>
      <c r="B2" s="173" t="s">
        <v>1308</v>
      </c>
      <c r="C2" s="174"/>
      <c r="D2" s="174"/>
      <c r="E2" s="174"/>
      <c r="F2" s="174"/>
      <c r="G2" s="175"/>
      <c r="H2" s="175"/>
    </row>
    <row r="3" spans="1:8">
      <c r="A3" s="172"/>
      <c r="B3" s="172"/>
      <c r="C3" s="172"/>
      <c r="D3" s="172"/>
      <c r="E3" s="172"/>
      <c r="F3" s="172"/>
      <c r="G3" s="172"/>
      <c r="H3" s="172"/>
    </row>
    <row r="4" spans="1:8">
      <c r="A4" s="172"/>
      <c r="B4" s="174" t="s">
        <v>1309</v>
      </c>
      <c r="C4" s="174"/>
      <c r="D4" s="174"/>
      <c r="E4" s="174"/>
      <c r="F4" s="174"/>
      <c r="G4" s="174"/>
      <c r="H4" s="174"/>
    </row>
    <row r="5" spans="1:8">
      <c r="A5" s="172"/>
      <c r="B5" s="172"/>
      <c r="C5" s="172"/>
      <c r="D5" s="172"/>
      <c r="E5" s="172"/>
      <c r="F5" s="172"/>
      <c r="G5" s="172"/>
      <c r="H5" s="172"/>
    </row>
    <row r="6" spans="1:8">
      <c r="A6" s="172"/>
      <c r="B6" s="172"/>
      <c r="C6" s="172"/>
      <c r="D6" s="172"/>
      <c r="E6" s="172"/>
      <c r="F6" s="172"/>
      <c r="G6" s="172"/>
      <c r="H6" s="172"/>
    </row>
    <row r="7" spans="1:8" ht="13.5" thickBot="1">
      <c r="A7" s="172"/>
      <c r="B7" s="172"/>
      <c r="C7" s="172"/>
      <c r="D7" s="176" t="s">
        <v>4</v>
      </c>
      <c r="E7" s="176" t="s">
        <v>5</v>
      </c>
      <c r="F7" s="176" t="s">
        <v>6</v>
      </c>
      <c r="G7" s="176" t="s">
        <v>7</v>
      </c>
      <c r="H7" s="176" t="s">
        <v>8</v>
      </c>
    </row>
    <row r="8" spans="1:8" ht="51">
      <c r="A8" s="172"/>
      <c r="B8" s="177" t="s">
        <v>0</v>
      </c>
      <c r="C8" s="177" t="s">
        <v>1</v>
      </c>
      <c r="D8" s="178" t="s">
        <v>1310</v>
      </c>
      <c r="E8" s="179" t="s">
        <v>1311</v>
      </c>
      <c r="F8" s="179" t="s">
        <v>1312</v>
      </c>
      <c r="G8" s="179" t="s">
        <v>1313</v>
      </c>
      <c r="H8" s="180" t="s">
        <v>1314</v>
      </c>
    </row>
    <row r="9" spans="1:8">
      <c r="A9" s="181"/>
      <c r="B9" s="14" t="s">
        <v>1267</v>
      </c>
      <c r="C9" s="8" t="s">
        <v>1268</v>
      </c>
      <c r="D9" s="71">
        <v>2.112E-2</v>
      </c>
      <c r="E9" s="214">
        <v>0.65</v>
      </c>
      <c r="F9" s="183">
        <f>'Exhibit AEB-8 CAPM 3'!$B$18</f>
        <v>0.13830891955751043</v>
      </c>
      <c r="G9" s="184">
        <f t="shared" ref="G9:G31" si="0">F9-D9</f>
        <v>0.11718891955751043</v>
      </c>
      <c r="H9" s="269">
        <f t="shared" ref="H9:H31" si="1">IFERROR(G9*E9+D9, "")</f>
        <v>9.7292797712381779E-2</v>
      </c>
    </row>
    <row r="10" spans="1:8">
      <c r="A10" s="181"/>
      <c r="B10" s="14" t="s">
        <v>1269</v>
      </c>
      <c r="C10" s="8" t="s">
        <v>1102</v>
      </c>
      <c r="D10" s="71">
        <v>2.112E-2</v>
      </c>
      <c r="E10" s="214">
        <v>0.6</v>
      </c>
      <c r="F10" s="183">
        <f>'Exhibit AEB-8 CAPM 3'!$B$18</f>
        <v>0.13830891955751043</v>
      </c>
      <c r="G10" s="184">
        <f t="shared" si="0"/>
        <v>0.11718891955751043</v>
      </c>
      <c r="H10" s="270">
        <f t="shared" si="1"/>
        <v>9.1433351734506257E-2</v>
      </c>
    </row>
    <row r="11" spans="1:8">
      <c r="A11" s="181"/>
      <c r="B11" s="14" t="s">
        <v>1270</v>
      </c>
      <c r="C11" s="8" t="s">
        <v>930</v>
      </c>
      <c r="D11" s="71">
        <v>2.112E-2</v>
      </c>
      <c r="E11" s="214">
        <v>0.55000000000000004</v>
      </c>
      <c r="F11" s="183">
        <f>'Exhibit AEB-8 CAPM 3'!$B$18</f>
        <v>0.13830891955751043</v>
      </c>
      <c r="G11" s="184">
        <f t="shared" si="0"/>
        <v>0.11718891955751043</v>
      </c>
      <c r="H11" s="270">
        <f t="shared" si="1"/>
        <v>8.5573905756630736E-2</v>
      </c>
    </row>
    <row r="12" spans="1:8">
      <c r="A12" s="181"/>
      <c r="B12" s="14" t="s">
        <v>1271</v>
      </c>
      <c r="C12" s="25" t="s">
        <v>319</v>
      </c>
      <c r="D12" s="71">
        <v>2.112E-2</v>
      </c>
      <c r="E12" s="214">
        <v>0.55000000000000004</v>
      </c>
      <c r="F12" s="183">
        <f>'Exhibit AEB-8 CAPM 3'!$B$18</f>
        <v>0.13830891955751043</v>
      </c>
      <c r="G12" s="184">
        <f t="shared" si="0"/>
        <v>0.11718891955751043</v>
      </c>
      <c r="H12" s="270">
        <f t="shared" si="1"/>
        <v>8.5573905756630736E-2</v>
      </c>
    </row>
    <row r="13" spans="1:8">
      <c r="A13" s="181"/>
      <c r="B13" s="14" t="s">
        <v>1272</v>
      </c>
      <c r="C13" s="8" t="s">
        <v>1273</v>
      </c>
      <c r="D13" s="71">
        <v>2.112E-2</v>
      </c>
      <c r="E13" s="214">
        <v>0.6</v>
      </c>
      <c r="F13" s="183">
        <f>'Exhibit AEB-8 CAPM 3'!$B$18</f>
        <v>0.13830891955751043</v>
      </c>
      <c r="G13" s="184">
        <f t="shared" si="0"/>
        <v>0.11718891955751043</v>
      </c>
      <c r="H13" s="270">
        <f t="shared" si="1"/>
        <v>9.1433351734506257E-2</v>
      </c>
    </row>
    <row r="14" spans="1:8">
      <c r="A14" s="181"/>
      <c r="B14" s="14" t="s">
        <v>1274</v>
      </c>
      <c r="C14" s="8" t="s">
        <v>474</v>
      </c>
      <c r="D14" s="71">
        <v>2.112E-2</v>
      </c>
      <c r="E14" s="214">
        <v>0.8</v>
      </c>
      <c r="F14" s="183">
        <f>'Exhibit AEB-8 CAPM 3'!$B$18</f>
        <v>0.13830891955751043</v>
      </c>
      <c r="G14" s="184">
        <f t="shared" si="0"/>
        <v>0.11718891955751043</v>
      </c>
      <c r="H14" s="270">
        <f t="shared" si="1"/>
        <v>0.11487113564600834</v>
      </c>
    </row>
    <row r="15" spans="1:8">
      <c r="A15" s="181"/>
      <c r="B15" s="14" t="s">
        <v>1275</v>
      </c>
      <c r="C15" s="25" t="s">
        <v>381</v>
      </c>
      <c r="D15" s="71">
        <v>2.112E-2</v>
      </c>
      <c r="E15" s="214">
        <v>0.55000000000000004</v>
      </c>
      <c r="F15" s="183">
        <f>'Exhibit AEB-8 CAPM 3'!$B$18</f>
        <v>0.13830891955751043</v>
      </c>
      <c r="G15" s="184">
        <f t="shared" si="0"/>
        <v>0.11718891955751043</v>
      </c>
      <c r="H15" s="270">
        <f t="shared" si="1"/>
        <v>8.5573905756630736E-2</v>
      </c>
    </row>
    <row r="16" spans="1:8">
      <c r="A16" s="181"/>
      <c r="B16" s="14" t="s">
        <v>1276</v>
      </c>
      <c r="C16" s="25" t="s">
        <v>405</v>
      </c>
      <c r="D16" s="71">
        <v>2.112E-2</v>
      </c>
      <c r="E16" s="214">
        <v>0.55000000000000004</v>
      </c>
      <c r="F16" s="183">
        <f>'Exhibit AEB-8 CAPM 3'!$B$18</f>
        <v>0.13830891955751043</v>
      </c>
      <c r="G16" s="184">
        <f t="shared" si="0"/>
        <v>0.11718891955751043</v>
      </c>
      <c r="H16" s="270">
        <f t="shared" si="1"/>
        <v>8.5573905756630736E-2</v>
      </c>
    </row>
    <row r="17" spans="1:11">
      <c r="A17" s="181"/>
      <c r="B17" s="14" t="s">
        <v>1277</v>
      </c>
      <c r="C17" s="25" t="s">
        <v>983</v>
      </c>
      <c r="D17" s="71">
        <v>2.112E-2</v>
      </c>
      <c r="E17" s="214">
        <v>0.55000000000000004</v>
      </c>
      <c r="F17" s="183">
        <f>'Exhibit AEB-8 CAPM 3'!$B$18</f>
        <v>0.13830891955751043</v>
      </c>
      <c r="G17" s="184">
        <f t="shared" si="0"/>
        <v>0.11718891955751043</v>
      </c>
      <c r="H17" s="270">
        <f t="shared" si="1"/>
        <v>8.5573905756630736E-2</v>
      </c>
    </row>
    <row r="18" spans="1:11">
      <c r="A18" s="181"/>
      <c r="B18" s="14" t="s">
        <v>1278</v>
      </c>
      <c r="C18" s="25" t="s">
        <v>409</v>
      </c>
      <c r="D18" s="71">
        <v>2.112E-2</v>
      </c>
      <c r="E18" s="214">
        <v>0.5</v>
      </c>
      <c r="F18" s="183">
        <f>'Exhibit AEB-8 CAPM 3'!$B$18</f>
        <v>0.13830891955751043</v>
      </c>
      <c r="G18" s="184">
        <f t="shared" si="0"/>
        <v>0.11718891955751043</v>
      </c>
      <c r="H18" s="270">
        <f t="shared" si="1"/>
        <v>7.9714459778755214E-2</v>
      </c>
    </row>
    <row r="19" spans="1:11">
      <c r="A19" s="181"/>
      <c r="B19" s="14" t="s">
        <v>1279</v>
      </c>
      <c r="C19" s="25" t="s">
        <v>423</v>
      </c>
      <c r="D19" s="71">
        <v>2.112E-2</v>
      </c>
      <c r="E19" s="214">
        <v>0.6</v>
      </c>
      <c r="F19" s="183">
        <f>'Exhibit AEB-8 CAPM 3'!$B$18</f>
        <v>0.13830891955751043</v>
      </c>
      <c r="G19" s="184">
        <f t="shared" si="0"/>
        <v>0.11718891955751043</v>
      </c>
      <c r="H19" s="270">
        <f t="shared" si="1"/>
        <v>9.1433351734506257E-2</v>
      </c>
    </row>
    <row r="20" spans="1:11">
      <c r="A20" s="181"/>
      <c r="B20" s="14" t="s">
        <v>1281</v>
      </c>
      <c r="C20" s="25" t="s">
        <v>1034</v>
      </c>
      <c r="D20" s="71">
        <v>2.112E-2</v>
      </c>
      <c r="E20" s="214" t="s">
        <v>1304</v>
      </c>
      <c r="F20" s="183">
        <f>'Exhibit AEB-8 CAPM 3'!$B$18</f>
        <v>0.13830891955751043</v>
      </c>
      <c r="G20" s="184">
        <f t="shared" si="0"/>
        <v>0.11718891955751043</v>
      </c>
      <c r="H20" s="270" t="str">
        <f t="shared" si="1"/>
        <v/>
      </c>
    </row>
    <row r="21" spans="1:11">
      <c r="A21" s="181"/>
      <c r="B21" s="14" t="s">
        <v>1280</v>
      </c>
      <c r="C21" s="25" t="s">
        <v>922</v>
      </c>
      <c r="D21" s="71">
        <v>2.112E-2</v>
      </c>
      <c r="E21" s="214">
        <v>0.6</v>
      </c>
      <c r="F21" s="183">
        <f>'Exhibit AEB-8 CAPM 3'!$B$18</f>
        <v>0.13830891955751043</v>
      </c>
      <c r="G21" s="184">
        <f t="shared" si="0"/>
        <v>0.11718891955751043</v>
      </c>
      <c r="H21" s="270">
        <f t="shared" si="1"/>
        <v>9.1433351734506257E-2</v>
      </c>
    </row>
    <row r="22" spans="1:11">
      <c r="A22" s="181"/>
      <c r="B22" s="14" t="s">
        <v>1282</v>
      </c>
      <c r="C22" s="25" t="s">
        <v>1283</v>
      </c>
      <c r="D22" s="71">
        <v>2.112E-2</v>
      </c>
      <c r="E22" s="214">
        <v>0.6</v>
      </c>
      <c r="F22" s="183">
        <f>'Exhibit AEB-8 CAPM 3'!$B$18</f>
        <v>0.13830891955751043</v>
      </c>
      <c r="G22" s="184">
        <f t="shared" si="0"/>
        <v>0.11718891955751043</v>
      </c>
      <c r="H22" s="270">
        <f t="shared" si="1"/>
        <v>9.1433351734506257E-2</v>
      </c>
    </row>
    <row r="23" spans="1:11">
      <c r="A23" s="181"/>
      <c r="B23" s="14" t="s">
        <v>1284</v>
      </c>
      <c r="C23" s="25" t="s">
        <v>438</v>
      </c>
      <c r="D23" s="71">
        <v>2.112E-2</v>
      </c>
      <c r="E23" s="214">
        <v>0.55000000000000004</v>
      </c>
      <c r="F23" s="183">
        <f>'Exhibit AEB-8 CAPM 3'!$B$18</f>
        <v>0.13830891955751043</v>
      </c>
      <c r="G23" s="184">
        <f t="shared" si="0"/>
        <v>0.11718891955751043</v>
      </c>
      <c r="H23" s="270">
        <f t="shared" si="1"/>
        <v>8.5573905756630736E-2</v>
      </c>
    </row>
    <row r="24" spans="1:11">
      <c r="A24" s="181"/>
      <c r="B24" s="14" t="s">
        <v>1285</v>
      </c>
      <c r="C24" s="25" t="s">
        <v>1286</v>
      </c>
      <c r="D24" s="71">
        <v>2.112E-2</v>
      </c>
      <c r="E24" s="214">
        <v>0.6</v>
      </c>
      <c r="F24" s="183">
        <f>'Exhibit AEB-8 CAPM 3'!$B$18</f>
        <v>0.13830891955751043</v>
      </c>
      <c r="G24" s="184">
        <f t="shared" si="0"/>
        <v>0.11718891955751043</v>
      </c>
      <c r="H24" s="270">
        <f t="shared" si="1"/>
        <v>9.1433351734506257E-2</v>
      </c>
    </row>
    <row r="25" spans="1:11">
      <c r="A25" s="181"/>
      <c r="B25" s="14" t="s">
        <v>1287</v>
      </c>
      <c r="C25" s="25" t="s">
        <v>1288</v>
      </c>
      <c r="D25" s="71">
        <v>2.112E-2</v>
      </c>
      <c r="E25" s="214">
        <v>0.8</v>
      </c>
      <c r="F25" s="183">
        <f>'Exhibit AEB-8 CAPM 3'!$B$18</f>
        <v>0.13830891955751043</v>
      </c>
      <c r="G25" s="184">
        <f t="shared" si="0"/>
        <v>0.11718891955751043</v>
      </c>
      <c r="H25" s="270">
        <f t="shared" si="1"/>
        <v>0.11487113564600834</v>
      </c>
    </row>
    <row r="26" spans="1:11">
      <c r="A26" s="181"/>
      <c r="B26" s="14" t="s">
        <v>1289</v>
      </c>
      <c r="C26" s="25" t="s">
        <v>589</v>
      </c>
      <c r="D26" s="71">
        <v>2.112E-2</v>
      </c>
      <c r="E26" s="214">
        <v>0.55000000000000004</v>
      </c>
      <c r="F26" s="183">
        <f>'Exhibit AEB-8 CAPM 3'!$B$18</f>
        <v>0.13830891955751043</v>
      </c>
      <c r="G26" s="184">
        <f t="shared" si="0"/>
        <v>0.11718891955751043</v>
      </c>
      <c r="H26" s="270">
        <f t="shared" si="1"/>
        <v>8.5573905756630736E-2</v>
      </c>
    </row>
    <row r="27" spans="1:11">
      <c r="A27" s="181"/>
      <c r="B27" s="14" t="s">
        <v>1290</v>
      </c>
      <c r="C27" s="25" t="s">
        <v>1291</v>
      </c>
      <c r="D27" s="71">
        <v>2.112E-2</v>
      </c>
      <c r="E27" s="214">
        <v>0.6</v>
      </c>
      <c r="F27" s="183">
        <f>'Exhibit AEB-8 CAPM 3'!$B$18</f>
        <v>0.13830891955751043</v>
      </c>
      <c r="G27" s="184">
        <f t="shared" si="0"/>
        <v>0.11718891955751043</v>
      </c>
      <c r="H27" s="270">
        <f t="shared" si="1"/>
        <v>9.1433351734506257E-2</v>
      </c>
    </row>
    <row r="28" spans="1:11">
      <c r="A28" s="181"/>
      <c r="B28" s="14" t="s">
        <v>1292</v>
      </c>
      <c r="C28" s="25" t="s">
        <v>1293</v>
      </c>
      <c r="D28" s="71">
        <v>2.112E-2</v>
      </c>
      <c r="E28" s="214">
        <v>0.6</v>
      </c>
      <c r="F28" s="183">
        <f>'Exhibit AEB-8 CAPM 3'!$B$18</f>
        <v>0.13830891955751043</v>
      </c>
      <c r="G28" s="184">
        <f t="shared" si="0"/>
        <v>0.11718891955751043</v>
      </c>
      <c r="H28" s="270">
        <f t="shared" si="1"/>
        <v>9.1433351734506257E-2</v>
      </c>
    </row>
    <row r="29" spans="1:11">
      <c r="A29" s="181"/>
      <c r="B29" s="14" t="s">
        <v>1294</v>
      </c>
      <c r="C29" s="25" t="s">
        <v>581</v>
      </c>
      <c r="D29" s="71">
        <v>2.112E-2</v>
      </c>
      <c r="E29" s="214">
        <v>0.65</v>
      </c>
      <c r="F29" s="183">
        <f>'Exhibit AEB-8 CAPM 3'!$B$18</f>
        <v>0.13830891955751043</v>
      </c>
      <c r="G29" s="184">
        <f t="shared" si="0"/>
        <v>0.11718891955751043</v>
      </c>
      <c r="H29" s="270">
        <f t="shared" si="1"/>
        <v>9.7292797712381779E-2</v>
      </c>
    </row>
    <row r="30" spans="1:11">
      <c r="A30" s="181"/>
      <c r="B30" s="14" t="s">
        <v>1295</v>
      </c>
      <c r="C30" s="25" t="s">
        <v>617</v>
      </c>
      <c r="D30" s="71">
        <v>2.112E-2</v>
      </c>
      <c r="E30" s="214">
        <v>0.5</v>
      </c>
      <c r="F30" s="183">
        <f>'Exhibit AEB-8 CAPM 3'!$B$18</f>
        <v>0.13830891955751043</v>
      </c>
      <c r="G30" s="184">
        <f t="shared" si="0"/>
        <v>0.11718891955751043</v>
      </c>
      <c r="H30" s="270">
        <f t="shared" si="1"/>
        <v>7.9714459778755214E-2</v>
      </c>
    </row>
    <row r="31" spans="1:11">
      <c r="A31" s="181"/>
      <c r="B31" s="14" t="s">
        <v>1296</v>
      </c>
      <c r="C31" s="25" t="s">
        <v>733</v>
      </c>
      <c r="D31" s="71">
        <v>2.112E-2</v>
      </c>
      <c r="E31" s="214">
        <v>0.5</v>
      </c>
      <c r="F31" s="183">
        <f>'Exhibit AEB-8 CAPM 3'!$B$18</f>
        <v>0.13830891955751043</v>
      </c>
      <c r="G31" s="184">
        <f t="shared" si="0"/>
        <v>0.11718891955751043</v>
      </c>
      <c r="H31" s="271">
        <f t="shared" si="1"/>
        <v>7.9714459778755214E-2</v>
      </c>
    </row>
    <row r="32" spans="1:11" ht="13.5" thickBot="1">
      <c r="A32" s="172"/>
      <c r="B32" s="186" t="s">
        <v>1258</v>
      </c>
      <c r="C32" s="186"/>
      <c r="D32" s="186"/>
      <c r="E32" s="186"/>
      <c r="F32" s="187"/>
      <c r="G32" s="187"/>
      <c r="H32" s="187">
        <f>AVERAGEIF(H9:H31, "&gt;0")</f>
        <v>9.0634336373886862E-2</v>
      </c>
      <c r="K32" s="188"/>
    </row>
    <row r="33" spans="1:11">
      <c r="A33" s="172"/>
      <c r="B33" s="189"/>
      <c r="C33" s="172"/>
      <c r="D33" s="172"/>
      <c r="E33" s="172"/>
      <c r="F33" s="190"/>
      <c r="G33" s="190"/>
      <c r="H33" s="190"/>
      <c r="K33" s="188"/>
    </row>
    <row r="34" spans="1:11">
      <c r="A34" s="172"/>
      <c r="B34" s="191" t="s">
        <v>23</v>
      </c>
      <c r="C34" s="172"/>
      <c r="D34" s="172"/>
      <c r="E34" s="172"/>
      <c r="F34" s="172"/>
      <c r="G34" s="172"/>
      <c r="H34" s="172"/>
      <c r="K34" s="188"/>
    </row>
    <row r="35" spans="1:11">
      <c r="A35" s="172"/>
      <c r="B35" s="172" t="s">
        <v>52</v>
      </c>
      <c r="C35" s="172"/>
      <c r="D35" s="172"/>
      <c r="E35" s="172"/>
      <c r="F35" s="172"/>
      <c r="G35" s="172"/>
      <c r="H35" s="172"/>
      <c r="K35" s="188"/>
    </row>
    <row r="36" spans="1:11">
      <c r="A36" s="172"/>
      <c r="B36" s="192" t="s">
        <v>1191</v>
      </c>
      <c r="C36" s="172"/>
      <c r="D36" s="172"/>
      <c r="E36" s="172"/>
      <c r="F36" s="172"/>
      <c r="G36" s="172"/>
      <c r="H36" s="172"/>
      <c r="K36" s="188"/>
    </row>
    <row r="37" spans="1:11">
      <c r="A37" s="172"/>
      <c r="B37" s="192" t="s">
        <v>1546</v>
      </c>
      <c r="C37" s="172"/>
      <c r="D37" s="172"/>
      <c r="E37" s="172"/>
      <c r="F37" s="172"/>
      <c r="G37" s="172"/>
      <c r="H37" s="172"/>
      <c r="K37" s="188"/>
    </row>
    <row r="38" spans="1:11">
      <c r="A38" s="172"/>
      <c r="B38" s="172" t="s">
        <v>1315</v>
      </c>
      <c r="C38" s="172"/>
      <c r="D38" s="172"/>
      <c r="E38" s="172"/>
      <c r="F38" s="172"/>
      <c r="G38" s="172"/>
      <c r="H38" s="172"/>
      <c r="K38" s="188"/>
    </row>
    <row r="39" spans="1:11">
      <c r="A39" s="172"/>
      <c r="B39" s="172" t="s">
        <v>1316</v>
      </c>
      <c r="C39" s="172"/>
      <c r="D39" s="172"/>
      <c r="E39" s="172"/>
      <c r="F39" s="172"/>
      <c r="G39" s="172"/>
      <c r="H39" s="172"/>
      <c r="K39" s="188"/>
    </row>
    <row r="40" spans="1:11">
      <c r="A40" s="172"/>
      <c r="B40" s="172"/>
      <c r="C40" s="172"/>
      <c r="D40" s="172"/>
      <c r="E40" s="172"/>
      <c r="F40" s="172"/>
      <c r="G40" s="172"/>
      <c r="H40" s="172"/>
      <c r="K40" s="188"/>
    </row>
    <row r="41" spans="1:11">
      <c r="A41" s="172"/>
      <c r="B41" s="172"/>
      <c r="C41" s="172"/>
      <c r="D41" s="172"/>
      <c r="E41" s="172"/>
      <c r="F41" s="172"/>
      <c r="G41" s="172"/>
      <c r="H41" s="172"/>
      <c r="K41" s="188"/>
    </row>
    <row r="42" spans="1:11">
      <c r="A42" s="172"/>
      <c r="B42" s="173" t="s">
        <v>1317</v>
      </c>
      <c r="C42" s="174"/>
      <c r="D42" s="174"/>
      <c r="E42" s="174"/>
      <c r="F42" s="174"/>
      <c r="G42" s="175"/>
      <c r="H42" s="175"/>
      <c r="K42" s="188"/>
    </row>
    <row r="43" spans="1:11">
      <c r="A43" s="172"/>
      <c r="B43" s="172"/>
      <c r="C43" s="172"/>
      <c r="D43" s="172"/>
      <c r="E43" s="172"/>
      <c r="F43" s="172"/>
      <c r="G43" s="172"/>
      <c r="H43" s="172"/>
      <c r="K43" s="144"/>
    </row>
    <row r="44" spans="1:11">
      <c r="A44" s="172"/>
      <c r="B44" s="174" t="s">
        <v>1309</v>
      </c>
      <c r="C44" s="174"/>
      <c r="D44" s="174"/>
      <c r="E44" s="174"/>
      <c r="F44" s="174"/>
      <c r="G44" s="174"/>
      <c r="H44" s="174"/>
    </row>
    <row r="45" spans="1:11">
      <c r="A45" s="172"/>
      <c r="B45" s="172"/>
      <c r="C45" s="172"/>
      <c r="D45" s="172"/>
      <c r="E45" s="172"/>
      <c r="F45" s="172"/>
      <c r="G45" s="172"/>
      <c r="H45" s="172"/>
    </row>
    <row r="46" spans="1:11">
      <c r="A46" s="172"/>
      <c r="B46" s="172"/>
      <c r="C46" s="172"/>
      <c r="D46" s="172"/>
      <c r="E46" s="172"/>
      <c r="F46" s="172"/>
      <c r="G46" s="172"/>
      <c r="H46" s="172"/>
    </row>
    <row r="47" spans="1:11" ht="13.5" thickBot="1">
      <c r="A47" s="172"/>
      <c r="B47" s="172"/>
      <c r="C47" s="172"/>
      <c r="D47" s="176" t="s">
        <v>4</v>
      </c>
      <c r="E47" s="176" t="s">
        <v>5</v>
      </c>
      <c r="F47" s="176" t="s">
        <v>6</v>
      </c>
      <c r="G47" s="176" t="s">
        <v>7</v>
      </c>
      <c r="H47" s="176" t="s">
        <v>8</v>
      </c>
    </row>
    <row r="48" spans="1:11" ht="51">
      <c r="A48" s="172"/>
      <c r="B48" s="177" t="s">
        <v>0</v>
      </c>
      <c r="C48" s="177" t="s">
        <v>1</v>
      </c>
      <c r="D48" s="180" t="s">
        <v>1355</v>
      </c>
      <c r="E48" s="179" t="s">
        <v>1311</v>
      </c>
      <c r="F48" s="179" t="s">
        <v>1312</v>
      </c>
      <c r="G48" s="179" t="s">
        <v>1313</v>
      </c>
      <c r="H48" s="180" t="s">
        <v>1314</v>
      </c>
    </row>
    <row r="49" spans="1:8">
      <c r="A49" s="172"/>
      <c r="B49" s="14" t="str">
        <f>B9</f>
        <v>ALLETE, Inc.</v>
      </c>
      <c r="C49" s="14" t="str">
        <f>C9</f>
        <v>ALE</v>
      </c>
      <c r="D49" s="71">
        <f>AVERAGE(2.2%,2.2%,2.3%,2.4%,2.5%)</f>
        <v>2.3199999999999998E-2</v>
      </c>
      <c r="E49" s="182">
        <f>E9</f>
        <v>0.65</v>
      </c>
      <c r="F49" s="194">
        <f>F9</f>
        <v>0.13830891955751043</v>
      </c>
      <c r="G49" s="194">
        <f t="shared" ref="G49:G71" si="2">F49-D49</f>
        <v>0.11510891955751043</v>
      </c>
      <c r="H49" s="185">
        <f>IFERROR(G49*E49+D49, "")</f>
        <v>9.8020797712381785E-2</v>
      </c>
    </row>
    <row r="50" spans="1:8">
      <c r="A50" s="172"/>
      <c r="B50" s="14" t="str">
        <f t="shared" ref="B50:C71" si="3">B10</f>
        <v>Alliant Energy Corporation</v>
      </c>
      <c r="C50" s="14" t="str">
        <f t="shared" si="3"/>
        <v>LNT</v>
      </c>
      <c r="D50" s="71">
        <f t="shared" ref="D50:D71" si="4">AVERAGE(2.2%,2.2%,2.3%,2.4%,2.5%)</f>
        <v>2.3199999999999998E-2</v>
      </c>
      <c r="E50" s="182">
        <f t="shared" ref="E50:E71" si="5">E10</f>
        <v>0.6</v>
      </c>
      <c r="F50" s="194">
        <f t="shared" ref="F50:F71" si="6">F10</f>
        <v>0.13830891955751043</v>
      </c>
      <c r="G50" s="194">
        <f t="shared" si="2"/>
        <v>0.11510891955751043</v>
      </c>
      <c r="H50" s="185">
        <f t="shared" ref="H50:H71" si="7">IFERROR(G50*E50+D50, "")</f>
        <v>9.2265351734506257E-2</v>
      </c>
    </row>
    <row r="51" spans="1:8">
      <c r="A51" s="172"/>
      <c r="B51" s="14" t="str">
        <f t="shared" si="3"/>
        <v>Ameren Corporation</v>
      </c>
      <c r="C51" s="14" t="str">
        <f t="shared" si="3"/>
        <v>AEE</v>
      </c>
      <c r="D51" s="71">
        <f t="shared" si="4"/>
        <v>2.3199999999999998E-2</v>
      </c>
      <c r="E51" s="182">
        <f t="shared" si="5"/>
        <v>0.55000000000000004</v>
      </c>
      <c r="F51" s="194">
        <f t="shared" si="6"/>
        <v>0.13830891955751043</v>
      </c>
      <c r="G51" s="194">
        <f t="shared" si="2"/>
        <v>0.11510891955751043</v>
      </c>
      <c r="H51" s="185">
        <f t="shared" si="7"/>
        <v>8.6509905756630742E-2</v>
      </c>
    </row>
    <row r="52" spans="1:8">
      <c r="A52" s="172"/>
      <c r="B52" s="14" t="str">
        <f t="shared" si="3"/>
        <v>American Electric Power Company, Inc.</v>
      </c>
      <c r="C52" s="14" t="str">
        <f t="shared" si="3"/>
        <v>AEP</v>
      </c>
      <c r="D52" s="71">
        <f t="shared" si="4"/>
        <v>2.3199999999999998E-2</v>
      </c>
      <c r="E52" s="182">
        <f t="shared" si="5"/>
        <v>0.55000000000000004</v>
      </c>
      <c r="F52" s="194">
        <f t="shared" si="6"/>
        <v>0.13830891955751043</v>
      </c>
      <c r="G52" s="194">
        <f t="shared" si="2"/>
        <v>0.11510891955751043</v>
      </c>
      <c r="H52" s="185">
        <f t="shared" si="7"/>
        <v>8.6509905756630742E-2</v>
      </c>
    </row>
    <row r="53" spans="1:8">
      <c r="A53" s="172"/>
      <c r="B53" s="14" t="str">
        <f t="shared" si="3"/>
        <v>Avista Corporation</v>
      </c>
      <c r="C53" s="14" t="str">
        <f t="shared" si="3"/>
        <v>AVA</v>
      </c>
      <c r="D53" s="71">
        <f t="shared" si="4"/>
        <v>2.3199999999999998E-2</v>
      </c>
      <c r="E53" s="182">
        <f t="shared" si="5"/>
        <v>0.6</v>
      </c>
      <c r="F53" s="194">
        <f t="shared" si="6"/>
        <v>0.13830891955751043</v>
      </c>
      <c r="G53" s="194">
        <f t="shared" si="2"/>
        <v>0.11510891955751043</v>
      </c>
      <c r="H53" s="185">
        <f t="shared" si="7"/>
        <v>9.2265351734506257E-2</v>
      </c>
    </row>
    <row r="54" spans="1:8">
      <c r="A54" s="172"/>
      <c r="B54" s="14" t="str">
        <f t="shared" si="3"/>
        <v>CenterPoint Energy, Inc.</v>
      </c>
      <c r="C54" s="14" t="str">
        <f t="shared" si="3"/>
        <v>CNP</v>
      </c>
      <c r="D54" s="71">
        <f t="shared" si="4"/>
        <v>2.3199999999999998E-2</v>
      </c>
      <c r="E54" s="182">
        <f t="shared" si="5"/>
        <v>0.8</v>
      </c>
      <c r="F54" s="194">
        <f t="shared" si="6"/>
        <v>0.13830891955751043</v>
      </c>
      <c r="G54" s="194">
        <f t="shared" si="2"/>
        <v>0.11510891955751043</v>
      </c>
      <c r="H54" s="185">
        <f t="shared" si="7"/>
        <v>0.11528713564600834</v>
      </c>
    </row>
    <row r="55" spans="1:8">
      <c r="A55" s="172"/>
      <c r="B55" s="14" t="str">
        <f t="shared" si="3"/>
        <v>CMS Energy Corporation</v>
      </c>
      <c r="C55" s="14" t="str">
        <f t="shared" si="3"/>
        <v>CMS</v>
      </c>
      <c r="D55" s="71">
        <f t="shared" si="4"/>
        <v>2.3199999999999998E-2</v>
      </c>
      <c r="E55" s="182">
        <f t="shared" si="5"/>
        <v>0.55000000000000004</v>
      </c>
      <c r="F55" s="194">
        <f t="shared" si="6"/>
        <v>0.13830891955751043</v>
      </c>
      <c r="G55" s="194">
        <f t="shared" si="2"/>
        <v>0.11510891955751043</v>
      </c>
      <c r="H55" s="185">
        <f t="shared" si="7"/>
        <v>8.6509905756630742E-2</v>
      </c>
    </row>
    <row r="56" spans="1:8">
      <c r="A56" s="172"/>
      <c r="B56" s="14" t="str">
        <f t="shared" si="3"/>
        <v>Dominion Resources, Inc.</v>
      </c>
      <c r="C56" s="14" t="str">
        <f t="shared" si="3"/>
        <v>D</v>
      </c>
      <c r="D56" s="71">
        <f t="shared" si="4"/>
        <v>2.3199999999999998E-2</v>
      </c>
      <c r="E56" s="182">
        <f t="shared" si="5"/>
        <v>0.55000000000000004</v>
      </c>
      <c r="F56" s="194">
        <f t="shared" si="6"/>
        <v>0.13830891955751043</v>
      </c>
      <c r="G56" s="194">
        <f t="shared" si="2"/>
        <v>0.11510891955751043</v>
      </c>
      <c r="H56" s="185">
        <f t="shared" si="7"/>
        <v>8.6509905756630742E-2</v>
      </c>
    </row>
    <row r="57" spans="1:8">
      <c r="A57" s="172"/>
      <c r="B57" s="14" t="str">
        <f t="shared" si="3"/>
        <v>DTE Energy Company</v>
      </c>
      <c r="C57" s="14" t="str">
        <f t="shared" si="3"/>
        <v>DTE</v>
      </c>
      <c r="D57" s="71">
        <f t="shared" si="4"/>
        <v>2.3199999999999998E-2</v>
      </c>
      <c r="E57" s="182">
        <f t="shared" si="5"/>
        <v>0.55000000000000004</v>
      </c>
      <c r="F57" s="194">
        <f t="shared" si="6"/>
        <v>0.13830891955751043</v>
      </c>
      <c r="G57" s="194">
        <f t="shared" si="2"/>
        <v>0.11510891955751043</v>
      </c>
      <c r="H57" s="185">
        <f t="shared" si="7"/>
        <v>8.6509905756630742E-2</v>
      </c>
    </row>
    <row r="58" spans="1:8">
      <c r="A58" s="172"/>
      <c r="B58" s="14" t="str">
        <f t="shared" si="3"/>
        <v>Duke Energy Corporation</v>
      </c>
      <c r="C58" s="14" t="str">
        <f t="shared" si="3"/>
        <v>DUK</v>
      </c>
      <c r="D58" s="71">
        <f t="shared" si="4"/>
        <v>2.3199999999999998E-2</v>
      </c>
      <c r="E58" s="182">
        <f t="shared" si="5"/>
        <v>0.5</v>
      </c>
      <c r="F58" s="194">
        <f t="shared" si="6"/>
        <v>0.13830891955751043</v>
      </c>
      <c r="G58" s="194">
        <f t="shared" si="2"/>
        <v>0.11510891955751043</v>
      </c>
      <c r="H58" s="185">
        <f t="shared" si="7"/>
        <v>8.0754459778755214E-2</v>
      </c>
    </row>
    <row r="59" spans="1:8">
      <c r="A59" s="172"/>
      <c r="B59" s="14" t="str">
        <f t="shared" si="3"/>
        <v>Entergy Corporation</v>
      </c>
      <c r="C59" s="14" t="str">
        <f t="shared" si="3"/>
        <v>ETR</v>
      </c>
      <c r="D59" s="71">
        <f t="shared" si="4"/>
        <v>2.3199999999999998E-2</v>
      </c>
      <c r="E59" s="182">
        <f t="shared" si="5"/>
        <v>0.6</v>
      </c>
      <c r="F59" s="194">
        <f t="shared" si="6"/>
        <v>0.13830891955751043</v>
      </c>
      <c r="G59" s="194">
        <f t="shared" si="2"/>
        <v>0.11510891955751043</v>
      </c>
      <c r="H59" s="185">
        <f t="shared" si="7"/>
        <v>9.2265351734506257E-2</v>
      </c>
    </row>
    <row r="60" spans="1:8">
      <c r="A60" s="172"/>
      <c r="B60" s="14" t="str">
        <f t="shared" si="3"/>
        <v xml:space="preserve">Evergy, Inc. </v>
      </c>
      <c r="C60" s="14" t="str">
        <f t="shared" si="3"/>
        <v>EVRG</v>
      </c>
      <c r="D60" s="71">
        <f t="shared" si="4"/>
        <v>2.3199999999999998E-2</v>
      </c>
      <c r="E60" s="182" t="str">
        <f t="shared" si="5"/>
        <v>NMF</v>
      </c>
      <c r="F60" s="194">
        <f t="shared" si="6"/>
        <v>0.13830891955751043</v>
      </c>
      <c r="G60" s="194">
        <f t="shared" si="2"/>
        <v>0.11510891955751043</v>
      </c>
      <c r="H60" s="185" t="str">
        <f t="shared" si="7"/>
        <v/>
      </c>
    </row>
    <row r="61" spans="1:8">
      <c r="A61" s="172"/>
      <c r="B61" s="14" t="str">
        <f t="shared" si="3"/>
        <v>FirstEnergy Corporation</v>
      </c>
      <c r="C61" s="14" t="str">
        <f t="shared" si="3"/>
        <v>FE</v>
      </c>
      <c r="D61" s="71">
        <f t="shared" si="4"/>
        <v>2.3199999999999998E-2</v>
      </c>
      <c r="E61" s="182">
        <f t="shared" si="5"/>
        <v>0.6</v>
      </c>
      <c r="F61" s="194">
        <f t="shared" si="6"/>
        <v>0.13830891955751043</v>
      </c>
      <c r="G61" s="194">
        <f t="shared" si="2"/>
        <v>0.11510891955751043</v>
      </c>
      <c r="H61" s="185">
        <f t="shared" si="7"/>
        <v>9.2265351734506257E-2</v>
      </c>
    </row>
    <row r="62" spans="1:8">
      <c r="A62" s="172"/>
      <c r="B62" s="14" t="str">
        <f t="shared" si="3"/>
        <v>IDACORP, Inc.</v>
      </c>
      <c r="C62" s="14" t="str">
        <f t="shared" si="3"/>
        <v>IDA</v>
      </c>
      <c r="D62" s="71">
        <f t="shared" si="4"/>
        <v>2.3199999999999998E-2</v>
      </c>
      <c r="E62" s="182">
        <f t="shared" si="5"/>
        <v>0.6</v>
      </c>
      <c r="F62" s="194">
        <f t="shared" si="6"/>
        <v>0.13830891955751043</v>
      </c>
      <c r="G62" s="194">
        <f t="shared" si="2"/>
        <v>0.11510891955751043</v>
      </c>
      <c r="H62" s="185">
        <f t="shared" si="7"/>
        <v>9.2265351734506257E-2</v>
      </c>
    </row>
    <row r="63" spans="1:8">
      <c r="A63" s="172"/>
      <c r="B63" s="14" t="str">
        <f t="shared" si="3"/>
        <v>NextEra Energy, Inc.</v>
      </c>
      <c r="C63" s="14" t="str">
        <f t="shared" si="3"/>
        <v>NEE</v>
      </c>
      <c r="D63" s="71">
        <f t="shared" si="4"/>
        <v>2.3199999999999998E-2</v>
      </c>
      <c r="E63" s="182">
        <f t="shared" si="5"/>
        <v>0.55000000000000004</v>
      </c>
      <c r="F63" s="194">
        <f t="shared" si="6"/>
        <v>0.13830891955751043</v>
      </c>
      <c r="G63" s="194">
        <f t="shared" si="2"/>
        <v>0.11510891955751043</v>
      </c>
      <c r="H63" s="185">
        <f t="shared" si="7"/>
        <v>8.6509905756630742E-2</v>
      </c>
    </row>
    <row r="64" spans="1:8">
      <c r="A64" s="172"/>
      <c r="B64" s="14" t="str">
        <f t="shared" si="3"/>
        <v>NorthWestern Corporation</v>
      </c>
      <c r="C64" s="14" t="str">
        <f t="shared" si="3"/>
        <v>NWE</v>
      </c>
      <c r="D64" s="71">
        <f t="shared" si="4"/>
        <v>2.3199999999999998E-2</v>
      </c>
      <c r="E64" s="182">
        <f t="shared" si="5"/>
        <v>0.6</v>
      </c>
      <c r="F64" s="194">
        <f t="shared" si="6"/>
        <v>0.13830891955751043</v>
      </c>
      <c r="G64" s="194">
        <f t="shared" si="2"/>
        <v>0.11510891955751043</v>
      </c>
      <c r="H64" s="185">
        <f t="shared" si="7"/>
        <v>9.2265351734506257E-2</v>
      </c>
    </row>
    <row r="65" spans="1:8">
      <c r="A65" s="172"/>
      <c r="B65" s="14" t="str">
        <f t="shared" si="3"/>
        <v>OGE Energy Corporation</v>
      </c>
      <c r="C65" s="14" t="str">
        <f t="shared" si="3"/>
        <v>OGE</v>
      </c>
      <c r="D65" s="71">
        <f t="shared" si="4"/>
        <v>2.3199999999999998E-2</v>
      </c>
      <c r="E65" s="182">
        <f t="shared" si="5"/>
        <v>0.8</v>
      </c>
      <c r="F65" s="194">
        <f t="shared" si="6"/>
        <v>0.13830891955751043</v>
      </c>
      <c r="G65" s="194">
        <f t="shared" si="2"/>
        <v>0.11510891955751043</v>
      </c>
      <c r="H65" s="185">
        <f t="shared" si="7"/>
        <v>0.11528713564600834</v>
      </c>
    </row>
    <row r="66" spans="1:8">
      <c r="A66" s="172"/>
      <c r="B66" s="14" t="str">
        <f t="shared" si="3"/>
        <v>Pinnacle West Capital Corporation</v>
      </c>
      <c r="C66" s="14" t="str">
        <f t="shared" si="3"/>
        <v>PNW</v>
      </c>
      <c r="D66" s="71">
        <f t="shared" si="4"/>
        <v>2.3199999999999998E-2</v>
      </c>
      <c r="E66" s="182">
        <f t="shared" si="5"/>
        <v>0.55000000000000004</v>
      </c>
      <c r="F66" s="194">
        <f t="shared" si="6"/>
        <v>0.13830891955751043</v>
      </c>
      <c r="G66" s="194">
        <f t="shared" si="2"/>
        <v>0.11510891955751043</v>
      </c>
      <c r="H66" s="185">
        <f t="shared" si="7"/>
        <v>8.6509905756630742E-2</v>
      </c>
    </row>
    <row r="67" spans="1:8">
      <c r="A67" s="172"/>
      <c r="B67" s="14" t="str">
        <f t="shared" si="3"/>
        <v>PNM Resources, Inc.</v>
      </c>
      <c r="C67" s="14" t="str">
        <f t="shared" si="3"/>
        <v>PNM</v>
      </c>
      <c r="D67" s="71">
        <f t="shared" si="4"/>
        <v>2.3199999999999998E-2</v>
      </c>
      <c r="E67" s="182">
        <f t="shared" si="5"/>
        <v>0.6</v>
      </c>
      <c r="F67" s="194">
        <f t="shared" si="6"/>
        <v>0.13830891955751043</v>
      </c>
      <c r="G67" s="194">
        <f t="shared" si="2"/>
        <v>0.11510891955751043</v>
      </c>
      <c r="H67" s="185">
        <f t="shared" si="7"/>
        <v>9.2265351734506257E-2</v>
      </c>
    </row>
    <row r="68" spans="1:8">
      <c r="A68" s="172"/>
      <c r="B68" s="14" t="str">
        <f t="shared" si="3"/>
        <v>Portland General Electric Company</v>
      </c>
      <c r="C68" s="14" t="str">
        <f t="shared" si="3"/>
        <v>POR</v>
      </c>
      <c r="D68" s="71">
        <f t="shared" si="4"/>
        <v>2.3199999999999998E-2</v>
      </c>
      <c r="E68" s="182">
        <f t="shared" si="5"/>
        <v>0.6</v>
      </c>
      <c r="F68" s="194">
        <f t="shared" si="6"/>
        <v>0.13830891955751043</v>
      </c>
      <c r="G68" s="194">
        <f t="shared" si="2"/>
        <v>0.11510891955751043</v>
      </c>
      <c r="H68" s="185">
        <f t="shared" si="7"/>
        <v>9.2265351734506257E-2</v>
      </c>
    </row>
    <row r="69" spans="1:8">
      <c r="A69" s="172"/>
      <c r="B69" s="14" t="str">
        <f t="shared" si="3"/>
        <v>PPL Corporation</v>
      </c>
      <c r="C69" s="14" t="str">
        <f t="shared" si="3"/>
        <v>PPL</v>
      </c>
      <c r="D69" s="71">
        <f t="shared" si="4"/>
        <v>2.3199999999999998E-2</v>
      </c>
      <c r="E69" s="182">
        <f t="shared" si="5"/>
        <v>0.65</v>
      </c>
      <c r="F69" s="194">
        <f t="shared" si="6"/>
        <v>0.13830891955751043</v>
      </c>
      <c r="G69" s="194">
        <f t="shared" si="2"/>
        <v>0.11510891955751043</v>
      </c>
      <c r="H69" s="185">
        <f t="shared" si="7"/>
        <v>9.8020797712381785E-2</v>
      </c>
    </row>
    <row r="70" spans="1:8">
      <c r="A70" s="172"/>
      <c r="B70" s="14" t="str">
        <f t="shared" si="3"/>
        <v>Southern Company</v>
      </c>
      <c r="C70" s="14" t="str">
        <f t="shared" si="3"/>
        <v>SO</v>
      </c>
      <c r="D70" s="71">
        <f t="shared" si="4"/>
        <v>2.3199999999999998E-2</v>
      </c>
      <c r="E70" s="182">
        <f t="shared" si="5"/>
        <v>0.5</v>
      </c>
      <c r="F70" s="194">
        <f t="shared" si="6"/>
        <v>0.13830891955751043</v>
      </c>
      <c r="G70" s="194">
        <f t="shared" si="2"/>
        <v>0.11510891955751043</v>
      </c>
      <c r="H70" s="185">
        <f t="shared" si="7"/>
        <v>8.0754459778755214E-2</v>
      </c>
    </row>
    <row r="71" spans="1:8">
      <c r="A71" s="172"/>
      <c r="B71" s="14" t="str">
        <f t="shared" si="3"/>
        <v>Xcel Energy Inc.</v>
      </c>
      <c r="C71" s="14" t="str">
        <f t="shared" si="3"/>
        <v>XEL</v>
      </c>
      <c r="D71" s="71">
        <f t="shared" si="4"/>
        <v>2.3199999999999998E-2</v>
      </c>
      <c r="E71" s="182">
        <f t="shared" si="5"/>
        <v>0.5</v>
      </c>
      <c r="F71" s="194">
        <f t="shared" si="6"/>
        <v>0.13830891955751043</v>
      </c>
      <c r="G71" s="194">
        <f t="shared" si="2"/>
        <v>0.11510891955751043</v>
      </c>
      <c r="H71" s="185">
        <f t="shared" si="7"/>
        <v>8.0754459778755214E-2</v>
      </c>
    </row>
    <row r="72" spans="1:8" ht="13.5" thickBot="1">
      <c r="A72" s="172"/>
      <c r="B72" s="186" t="s">
        <v>1258</v>
      </c>
      <c r="C72" s="186"/>
      <c r="D72" s="186"/>
      <c r="E72" s="186"/>
      <c r="F72" s="187"/>
      <c r="G72" s="187"/>
      <c r="H72" s="187">
        <f>AVERAGEIF(H49:H71, "&gt;0")</f>
        <v>9.1480518192068677E-2</v>
      </c>
    </row>
    <row r="73" spans="1:8">
      <c r="A73" s="172"/>
      <c r="B73" s="189"/>
      <c r="C73" s="172"/>
      <c r="D73" s="172"/>
      <c r="E73" s="172"/>
      <c r="F73" s="190"/>
      <c r="G73" s="190"/>
      <c r="H73" s="190"/>
    </row>
    <row r="74" spans="1:8">
      <c r="A74" s="172"/>
      <c r="B74" s="191" t="s">
        <v>23</v>
      </c>
      <c r="C74" s="172"/>
      <c r="D74" s="172"/>
      <c r="E74" s="172"/>
      <c r="F74" s="172"/>
      <c r="G74" s="172"/>
      <c r="H74" s="172"/>
    </row>
    <row r="75" spans="1:8">
      <c r="A75" s="172"/>
      <c r="B75" s="172" t="s">
        <v>1356</v>
      </c>
      <c r="C75" s="172"/>
      <c r="D75" s="172"/>
      <c r="E75" s="172"/>
      <c r="F75" s="172"/>
      <c r="G75" s="172"/>
      <c r="H75" s="172"/>
    </row>
    <row r="76" spans="1:8">
      <c r="A76" s="172"/>
      <c r="B76" s="192" t="s">
        <v>1318</v>
      </c>
      <c r="C76" s="172"/>
      <c r="D76" s="172"/>
      <c r="E76" s="172"/>
      <c r="F76" s="172"/>
      <c r="G76" s="172"/>
      <c r="H76" s="172"/>
    </row>
    <row r="77" spans="1:8">
      <c r="A77" s="172"/>
      <c r="B77" s="192" t="s">
        <v>1546</v>
      </c>
      <c r="C77" s="172"/>
      <c r="D77" s="172"/>
      <c r="E77" s="172"/>
      <c r="F77" s="172"/>
      <c r="G77" s="172"/>
      <c r="H77" s="172"/>
    </row>
    <row r="78" spans="1:8">
      <c r="A78" s="172"/>
      <c r="B78" s="172" t="s">
        <v>1315</v>
      </c>
      <c r="C78" s="172"/>
      <c r="D78" s="172"/>
      <c r="E78" s="172"/>
      <c r="F78" s="172"/>
      <c r="G78" s="172"/>
      <c r="H78" s="172"/>
    </row>
    <row r="79" spans="1:8">
      <c r="A79" s="172"/>
      <c r="B79" s="172" t="s">
        <v>1316</v>
      </c>
      <c r="C79" s="172"/>
      <c r="D79" s="172"/>
      <c r="E79" s="172"/>
      <c r="F79" s="172"/>
      <c r="G79" s="172"/>
      <c r="H79" s="172"/>
    </row>
    <row r="80" spans="1:8">
      <c r="A80" s="172"/>
      <c r="B80" s="172"/>
      <c r="C80" s="172"/>
      <c r="D80" s="172"/>
      <c r="E80" s="172"/>
      <c r="F80" s="172"/>
      <c r="G80" s="172"/>
      <c r="H80" s="172"/>
    </row>
    <row r="81" spans="1:8">
      <c r="A81" s="172"/>
      <c r="B81" s="172"/>
      <c r="C81" s="172"/>
      <c r="D81" s="172"/>
      <c r="E81" s="172"/>
      <c r="F81" s="172"/>
      <c r="G81" s="172"/>
      <c r="H81" s="172"/>
    </row>
    <row r="82" spans="1:8">
      <c r="A82" s="172"/>
      <c r="B82" s="173" t="s">
        <v>1319</v>
      </c>
      <c r="C82" s="174"/>
      <c r="D82" s="174"/>
      <c r="E82" s="174"/>
      <c r="F82" s="174"/>
      <c r="G82" s="175"/>
      <c r="H82" s="175"/>
    </row>
    <row r="83" spans="1:8">
      <c r="A83" s="172"/>
      <c r="B83" s="172"/>
      <c r="C83" s="172"/>
      <c r="D83" s="172"/>
      <c r="E83" s="172"/>
      <c r="F83" s="172"/>
      <c r="G83" s="172"/>
      <c r="H83" s="172"/>
    </row>
    <row r="84" spans="1:8">
      <c r="A84" s="172"/>
      <c r="B84" s="174" t="s">
        <v>1309</v>
      </c>
      <c r="C84" s="174"/>
      <c r="D84" s="174"/>
      <c r="E84" s="174"/>
      <c r="F84" s="174"/>
      <c r="G84" s="174"/>
      <c r="H84" s="174"/>
    </row>
    <row r="85" spans="1:8">
      <c r="A85" s="172"/>
      <c r="B85" s="172"/>
      <c r="C85" s="172"/>
      <c r="D85" s="172"/>
      <c r="E85" s="172"/>
      <c r="F85" s="172"/>
      <c r="G85" s="172"/>
      <c r="H85" s="172"/>
    </row>
    <row r="86" spans="1:8">
      <c r="A86" s="172"/>
      <c r="B86" s="172"/>
      <c r="C86" s="172"/>
      <c r="D86" s="172"/>
      <c r="E86" s="172"/>
      <c r="F86" s="172"/>
      <c r="G86" s="172"/>
      <c r="H86" s="172"/>
    </row>
    <row r="87" spans="1:8" ht="13.5" thickBot="1">
      <c r="A87" s="172"/>
      <c r="B87" s="172"/>
      <c r="C87" s="172"/>
      <c r="D87" s="176" t="s">
        <v>4</v>
      </c>
      <c r="E87" s="176" t="s">
        <v>5</v>
      </c>
      <c r="F87" s="176" t="s">
        <v>6</v>
      </c>
      <c r="G87" s="176" t="s">
        <v>7</v>
      </c>
      <c r="H87" s="176" t="s">
        <v>8</v>
      </c>
    </row>
    <row r="88" spans="1:8" ht="51">
      <c r="A88" s="172"/>
      <c r="B88" s="177" t="s">
        <v>0</v>
      </c>
      <c r="C88" s="177" t="s">
        <v>1</v>
      </c>
      <c r="D88" s="178" t="s">
        <v>1320</v>
      </c>
      <c r="E88" s="179" t="s">
        <v>1311</v>
      </c>
      <c r="F88" s="179" t="s">
        <v>1312</v>
      </c>
      <c r="G88" s="179" t="s">
        <v>1313</v>
      </c>
      <c r="H88" s="180" t="s">
        <v>1314</v>
      </c>
    </row>
    <row r="89" spans="1:8">
      <c r="A89" s="172"/>
      <c r="B89" s="193" t="str">
        <f>B49</f>
        <v>ALLETE, Inc.</v>
      </c>
      <c r="C89" s="193" t="str">
        <f>C49</f>
        <v>ALE</v>
      </c>
      <c r="D89" s="215">
        <v>3.5999999999999997E-2</v>
      </c>
      <c r="E89" s="182">
        <f>E49</f>
        <v>0.65</v>
      </c>
      <c r="F89" s="194">
        <f>F49</f>
        <v>0.13830891955751043</v>
      </c>
      <c r="G89" s="194">
        <f t="shared" ref="G89:G111" si="8">F89-D89</f>
        <v>0.10230891955751042</v>
      </c>
      <c r="H89" s="185">
        <f>IFERROR(G89*E89+D89, "")</f>
        <v>0.10250079771238177</v>
      </c>
    </row>
    <row r="90" spans="1:8">
      <c r="A90" s="172"/>
      <c r="B90" s="193" t="str">
        <f t="shared" ref="B90:C111" si="9">B50</f>
        <v>Alliant Energy Corporation</v>
      </c>
      <c r="C90" s="193" t="str">
        <f t="shared" si="9"/>
        <v>LNT</v>
      </c>
      <c r="D90" s="71">
        <v>3.5999999999999997E-2</v>
      </c>
      <c r="E90" s="182">
        <f t="shared" ref="E90:E111" si="10">E50</f>
        <v>0.6</v>
      </c>
      <c r="F90" s="194">
        <f t="shared" ref="F90:F111" si="11">F50</f>
        <v>0.13830891955751043</v>
      </c>
      <c r="G90" s="194">
        <f t="shared" si="8"/>
        <v>0.10230891955751042</v>
      </c>
      <c r="H90" s="185">
        <f t="shared" ref="H90:H111" si="12">IFERROR(G90*E90+D90, "")</f>
        <v>9.7385351734506242E-2</v>
      </c>
    </row>
    <row r="91" spans="1:8">
      <c r="A91" s="172"/>
      <c r="B91" s="193" t="str">
        <f t="shared" si="9"/>
        <v>Ameren Corporation</v>
      </c>
      <c r="C91" s="193" t="str">
        <f t="shared" si="9"/>
        <v>AEE</v>
      </c>
      <c r="D91" s="71">
        <v>3.5999999999999997E-2</v>
      </c>
      <c r="E91" s="182">
        <f t="shared" si="10"/>
        <v>0.55000000000000004</v>
      </c>
      <c r="F91" s="194">
        <f t="shared" si="11"/>
        <v>0.13830891955751043</v>
      </c>
      <c r="G91" s="194">
        <f t="shared" si="8"/>
        <v>0.10230891955751042</v>
      </c>
      <c r="H91" s="185">
        <f t="shared" si="12"/>
        <v>9.2269905756630743E-2</v>
      </c>
    </row>
    <row r="92" spans="1:8">
      <c r="A92" s="172"/>
      <c r="B92" s="193" t="str">
        <f t="shared" si="9"/>
        <v>American Electric Power Company, Inc.</v>
      </c>
      <c r="C92" s="193" t="str">
        <f t="shared" si="9"/>
        <v>AEP</v>
      </c>
      <c r="D92" s="71">
        <v>3.5999999999999997E-2</v>
      </c>
      <c r="E92" s="182">
        <f t="shared" si="10"/>
        <v>0.55000000000000004</v>
      </c>
      <c r="F92" s="194">
        <f t="shared" si="11"/>
        <v>0.13830891955751043</v>
      </c>
      <c r="G92" s="194">
        <f t="shared" si="8"/>
        <v>0.10230891955751042</v>
      </c>
      <c r="H92" s="185">
        <f t="shared" si="12"/>
        <v>9.2269905756630743E-2</v>
      </c>
    </row>
    <row r="93" spans="1:8">
      <c r="A93" s="172"/>
      <c r="B93" s="193" t="str">
        <f t="shared" si="9"/>
        <v>Avista Corporation</v>
      </c>
      <c r="C93" s="193" t="str">
        <f t="shared" si="9"/>
        <v>AVA</v>
      </c>
      <c r="D93" s="71">
        <v>3.5999999999999997E-2</v>
      </c>
      <c r="E93" s="182">
        <f t="shared" si="10"/>
        <v>0.6</v>
      </c>
      <c r="F93" s="194">
        <f t="shared" si="11"/>
        <v>0.13830891955751043</v>
      </c>
      <c r="G93" s="194">
        <f t="shared" si="8"/>
        <v>0.10230891955751042</v>
      </c>
      <c r="H93" s="185">
        <f t="shared" si="12"/>
        <v>9.7385351734506242E-2</v>
      </c>
    </row>
    <row r="94" spans="1:8">
      <c r="A94" s="172"/>
      <c r="B94" s="193" t="str">
        <f t="shared" si="9"/>
        <v>CenterPoint Energy, Inc.</v>
      </c>
      <c r="C94" s="193" t="str">
        <f t="shared" si="9"/>
        <v>CNP</v>
      </c>
      <c r="D94" s="71">
        <v>3.5999999999999997E-2</v>
      </c>
      <c r="E94" s="182">
        <f t="shared" si="10"/>
        <v>0.8</v>
      </c>
      <c r="F94" s="194">
        <f t="shared" si="11"/>
        <v>0.13830891955751043</v>
      </c>
      <c r="G94" s="194">
        <f t="shared" si="8"/>
        <v>0.10230891955751042</v>
      </c>
      <c r="H94" s="185">
        <f t="shared" si="12"/>
        <v>0.11784713564600835</v>
      </c>
    </row>
    <row r="95" spans="1:8">
      <c r="A95" s="172"/>
      <c r="B95" s="193" t="str">
        <f t="shared" si="9"/>
        <v>CMS Energy Corporation</v>
      </c>
      <c r="C95" s="193" t="str">
        <f t="shared" si="9"/>
        <v>CMS</v>
      </c>
      <c r="D95" s="71">
        <v>3.5999999999999997E-2</v>
      </c>
      <c r="E95" s="182">
        <f t="shared" si="10"/>
        <v>0.55000000000000004</v>
      </c>
      <c r="F95" s="194">
        <f t="shared" si="11"/>
        <v>0.13830891955751043</v>
      </c>
      <c r="G95" s="194">
        <f t="shared" si="8"/>
        <v>0.10230891955751042</v>
      </c>
      <c r="H95" s="185">
        <f t="shared" si="12"/>
        <v>9.2269905756630743E-2</v>
      </c>
    </row>
    <row r="96" spans="1:8">
      <c r="A96" s="172"/>
      <c r="B96" s="193" t="str">
        <f t="shared" si="9"/>
        <v>Dominion Resources, Inc.</v>
      </c>
      <c r="C96" s="193" t="str">
        <f t="shared" si="9"/>
        <v>D</v>
      </c>
      <c r="D96" s="71">
        <v>3.5999999999999997E-2</v>
      </c>
      <c r="E96" s="182">
        <f t="shared" si="10"/>
        <v>0.55000000000000004</v>
      </c>
      <c r="F96" s="194">
        <f t="shared" si="11"/>
        <v>0.13830891955751043</v>
      </c>
      <c r="G96" s="194">
        <f t="shared" si="8"/>
        <v>0.10230891955751042</v>
      </c>
      <c r="H96" s="185">
        <f t="shared" si="12"/>
        <v>9.2269905756630743E-2</v>
      </c>
    </row>
    <row r="97" spans="1:8">
      <c r="A97" s="172"/>
      <c r="B97" s="193" t="str">
        <f t="shared" si="9"/>
        <v>DTE Energy Company</v>
      </c>
      <c r="C97" s="193" t="str">
        <f t="shared" si="9"/>
        <v>DTE</v>
      </c>
      <c r="D97" s="71">
        <v>3.5999999999999997E-2</v>
      </c>
      <c r="E97" s="182">
        <f t="shared" si="10"/>
        <v>0.55000000000000004</v>
      </c>
      <c r="F97" s="194">
        <f t="shared" si="11"/>
        <v>0.13830891955751043</v>
      </c>
      <c r="G97" s="194">
        <f t="shared" si="8"/>
        <v>0.10230891955751042</v>
      </c>
      <c r="H97" s="185">
        <f t="shared" si="12"/>
        <v>9.2269905756630743E-2</v>
      </c>
    </row>
    <row r="98" spans="1:8">
      <c r="A98" s="172"/>
      <c r="B98" s="193" t="str">
        <f t="shared" si="9"/>
        <v>Duke Energy Corporation</v>
      </c>
      <c r="C98" s="193" t="str">
        <f t="shared" si="9"/>
        <v>DUK</v>
      </c>
      <c r="D98" s="71">
        <v>3.5999999999999997E-2</v>
      </c>
      <c r="E98" s="182">
        <f t="shared" si="10"/>
        <v>0.5</v>
      </c>
      <c r="F98" s="194">
        <f t="shared" si="11"/>
        <v>0.13830891955751043</v>
      </c>
      <c r="G98" s="194">
        <f t="shared" si="8"/>
        <v>0.10230891955751042</v>
      </c>
      <c r="H98" s="185">
        <f t="shared" si="12"/>
        <v>8.7154459778755217E-2</v>
      </c>
    </row>
    <row r="99" spans="1:8">
      <c r="A99" s="172"/>
      <c r="B99" s="193" t="str">
        <f t="shared" si="9"/>
        <v>Entergy Corporation</v>
      </c>
      <c r="C99" s="193" t="str">
        <f t="shared" si="9"/>
        <v>ETR</v>
      </c>
      <c r="D99" s="71">
        <v>3.5999999999999997E-2</v>
      </c>
      <c r="E99" s="182">
        <f t="shared" si="10"/>
        <v>0.6</v>
      </c>
      <c r="F99" s="194">
        <f t="shared" si="11"/>
        <v>0.13830891955751043</v>
      </c>
      <c r="G99" s="194">
        <f t="shared" si="8"/>
        <v>0.10230891955751042</v>
      </c>
      <c r="H99" s="185">
        <f t="shared" si="12"/>
        <v>9.7385351734506242E-2</v>
      </c>
    </row>
    <row r="100" spans="1:8">
      <c r="A100" s="172"/>
      <c r="B100" s="193" t="str">
        <f t="shared" si="9"/>
        <v xml:space="preserve">Evergy, Inc. </v>
      </c>
      <c r="C100" s="193" t="str">
        <f t="shared" si="9"/>
        <v>EVRG</v>
      </c>
      <c r="D100" s="71">
        <v>3.5999999999999997E-2</v>
      </c>
      <c r="E100" s="182" t="str">
        <f t="shared" si="10"/>
        <v>NMF</v>
      </c>
      <c r="F100" s="194">
        <f t="shared" si="11"/>
        <v>0.13830891955751043</v>
      </c>
      <c r="G100" s="194">
        <f t="shared" si="8"/>
        <v>0.10230891955751042</v>
      </c>
      <c r="H100" s="185" t="str">
        <f t="shared" si="12"/>
        <v/>
      </c>
    </row>
    <row r="101" spans="1:8">
      <c r="A101" s="172"/>
      <c r="B101" s="193" t="str">
        <f t="shared" si="9"/>
        <v>FirstEnergy Corporation</v>
      </c>
      <c r="C101" s="193" t="str">
        <f t="shared" si="9"/>
        <v>FE</v>
      </c>
      <c r="D101" s="71">
        <v>3.5999999999999997E-2</v>
      </c>
      <c r="E101" s="182">
        <f t="shared" si="10"/>
        <v>0.6</v>
      </c>
      <c r="F101" s="194">
        <f t="shared" si="11"/>
        <v>0.13830891955751043</v>
      </c>
      <c r="G101" s="194">
        <f t="shared" si="8"/>
        <v>0.10230891955751042</v>
      </c>
      <c r="H101" s="185">
        <f t="shared" si="12"/>
        <v>9.7385351734506242E-2</v>
      </c>
    </row>
    <row r="102" spans="1:8">
      <c r="A102" s="172"/>
      <c r="B102" s="193" t="str">
        <f t="shared" si="9"/>
        <v>IDACORP, Inc.</v>
      </c>
      <c r="C102" s="193" t="str">
        <f t="shared" si="9"/>
        <v>IDA</v>
      </c>
      <c r="D102" s="71">
        <v>3.5999999999999997E-2</v>
      </c>
      <c r="E102" s="182">
        <f t="shared" si="10"/>
        <v>0.6</v>
      </c>
      <c r="F102" s="194">
        <f t="shared" si="11"/>
        <v>0.13830891955751043</v>
      </c>
      <c r="G102" s="194">
        <f t="shared" si="8"/>
        <v>0.10230891955751042</v>
      </c>
      <c r="H102" s="185">
        <f t="shared" si="12"/>
        <v>9.7385351734506242E-2</v>
      </c>
    </row>
    <row r="103" spans="1:8">
      <c r="A103" s="172"/>
      <c r="B103" s="193" t="str">
        <f t="shared" si="9"/>
        <v>NextEra Energy, Inc.</v>
      </c>
      <c r="C103" s="193" t="str">
        <f t="shared" si="9"/>
        <v>NEE</v>
      </c>
      <c r="D103" s="71">
        <v>3.5999999999999997E-2</v>
      </c>
      <c r="E103" s="182">
        <f t="shared" si="10"/>
        <v>0.55000000000000004</v>
      </c>
      <c r="F103" s="194">
        <f t="shared" si="11"/>
        <v>0.13830891955751043</v>
      </c>
      <c r="G103" s="194">
        <f t="shared" si="8"/>
        <v>0.10230891955751042</v>
      </c>
      <c r="H103" s="185">
        <f t="shared" si="12"/>
        <v>9.2269905756630743E-2</v>
      </c>
    </row>
    <row r="104" spans="1:8">
      <c r="A104" s="172"/>
      <c r="B104" s="193" t="str">
        <f t="shared" si="9"/>
        <v>NorthWestern Corporation</v>
      </c>
      <c r="C104" s="193" t="str">
        <f t="shared" si="9"/>
        <v>NWE</v>
      </c>
      <c r="D104" s="71">
        <v>3.5999999999999997E-2</v>
      </c>
      <c r="E104" s="182">
        <f t="shared" si="10"/>
        <v>0.6</v>
      </c>
      <c r="F104" s="194">
        <f t="shared" si="11"/>
        <v>0.13830891955751043</v>
      </c>
      <c r="G104" s="194">
        <f t="shared" si="8"/>
        <v>0.10230891955751042</v>
      </c>
      <c r="H104" s="185">
        <f t="shared" si="12"/>
        <v>9.7385351734506242E-2</v>
      </c>
    </row>
    <row r="105" spans="1:8">
      <c r="A105" s="172"/>
      <c r="B105" s="193" t="str">
        <f t="shared" si="9"/>
        <v>OGE Energy Corporation</v>
      </c>
      <c r="C105" s="193" t="str">
        <f t="shared" si="9"/>
        <v>OGE</v>
      </c>
      <c r="D105" s="71">
        <v>3.5999999999999997E-2</v>
      </c>
      <c r="E105" s="182">
        <f t="shared" si="10"/>
        <v>0.8</v>
      </c>
      <c r="F105" s="194">
        <f t="shared" si="11"/>
        <v>0.13830891955751043</v>
      </c>
      <c r="G105" s="194">
        <f t="shared" si="8"/>
        <v>0.10230891955751042</v>
      </c>
      <c r="H105" s="185">
        <f t="shared" si="12"/>
        <v>0.11784713564600835</v>
      </c>
    </row>
    <row r="106" spans="1:8">
      <c r="A106" s="172"/>
      <c r="B106" s="193" t="str">
        <f t="shared" si="9"/>
        <v>Pinnacle West Capital Corporation</v>
      </c>
      <c r="C106" s="193" t="str">
        <f t="shared" si="9"/>
        <v>PNW</v>
      </c>
      <c r="D106" s="71">
        <v>3.5999999999999997E-2</v>
      </c>
      <c r="E106" s="182">
        <f t="shared" si="10"/>
        <v>0.55000000000000004</v>
      </c>
      <c r="F106" s="194">
        <f t="shared" si="11"/>
        <v>0.13830891955751043</v>
      </c>
      <c r="G106" s="194">
        <f t="shared" si="8"/>
        <v>0.10230891955751042</v>
      </c>
      <c r="H106" s="185">
        <f t="shared" si="12"/>
        <v>9.2269905756630743E-2</v>
      </c>
    </row>
    <row r="107" spans="1:8">
      <c r="A107" s="172"/>
      <c r="B107" s="193" t="str">
        <f t="shared" si="9"/>
        <v>PNM Resources, Inc.</v>
      </c>
      <c r="C107" s="193" t="str">
        <f t="shared" si="9"/>
        <v>PNM</v>
      </c>
      <c r="D107" s="71">
        <v>3.5999999999999997E-2</v>
      </c>
      <c r="E107" s="182">
        <f t="shared" si="10"/>
        <v>0.6</v>
      </c>
      <c r="F107" s="194">
        <f t="shared" si="11"/>
        <v>0.13830891955751043</v>
      </c>
      <c r="G107" s="194">
        <f t="shared" si="8"/>
        <v>0.10230891955751042</v>
      </c>
      <c r="H107" s="185">
        <f t="shared" si="12"/>
        <v>9.7385351734506242E-2</v>
      </c>
    </row>
    <row r="108" spans="1:8">
      <c r="A108" s="172"/>
      <c r="B108" s="193" t="str">
        <f t="shared" si="9"/>
        <v>Portland General Electric Company</v>
      </c>
      <c r="C108" s="193" t="str">
        <f t="shared" si="9"/>
        <v>POR</v>
      </c>
      <c r="D108" s="71">
        <v>3.5999999999999997E-2</v>
      </c>
      <c r="E108" s="182">
        <f t="shared" si="10"/>
        <v>0.6</v>
      </c>
      <c r="F108" s="194">
        <f t="shared" si="11"/>
        <v>0.13830891955751043</v>
      </c>
      <c r="G108" s="194">
        <f t="shared" si="8"/>
        <v>0.10230891955751042</v>
      </c>
      <c r="H108" s="185">
        <f t="shared" si="12"/>
        <v>9.7385351734506242E-2</v>
      </c>
    </row>
    <row r="109" spans="1:8">
      <c r="A109" s="172"/>
      <c r="B109" s="193" t="str">
        <f t="shared" si="9"/>
        <v>PPL Corporation</v>
      </c>
      <c r="C109" s="193" t="str">
        <f t="shared" si="9"/>
        <v>PPL</v>
      </c>
      <c r="D109" s="71">
        <v>3.5999999999999997E-2</v>
      </c>
      <c r="E109" s="182">
        <f t="shared" si="10"/>
        <v>0.65</v>
      </c>
      <c r="F109" s="194">
        <f t="shared" si="11"/>
        <v>0.13830891955751043</v>
      </c>
      <c r="G109" s="194">
        <f t="shared" si="8"/>
        <v>0.10230891955751042</v>
      </c>
      <c r="H109" s="185">
        <f t="shared" si="12"/>
        <v>0.10250079771238177</v>
      </c>
    </row>
    <row r="110" spans="1:8">
      <c r="A110" s="172"/>
      <c r="B110" s="193" t="str">
        <f t="shared" si="9"/>
        <v>Southern Company</v>
      </c>
      <c r="C110" s="193" t="str">
        <f t="shared" si="9"/>
        <v>SO</v>
      </c>
      <c r="D110" s="71">
        <v>3.5999999999999997E-2</v>
      </c>
      <c r="E110" s="182">
        <f t="shared" si="10"/>
        <v>0.5</v>
      </c>
      <c r="F110" s="194">
        <f t="shared" si="11"/>
        <v>0.13830891955751043</v>
      </c>
      <c r="G110" s="194">
        <f t="shared" si="8"/>
        <v>0.10230891955751042</v>
      </c>
      <c r="H110" s="185">
        <f t="shared" si="12"/>
        <v>8.7154459778755217E-2</v>
      </c>
    </row>
    <row r="111" spans="1:8">
      <c r="A111" s="172"/>
      <c r="B111" s="193" t="str">
        <f t="shared" si="9"/>
        <v>Xcel Energy Inc.</v>
      </c>
      <c r="C111" s="193" t="str">
        <f t="shared" si="9"/>
        <v>XEL</v>
      </c>
      <c r="D111" s="71">
        <v>3.5999999999999997E-2</v>
      </c>
      <c r="E111" s="182">
        <f t="shared" si="10"/>
        <v>0.5</v>
      </c>
      <c r="F111" s="194">
        <f t="shared" si="11"/>
        <v>0.13830891955751043</v>
      </c>
      <c r="G111" s="194">
        <f t="shared" si="8"/>
        <v>0.10230891955751042</v>
      </c>
      <c r="H111" s="185">
        <f t="shared" si="12"/>
        <v>8.7154459778755217E-2</v>
      </c>
    </row>
    <row r="112" spans="1:8" ht="13.5" thickBot="1">
      <c r="A112" s="172"/>
      <c r="B112" s="186" t="s">
        <v>1258</v>
      </c>
      <c r="C112" s="186"/>
      <c r="D112" s="186"/>
      <c r="E112" s="186"/>
      <c r="F112" s="187"/>
      <c r="G112" s="187"/>
      <c r="H112" s="187">
        <f>AVERAGEIF(H89:H111, "&gt;0")</f>
        <v>9.6687790919341404E-2</v>
      </c>
    </row>
    <row r="113" spans="1:8">
      <c r="A113" s="172"/>
      <c r="B113" s="189"/>
      <c r="C113" s="172"/>
      <c r="D113" s="172"/>
      <c r="E113" s="172"/>
      <c r="F113" s="190"/>
      <c r="G113" s="190"/>
      <c r="H113" s="190"/>
    </row>
    <row r="114" spans="1:8">
      <c r="A114" s="172"/>
      <c r="B114" s="191" t="s">
        <v>23</v>
      </c>
      <c r="C114" s="172"/>
      <c r="D114" s="172"/>
      <c r="E114" s="172"/>
      <c r="F114" s="172"/>
      <c r="G114" s="172"/>
      <c r="H114" s="172"/>
    </row>
    <row r="115" spans="1:8">
      <c r="A115" s="172"/>
      <c r="B115" s="172" t="s">
        <v>1321</v>
      </c>
      <c r="C115" s="172"/>
      <c r="D115" s="172"/>
      <c r="E115" s="172"/>
      <c r="F115" s="172"/>
      <c r="G115" s="172"/>
      <c r="H115" s="172"/>
    </row>
    <row r="116" spans="1:8">
      <c r="A116" s="172"/>
      <c r="B116" s="192" t="s">
        <v>1318</v>
      </c>
      <c r="C116" s="172"/>
      <c r="D116" s="172"/>
      <c r="E116" s="172"/>
      <c r="F116" s="172"/>
      <c r="G116" s="172"/>
      <c r="H116" s="172"/>
    </row>
    <row r="117" spans="1:8">
      <c r="A117" s="172"/>
      <c r="B117" s="192" t="s">
        <v>1546</v>
      </c>
      <c r="C117" s="172"/>
      <c r="D117" s="172"/>
      <c r="E117" s="172"/>
      <c r="F117" s="172"/>
      <c r="G117" s="172"/>
      <c r="H117" s="172"/>
    </row>
    <row r="118" spans="1:8">
      <c r="A118" s="172"/>
      <c r="B118" s="172" t="s">
        <v>1315</v>
      </c>
      <c r="C118" s="172"/>
      <c r="D118" s="172"/>
      <c r="E118" s="172"/>
      <c r="F118" s="172"/>
      <c r="G118" s="172"/>
      <c r="H118" s="172"/>
    </row>
    <row r="119" spans="1:8">
      <c r="A119" s="172"/>
      <c r="B119" s="172" t="s">
        <v>1316</v>
      </c>
      <c r="C119" s="172"/>
      <c r="D119" s="172"/>
      <c r="E119" s="172"/>
      <c r="F119" s="172"/>
      <c r="G119" s="172"/>
      <c r="H119" s="172"/>
    </row>
    <row r="122" spans="1:8">
      <c r="B122" s="172"/>
      <c r="C122" s="172"/>
      <c r="D122" s="172"/>
      <c r="E122" s="172"/>
      <c r="F122" s="172"/>
      <c r="G122" s="172"/>
      <c r="H122" s="172"/>
    </row>
    <row r="123" spans="1:8">
      <c r="B123" s="173" t="s">
        <v>1322</v>
      </c>
      <c r="C123" s="174"/>
      <c r="D123" s="174"/>
      <c r="E123" s="174"/>
      <c r="F123" s="174"/>
      <c r="G123" s="175"/>
      <c r="H123" s="175"/>
    </row>
    <row r="124" spans="1:8">
      <c r="B124" s="172"/>
      <c r="C124" s="172"/>
      <c r="D124" s="172"/>
      <c r="E124" s="172"/>
      <c r="F124" s="172"/>
      <c r="G124" s="172"/>
      <c r="H124" s="172"/>
    </row>
    <row r="125" spans="1:8">
      <c r="B125" s="174" t="s">
        <v>1309</v>
      </c>
      <c r="C125" s="174"/>
      <c r="D125" s="174"/>
      <c r="E125" s="174"/>
      <c r="F125" s="174"/>
      <c r="G125" s="174"/>
      <c r="H125" s="174"/>
    </row>
    <row r="126" spans="1:8">
      <c r="B126" s="172"/>
      <c r="C126" s="172"/>
      <c r="D126" s="172"/>
      <c r="E126" s="172"/>
      <c r="F126" s="172"/>
      <c r="G126" s="172"/>
      <c r="H126" s="172"/>
    </row>
    <row r="127" spans="1:8">
      <c r="B127" s="172"/>
      <c r="C127" s="172"/>
      <c r="D127" s="172"/>
      <c r="E127" s="172"/>
      <c r="F127" s="172"/>
      <c r="G127" s="172"/>
      <c r="H127" s="172"/>
    </row>
    <row r="128" spans="1:8" ht="13.5" thickBot="1">
      <c r="B128" s="172"/>
      <c r="C128" s="172"/>
      <c r="D128" s="176" t="s">
        <v>4</v>
      </c>
      <c r="E128" s="176" t="s">
        <v>5</v>
      </c>
      <c r="F128" s="176" t="s">
        <v>6</v>
      </c>
      <c r="G128" s="176" t="s">
        <v>7</v>
      </c>
      <c r="H128" s="176" t="s">
        <v>8</v>
      </c>
    </row>
    <row r="129" spans="2:8" ht="51">
      <c r="B129" s="177" t="s">
        <v>0</v>
      </c>
      <c r="C129" s="177" t="s">
        <v>1</v>
      </c>
      <c r="D129" s="178" t="str">
        <f t="shared" ref="D129:D136" si="13">D8</f>
        <v>Current 30-day average of 30-year U.S. Treasury bond yield</v>
      </c>
      <c r="E129" s="179" t="s">
        <v>1311</v>
      </c>
      <c r="F129" s="179" t="s">
        <v>1312</v>
      </c>
      <c r="G129" s="179" t="s">
        <v>1313</v>
      </c>
      <c r="H129" s="180" t="s">
        <v>1314</v>
      </c>
    </row>
    <row r="130" spans="2:8">
      <c r="B130" s="181" t="str">
        <f>B89</f>
        <v>ALLETE, Inc.</v>
      </c>
      <c r="C130" s="181" t="str">
        <f>C89</f>
        <v>ALE</v>
      </c>
      <c r="D130" s="71">
        <f t="shared" si="13"/>
        <v>2.112E-2</v>
      </c>
      <c r="E130" s="182">
        <v>0.70205567462437013</v>
      </c>
      <c r="F130" s="194">
        <f>F89</f>
        <v>0.13830891955751043</v>
      </c>
      <c r="G130" s="184">
        <f t="shared" ref="G130:G152" si="14">F130-D130</f>
        <v>0.11718891955751043</v>
      </c>
      <c r="H130" s="185">
        <f>IFERROR(G130*E130+D130, "")</f>
        <v>0.10339314597844902</v>
      </c>
    </row>
    <row r="131" spans="2:8">
      <c r="B131" s="181" t="str">
        <f t="shared" ref="B131:C152" si="15">B90</f>
        <v>Alliant Energy Corporation</v>
      </c>
      <c r="C131" s="181" t="str">
        <f t="shared" si="15"/>
        <v>LNT</v>
      </c>
      <c r="D131" s="71">
        <f t="shared" si="13"/>
        <v>2.112E-2</v>
      </c>
      <c r="E131" s="182">
        <v>0.69388302902011856</v>
      </c>
      <c r="F131" s="194">
        <f t="shared" ref="F131:F152" si="16">F90</f>
        <v>0.13830891955751043</v>
      </c>
      <c r="G131" s="184">
        <f t="shared" si="14"/>
        <v>0.11718891955751043</v>
      </c>
      <c r="H131" s="185">
        <f t="shared" ref="H131:H152" si="17">IFERROR(G131*E131+D131, "")</f>
        <v>0.10243540247016035</v>
      </c>
    </row>
    <row r="132" spans="2:8">
      <c r="B132" s="181" t="str">
        <f t="shared" si="15"/>
        <v>Ameren Corporation</v>
      </c>
      <c r="C132" s="181" t="str">
        <f t="shared" si="15"/>
        <v>AEE</v>
      </c>
      <c r="D132" s="71">
        <f t="shared" si="13"/>
        <v>2.112E-2</v>
      </c>
      <c r="E132" s="182">
        <v>0.65188414695356778</v>
      </c>
      <c r="F132" s="194">
        <f t="shared" si="16"/>
        <v>0.13830891955751043</v>
      </c>
      <c r="G132" s="184">
        <f t="shared" si="14"/>
        <v>0.11718891955751043</v>
      </c>
      <c r="H132" s="185">
        <f t="shared" si="17"/>
        <v>9.7513598858157968E-2</v>
      </c>
    </row>
    <row r="133" spans="2:8">
      <c r="B133" s="181" t="str">
        <f t="shared" si="15"/>
        <v>American Electric Power Company, Inc.</v>
      </c>
      <c r="C133" s="181" t="str">
        <f t="shared" si="15"/>
        <v>AEP</v>
      </c>
      <c r="D133" s="71">
        <f t="shared" si="13"/>
        <v>2.112E-2</v>
      </c>
      <c r="E133" s="182">
        <v>0.63100535046058071</v>
      </c>
      <c r="F133" s="194">
        <f t="shared" si="16"/>
        <v>0.13830891955751043</v>
      </c>
      <c r="G133" s="184">
        <f t="shared" si="14"/>
        <v>0.11718891955751043</v>
      </c>
      <c r="H133" s="185">
        <f t="shared" si="17"/>
        <v>9.5066835255483664E-2</v>
      </c>
    </row>
    <row r="134" spans="2:8">
      <c r="B134" s="181" t="str">
        <f t="shared" si="15"/>
        <v>Avista Corporation</v>
      </c>
      <c r="C134" s="181" t="str">
        <f t="shared" si="15"/>
        <v>AVA</v>
      </c>
      <c r="D134" s="71">
        <f t="shared" si="13"/>
        <v>2.112E-2</v>
      </c>
      <c r="E134" s="182">
        <v>0.70337463442464276</v>
      </c>
      <c r="F134" s="194">
        <f t="shared" si="16"/>
        <v>0.13830891955751043</v>
      </c>
      <c r="G134" s="184">
        <f t="shared" si="14"/>
        <v>0.11718891955751043</v>
      </c>
      <c r="H134" s="185">
        <f t="shared" si="17"/>
        <v>0.10354771345238277</v>
      </c>
    </row>
    <row r="135" spans="2:8">
      <c r="B135" s="181" t="str">
        <f t="shared" si="15"/>
        <v>CenterPoint Energy, Inc.</v>
      </c>
      <c r="C135" s="181" t="str">
        <f t="shared" si="15"/>
        <v>CNP</v>
      </c>
      <c r="D135" s="71">
        <f t="shared" si="13"/>
        <v>2.112E-2</v>
      </c>
      <c r="E135" s="182">
        <v>0.72859689376478332</v>
      </c>
      <c r="F135" s="194">
        <f t="shared" si="16"/>
        <v>0.13830891955751043</v>
      </c>
      <c r="G135" s="184">
        <f t="shared" si="14"/>
        <v>0.11718891955751043</v>
      </c>
      <c r="H135" s="185">
        <f t="shared" si="17"/>
        <v>0.10650348277325317</v>
      </c>
    </row>
    <row r="136" spans="2:8">
      <c r="B136" s="181" t="str">
        <f t="shared" si="15"/>
        <v>CMS Energy Corporation</v>
      </c>
      <c r="C136" s="181" t="str">
        <f t="shared" si="15"/>
        <v>CMS</v>
      </c>
      <c r="D136" s="71">
        <f t="shared" si="13"/>
        <v>2.112E-2</v>
      </c>
      <c r="E136" s="182">
        <v>0.6501323471848105</v>
      </c>
      <c r="F136" s="194">
        <f t="shared" si="16"/>
        <v>0.13830891955751043</v>
      </c>
      <c r="G136" s="184">
        <f t="shared" si="14"/>
        <v>0.11718891955751043</v>
      </c>
      <c r="H136" s="185">
        <f t="shared" si="17"/>
        <v>9.7308307335976202E-2</v>
      </c>
    </row>
    <row r="137" spans="2:8">
      <c r="B137" s="181" t="str">
        <f t="shared" si="15"/>
        <v>Dominion Resources, Inc.</v>
      </c>
      <c r="C137" s="181" t="str">
        <f t="shared" si="15"/>
        <v>D</v>
      </c>
      <c r="D137" s="71">
        <f t="shared" ref="D137:D152" si="18">D16</f>
        <v>2.112E-2</v>
      </c>
      <c r="E137" s="182">
        <v>0.60308309728320153</v>
      </c>
      <c r="F137" s="194">
        <f t="shared" si="16"/>
        <v>0.13830891955751043</v>
      </c>
      <c r="G137" s="184">
        <f t="shared" si="14"/>
        <v>0.11718891955751043</v>
      </c>
      <c r="H137" s="185">
        <f t="shared" si="17"/>
        <v>9.1794656574015338E-2</v>
      </c>
    </row>
    <row r="138" spans="2:8">
      <c r="B138" s="181" t="str">
        <f t="shared" si="15"/>
        <v>DTE Energy Company</v>
      </c>
      <c r="C138" s="181" t="str">
        <f t="shared" si="15"/>
        <v>DTE</v>
      </c>
      <c r="D138" s="71">
        <f t="shared" si="18"/>
        <v>2.112E-2</v>
      </c>
      <c r="E138" s="182">
        <v>0.66479636248361407</v>
      </c>
      <c r="F138" s="194">
        <f t="shared" si="16"/>
        <v>0.13830891955751043</v>
      </c>
      <c r="G138" s="184">
        <f t="shared" si="14"/>
        <v>0.11718891955751043</v>
      </c>
      <c r="H138" s="185">
        <f t="shared" si="17"/>
        <v>9.9026767445217795E-2</v>
      </c>
    </row>
    <row r="139" spans="2:8">
      <c r="B139" s="181" t="str">
        <f t="shared" si="15"/>
        <v>Duke Energy Corporation</v>
      </c>
      <c r="C139" s="181" t="str">
        <f t="shared" si="15"/>
        <v>DUK</v>
      </c>
      <c r="D139" s="71">
        <f t="shared" si="18"/>
        <v>2.112E-2</v>
      </c>
      <c r="E139" s="182">
        <v>0.53373287284546755</v>
      </c>
      <c r="F139" s="194">
        <f t="shared" si="16"/>
        <v>0.13830891955751043</v>
      </c>
      <c r="G139" s="184">
        <f t="shared" si="14"/>
        <v>0.11718891955751043</v>
      </c>
      <c r="H139" s="185">
        <f t="shared" si="17"/>
        <v>8.3667578701086445E-2</v>
      </c>
    </row>
    <row r="140" spans="2:8">
      <c r="B140" s="181" t="str">
        <f t="shared" si="15"/>
        <v>Entergy Corporation</v>
      </c>
      <c r="C140" s="181" t="str">
        <f t="shared" si="15"/>
        <v>ETR</v>
      </c>
      <c r="D140" s="71">
        <f t="shared" si="18"/>
        <v>2.112E-2</v>
      </c>
      <c r="E140" s="182">
        <v>0.64698162863294539</v>
      </c>
      <c r="F140" s="194">
        <f t="shared" si="16"/>
        <v>0.13830891955751043</v>
      </c>
      <c r="G140" s="184">
        <f t="shared" si="14"/>
        <v>0.11718891955751043</v>
      </c>
      <c r="H140" s="185">
        <f t="shared" si="17"/>
        <v>9.6939078033053322E-2</v>
      </c>
    </row>
    <row r="141" spans="2:8">
      <c r="B141" s="181" t="str">
        <f t="shared" si="15"/>
        <v xml:space="preserve">Evergy, Inc. </v>
      </c>
      <c r="C141" s="181" t="str">
        <f t="shared" si="15"/>
        <v>EVRG</v>
      </c>
      <c r="D141" s="71">
        <f t="shared" si="18"/>
        <v>2.112E-2</v>
      </c>
      <c r="E141" s="182">
        <v>0.63271739036222052</v>
      </c>
      <c r="F141" s="194">
        <f t="shared" si="16"/>
        <v>0.13830891955751043</v>
      </c>
      <c r="G141" s="184">
        <f t="shared" si="14"/>
        <v>0.11718891955751043</v>
      </c>
      <c r="H141" s="185">
        <f t="shared" si="17"/>
        <v>9.5267467361796185E-2</v>
      </c>
    </row>
    <row r="142" spans="2:8">
      <c r="B142" s="181" t="str">
        <f t="shared" si="15"/>
        <v>FirstEnergy Corporation</v>
      </c>
      <c r="C142" s="181" t="str">
        <f t="shared" si="15"/>
        <v>FE</v>
      </c>
      <c r="D142" s="71">
        <f t="shared" si="18"/>
        <v>2.112E-2</v>
      </c>
      <c r="E142" s="182">
        <v>0.68172052271488082</v>
      </c>
      <c r="F142" s="194">
        <f t="shared" si="16"/>
        <v>0.13830891955751043</v>
      </c>
      <c r="G142" s="184">
        <f t="shared" si="14"/>
        <v>0.11718891955751043</v>
      </c>
      <c r="H142" s="185">
        <f t="shared" si="17"/>
        <v>0.10101009149713813</v>
      </c>
    </row>
    <row r="143" spans="2:8">
      <c r="B143" s="181" t="str">
        <f t="shared" si="15"/>
        <v>IDACORP, Inc.</v>
      </c>
      <c r="C143" s="181" t="str">
        <f t="shared" si="15"/>
        <v>IDA</v>
      </c>
      <c r="D143" s="71">
        <f t="shared" si="18"/>
        <v>2.112E-2</v>
      </c>
      <c r="E143" s="182">
        <v>0.7314223961323828</v>
      </c>
      <c r="F143" s="194">
        <f t="shared" si="16"/>
        <v>0.13830891955751043</v>
      </c>
      <c r="G143" s="184">
        <f t="shared" si="14"/>
        <v>0.11718891955751043</v>
      </c>
      <c r="H143" s="185">
        <f t="shared" si="17"/>
        <v>0.10683460034291933</v>
      </c>
    </row>
    <row r="144" spans="2:8">
      <c r="B144" s="181" t="str">
        <f t="shared" si="15"/>
        <v>NextEra Energy, Inc.</v>
      </c>
      <c r="C144" s="181" t="str">
        <f t="shared" si="15"/>
        <v>NEE</v>
      </c>
      <c r="D144" s="71">
        <f t="shared" si="18"/>
        <v>2.112E-2</v>
      </c>
      <c r="E144" s="182">
        <v>0.64329450305452873</v>
      </c>
      <c r="F144" s="194">
        <f t="shared" si="16"/>
        <v>0.13830891955751043</v>
      </c>
      <c r="G144" s="184">
        <f t="shared" si="14"/>
        <v>0.11718891955751043</v>
      </c>
      <c r="H144" s="185">
        <f t="shared" si="17"/>
        <v>9.6506987770245814E-2</v>
      </c>
    </row>
    <row r="145" spans="2:8">
      <c r="B145" s="181" t="str">
        <f t="shared" si="15"/>
        <v>NorthWestern Corporation</v>
      </c>
      <c r="C145" s="181" t="str">
        <f t="shared" si="15"/>
        <v>NWE</v>
      </c>
      <c r="D145" s="71">
        <f t="shared" si="18"/>
        <v>2.112E-2</v>
      </c>
      <c r="E145" s="182">
        <v>0.70336413982981782</v>
      </c>
      <c r="F145" s="194">
        <f t="shared" si="16"/>
        <v>0.13830891955751043</v>
      </c>
      <c r="G145" s="184">
        <f t="shared" si="14"/>
        <v>0.11718891955751043</v>
      </c>
      <c r="H145" s="185">
        <f t="shared" si="17"/>
        <v>0.10354648360215404</v>
      </c>
    </row>
    <row r="146" spans="2:8">
      <c r="B146" s="181" t="str">
        <f t="shared" si="15"/>
        <v>OGE Energy Corporation</v>
      </c>
      <c r="C146" s="181" t="str">
        <f t="shared" si="15"/>
        <v>OGE</v>
      </c>
      <c r="D146" s="71">
        <f t="shared" si="18"/>
        <v>2.112E-2</v>
      </c>
      <c r="E146" s="182">
        <v>0.74229104023963466</v>
      </c>
      <c r="F146" s="194">
        <f t="shared" si="16"/>
        <v>0.13830891955751043</v>
      </c>
      <c r="G146" s="184">
        <f t="shared" si="14"/>
        <v>0.11718891955751043</v>
      </c>
      <c r="H146" s="185">
        <f t="shared" si="17"/>
        <v>0.10810828500290329</v>
      </c>
    </row>
    <row r="147" spans="2:8">
      <c r="B147" s="181" t="str">
        <f t="shared" si="15"/>
        <v>Pinnacle West Capital Corporation</v>
      </c>
      <c r="C147" s="181" t="str">
        <f t="shared" si="15"/>
        <v>PNW</v>
      </c>
      <c r="D147" s="71">
        <f t="shared" si="18"/>
        <v>2.112E-2</v>
      </c>
      <c r="E147" s="182">
        <v>0.66239464673060888</v>
      </c>
      <c r="F147" s="194">
        <f t="shared" si="16"/>
        <v>0.13830891955751043</v>
      </c>
      <c r="G147" s="184">
        <f t="shared" si="14"/>
        <v>0.11718891955751043</v>
      </c>
      <c r="H147" s="185">
        <f t="shared" si="17"/>
        <v>9.8745312971038862E-2</v>
      </c>
    </row>
    <row r="148" spans="2:8">
      <c r="B148" s="181" t="str">
        <f t="shared" si="15"/>
        <v>PNM Resources, Inc.</v>
      </c>
      <c r="C148" s="181" t="str">
        <f t="shared" si="15"/>
        <v>PNM</v>
      </c>
      <c r="D148" s="71">
        <f t="shared" si="18"/>
        <v>2.112E-2</v>
      </c>
      <c r="E148" s="182">
        <v>0.75010181072913529</v>
      </c>
      <c r="F148" s="194">
        <f t="shared" si="16"/>
        <v>0.13830891955751043</v>
      </c>
      <c r="G148" s="184">
        <f t="shared" si="14"/>
        <v>0.11718891955751043</v>
      </c>
      <c r="H148" s="185">
        <f t="shared" si="17"/>
        <v>0.10902362075747955</v>
      </c>
    </row>
    <row r="149" spans="2:8">
      <c r="B149" s="181" t="str">
        <f t="shared" si="15"/>
        <v>Portland General Electric Company</v>
      </c>
      <c r="C149" s="181" t="str">
        <f t="shared" si="15"/>
        <v>POR</v>
      </c>
      <c r="D149" s="71">
        <f t="shared" si="18"/>
        <v>2.112E-2</v>
      </c>
      <c r="E149" s="182">
        <v>0.67598641501126266</v>
      </c>
      <c r="F149" s="194">
        <f t="shared" si="16"/>
        <v>0.13830891955751043</v>
      </c>
      <c r="G149" s="184">
        <f t="shared" si="14"/>
        <v>0.11718891955751043</v>
      </c>
      <c r="H149" s="185">
        <f t="shared" si="17"/>
        <v>0.10033811761072473</v>
      </c>
    </row>
    <row r="150" spans="2:8">
      <c r="B150" s="181" t="str">
        <f t="shared" si="15"/>
        <v>PPL Corporation</v>
      </c>
      <c r="C150" s="181" t="str">
        <f t="shared" si="15"/>
        <v>PPL</v>
      </c>
      <c r="D150" s="71">
        <f t="shared" si="18"/>
        <v>2.112E-2</v>
      </c>
      <c r="E150" s="182">
        <v>0.62999230648666282</v>
      </c>
      <c r="F150" s="194">
        <f t="shared" si="16"/>
        <v>0.13830891955751043</v>
      </c>
      <c r="G150" s="184">
        <f t="shared" si="14"/>
        <v>0.11718891955751043</v>
      </c>
      <c r="H150" s="185">
        <f t="shared" si="17"/>
        <v>9.4948117726715991E-2</v>
      </c>
    </row>
    <row r="151" spans="2:8">
      <c r="B151" s="181" t="str">
        <f t="shared" si="15"/>
        <v>Southern Company</v>
      </c>
      <c r="C151" s="181" t="str">
        <f t="shared" si="15"/>
        <v>SO</v>
      </c>
      <c r="D151" s="71">
        <f t="shared" si="18"/>
        <v>2.112E-2</v>
      </c>
      <c r="E151" s="182">
        <v>0.53087969562978254</v>
      </c>
      <c r="F151" s="194">
        <f t="shared" si="16"/>
        <v>0.13830891955751043</v>
      </c>
      <c r="G151" s="184">
        <f t="shared" si="14"/>
        <v>0.11718891955751043</v>
      </c>
      <c r="H151" s="185">
        <f t="shared" si="17"/>
        <v>8.33332179458742E-2</v>
      </c>
    </row>
    <row r="152" spans="2:8">
      <c r="B152" s="181" t="str">
        <f t="shared" si="15"/>
        <v>Xcel Energy Inc.</v>
      </c>
      <c r="C152" s="181" t="str">
        <f t="shared" si="15"/>
        <v>XEL</v>
      </c>
      <c r="D152" s="71">
        <f t="shared" si="18"/>
        <v>2.112E-2</v>
      </c>
      <c r="E152" s="182">
        <v>0.57927780876949897</v>
      </c>
      <c r="F152" s="194">
        <f t="shared" si="16"/>
        <v>0.13830891955751043</v>
      </c>
      <c r="G152" s="184">
        <f t="shared" si="14"/>
        <v>0.11718891955751043</v>
      </c>
      <c r="H152" s="185">
        <f t="shared" si="17"/>
        <v>8.9004940533339724E-2</v>
      </c>
    </row>
    <row r="153" spans="2:8" ht="13.5" thickBot="1">
      <c r="B153" s="186" t="s">
        <v>1258</v>
      </c>
      <c r="C153" s="186"/>
      <c r="D153" s="186"/>
      <c r="E153" s="186"/>
      <c r="F153" s="187"/>
      <c r="G153" s="187"/>
      <c r="H153" s="187">
        <f>AVERAGEIF(H130:H152, "&gt;0")</f>
        <v>9.8428861304328943E-2</v>
      </c>
    </row>
    <row r="154" spans="2:8">
      <c r="B154" s="189"/>
      <c r="C154" s="172"/>
      <c r="D154" s="172"/>
      <c r="E154" s="172"/>
      <c r="F154" s="190"/>
      <c r="G154" s="190"/>
      <c r="H154" s="190"/>
    </row>
    <row r="155" spans="2:8">
      <c r="B155" s="191" t="s">
        <v>23</v>
      </c>
      <c r="C155" s="172"/>
      <c r="D155" s="172"/>
      <c r="E155" s="195"/>
      <c r="F155" s="172"/>
      <c r="G155" s="172"/>
      <c r="H155" s="172"/>
    </row>
    <row r="156" spans="2:8">
      <c r="B156" s="172" t="s">
        <v>52</v>
      </c>
      <c r="C156" s="172"/>
      <c r="D156" s="172"/>
      <c r="E156" s="172"/>
      <c r="F156" s="172"/>
      <c r="G156" s="172"/>
      <c r="H156" s="172"/>
    </row>
    <row r="157" spans="2:8">
      <c r="B157" s="192" t="s">
        <v>1297</v>
      </c>
      <c r="C157" s="172"/>
      <c r="D157" s="172"/>
      <c r="E157" s="172"/>
      <c r="F157" s="172"/>
      <c r="G157" s="172"/>
      <c r="H157" s="172"/>
    </row>
    <row r="158" spans="2:8">
      <c r="B158" s="192" t="s">
        <v>1546</v>
      </c>
      <c r="C158" s="172"/>
      <c r="D158" s="172"/>
      <c r="E158" s="172"/>
      <c r="F158" s="172"/>
      <c r="G158" s="172"/>
      <c r="H158" s="172"/>
    </row>
    <row r="159" spans="2:8">
      <c r="B159" s="172" t="s">
        <v>1315</v>
      </c>
      <c r="C159" s="172"/>
      <c r="D159" s="172"/>
      <c r="E159" s="172"/>
      <c r="F159" s="172"/>
      <c r="G159" s="172"/>
      <c r="H159" s="172"/>
    </row>
    <row r="160" spans="2:8">
      <c r="B160" s="172" t="s">
        <v>1316</v>
      </c>
      <c r="C160" s="172"/>
      <c r="D160" s="172"/>
      <c r="E160" s="172"/>
      <c r="F160" s="172"/>
      <c r="G160" s="172"/>
      <c r="H160" s="172"/>
    </row>
    <row r="161" spans="2:8">
      <c r="B161" s="172"/>
      <c r="C161" s="172"/>
      <c r="D161" s="172"/>
      <c r="E161" s="172"/>
      <c r="F161" s="172"/>
      <c r="G161" s="172"/>
      <c r="H161" s="172"/>
    </row>
    <row r="162" spans="2:8">
      <c r="B162" s="172"/>
      <c r="C162" s="172"/>
      <c r="D162" s="172"/>
      <c r="E162" s="172"/>
      <c r="F162" s="172"/>
      <c r="G162" s="172"/>
      <c r="H162" s="172"/>
    </row>
    <row r="163" spans="2:8">
      <c r="B163" s="173" t="s">
        <v>1323</v>
      </c>
      <c r="C163" s="174"/>
      <c r="D163" s="174"/>
      <c r="E163" s="174"/>
      <c r="F163" s="174"/>
      <c r="G163" s="175"/>
      <c r="H163" s="175"/>
    </row>
    <row r="164" spans="2:8">
      <c r="B164" s="172"/>
      <c r="C164" s="172"/>
      <c r="D164" s="172"/>
      <c r="E164" s="172"/>
      <c r="F164" s="172"/>
      <c r="G164" s="172"/>
      <c r="H164" s="172"/>
    </row>
    <row r="165" spans="2:8">
      <c r="B165" s="174" t="s">
        <v>1309</v>
      </c>
      <c r="C165" s="174"/>
      <c r="D165" s="174"/>
      <c r="E165" s="174"/>
      <c r="F165" s="174"/>
      <c r="G165" s="174"/>
      <c r="H165" s="174"/>
    </row>
    <row r="166" spans="2:8">
      <c r="B166" s="172"/>
      <c r="C166" s="172"/>
      <c r="D166" s="172"/>
      <c r="E166" s="172"/>
      <c r="F166" s="172"/>
      <c r="G166" s="172"/>
      <c r="H166" s="172"/>
    </row>
    <row r="167" spans="2:8">
      <c r="B167" s="172"/>
      <c r="C167" s="172"/>
      <c r="D167" s="172"/>
      <c r="E167" s="172"/>
      <c r="F167" s="172"/>
      <c r="G167" s="172"/>
      <c r="H167" s="172"/>
    </row>
    <row r="168" spans="2:8" ht="13.5" thickBot="1">
      <c r="B168" s="172"/>
      <c r="C168" s="172"/>
      <c r="D168" s="176" t="s">
        <v>4</v>
      </c>
      <c r="E168" s="176" t="s">
        <v>5</v>
      </c>
      <c r="F168" s="176" t="s">
        <v>6</v>
      </c>
      <c r="G168" s="176" t="s">
        <v>7</v>
      </c>
      <c r="H168" s="176" t="s">
        <v>8</v>
      </c>
    </row>
    <row r="169" spans="2:8" ht="51">
      <c r="B169" s="177" t="s">
        <v>0</v>
      </c>
      <c r="C169" s="177" t="s">
        <v>1</v>
      </c>
      <c r="D169" s="178" t="str">
        <f>D88</f>
        <v>Projected 30-year U.S. Treasury bond yield (2021 - 2025)</v>
      </c>
      <c r="E169" s="179" t="s">
        <v>1311</v>
      </c>
      <c r="F169" s="179" t="s">
        <v>1312</v>
      </c>
      <c r="G169" s="179" t="s">
        <v>1313</v>
      </c>
      <c r="H169" s="180" t="s">
        <v>1314</v>
      </c>
    </row>
    <row r="170" spans="2:8">
      <c r="B170" s="193" t="str">
        <f>B130</f>
        <v>ALLETE, Inc.</v>
      </c>
      <c r="C170" s="193" t="str">
        <f>C130</f>
        <v>ALE</v>
      </c>
      <c r="D170" s="196">
        <f t="shared" ref="D170:D176" si="19">D49</f>
        <v>2.3199999999999998E-2</v>
      </c>
      <c r="E170" s="182">
        <f>E130</f>
        <v>0.70205567462437013</v>
      </c>
      <c r="F170" s="194">
        <f>F130</f>
        <v>0.13830891955751043</v>
      </c>
      <c r="G170" s="184">
        <f t="shared" ref="G170:G192" si="20">F170-D170</f>
        <v>0.11510891955751043</v>
      </c>
      <c r="H170" s="185">
        <f>IFERROR(G170*E170+D170, "")</f>
        <v>0.10401287017523034</v>
      </c>
    </row>
    <row r="171" spans="2:8">
      <c r="B171" s="193" t="str">
        <f t="shared" ref="B171:C192" si="21">B131</f>
        <v>Alliant Energy Corporation</v>
      </c>
      <c r="C171" s="193" t="str">
        <f t="shared" si="21"/>
        <v>LNT</v>
      </c>
      <c r="D171" s="196">
        <f t="shared" si="19"/>
        <v>2.3199999999999998E-2</v>
      </c>
      <c r="E171" s="182">
        <f t="shared" ref="E171:E192" si="22">E131</f>
        <v>0.69388302902011856</v>
      </c>
      <c r="F171" s="194">
        <f t="shared" ref="F171:F192" si="23">F131</f>
        <v>0.13830891955751043</v>
      </c>
      <c r="G171" s="184">
        <f t="shared" si="20"/>
        <v>0.11510891955751043</v>
      </c>
      <c r="H171" s="185">
        <f t="shared" ref="H171:H192" si="24">IFERROR(G171*E171+D171, "")</f>
        <v>0.1030721257697985</v>
      </c>
    </row>
    <row r="172" spans="2:8">
      <c r="B172" s="193" t="str">
        <f t="shared" si="21"/>
        <v>Ameren Corporation</v>
      </c>
      <c r="C172" s="193" t="str">
        <f t="shared" si="21"/>
        <v>AEE</v>
      </c>
      <c r="D172" s="196">
        <f t="shared" si="19"/>
        <v>2.3199999999999998E-2</v>
      </c>
      <c r="E172" s="182">
        <f t="shared" si="22"/>
        <v>0.65188414695356778</v>
      </c>
      <c r="F172" s="194">
        <f t="shared" si="23"/>
        <v>0.13830891955751043</v>
      </c>
      <c r="G172" s="184">
        <f t="shared" si="20"/>
        <v>0.11510891955751043</v>
      </c>
      <c r="H172" s="185">
        <f t="shared" si="24"/>
        <v>9.823767983249454E-2</v>
      </c>
    </row>
    <row r="173" spans="2:8">
      <c r="B173" s="193" t="str">
        <f t="shared" si="21"/>
        <v>American Electric Power Company, Inc.</v>
      </c>
      <c r="C173" s="193" t="str">
        <f t="shared" si="21"/>
        <v>AEP</v>
      </c>
      <c r="D173" s="196">
        <f t="shared" si="19"/>
        <v>2.3199999999999998E-2</v>
      </c>
      <c r="E173" s="182">
        <f t="shared" si="22"/>
        <v>0.63100535046058071</v>
      </c>
      <c r="F173" s="194">
        <f t="shared" si="23"/>
        <v>0.13830891955751043</v>
      </c>
      <c r="G173" s="184">
        <f t="shared" si="20"/>
        <v>0.11510891955751043</v>
      </c>
      <c r="H173" s="185">
        <f t="shared" si="24"/>
        <v>9.5834344126525667E-2</v>
      </c>
    </row>
    <row r="174" spans="2:8">
      <c r="B174" s="193" t="str">
        <f t="shared" si="21"/>
        <v>Avista Corporation</v>
      </c>
      <c r="C174" s="193" t="str">
        <f t="shared" si="21"/>
        <v>AVA</v>
      </c>
      <c r="D174" s="196">
        <f t="shared" si="19"/>
        <v>2.3199999999999998E-2</v>
      </c>
      <c r="E174" s="182">
        <f t="shared" si="22"/>
        <v>0.70337463442464276</v>
      </c>
      <c r="F174" s="194">
        <f t="shared" si="23"/>
        <v>0.13830891955751043</v>
      </c>
      <c r="G174" s="184">
        <f t="shared" si="20"/>
        <v>0.11510891955751043</v>
      </c>
      <c r="H174" s="185">
        <f t="shared" si="24"/>
        <v>0.1041646942127795</v>
      </c>
    </row>
    <row r="175" spans="2:8">
      <c r="B175" s="193" t="str">
        <f t="shared" si="21"/>
        <v>CenterPoint Energy, Inc.</v>
      </c>
      <c r="C175" s="193" t="str">
        <f t="shared" si="21"/>
        <v>CNP</v>
      </c>
      <c r="D175" s="196">
        <f t="shared" si="19"/>
        <v>2.3199999999999998E-2</v>
      </c>
      <c r="E175" s="182">
        <f t="shared" si="22"/>
        <v>0.72859689376478332</v>
      </c>
      <c r="F175" s="194">
        <f t="shared" si="23"/>
        <v>0.13830891955751043</v>
      </c>
      <c r="G175" s="184">
        <f t="shared" si="20"/>
        <v>0.11510891955751043</v>
      </c>
      <c r="H175" s="185">
        <f t="shared" si="24"/>
        <v>0.10706800123422242</v>
      </c>
    </row>
    <row r="176" spans="2:8">
      <c r="B176" s="193" t="str">
        <f t="shared" si="21"/>
        <v>CMS Energy Corporation</v>
      </c>
      <c r="C176" s="193" t="str">
        <f t="shared" si="21"/>
        <v>CMS</v>
      </c>
      <c r="D176" s="196">
        <f t="shared" si="19"/>
        <v>2.3199999999999998E-2</v>
      </c>
      <c r="E176" s="182">
        <f t="shared" si="22"/>
        <v>0.6501323471848105</v>
      </c>
      <c r="F176" s="194">
        <f t="shared" si="23"/>
        <v>0.13830891955751043</v>
      </c>
      <c r="G176" s="184">
        <f t="shared" si="20"/>
        <v>0.11510891955751043</v>
      </c>
      <c r="H176" s="185">
        <f t="shared" si="24"/>
        <v>9.8036032053831795E-2</v>
      </c>
    </row>
    <row r="177" spans="2:8">
      <c r="B177" s="193" t="str">
        <f t="shared" si="21"/>
        <v>Dominion Resources, Inc.</v>
      </c>
      <c r="C177" s="193" t="str">
        <f t="shared" si="21"/>
        <v>D</v>
      </c>
      <c r="D177" s="196">
        <f t="shared" ref="D177:D192" si="25">D56</f>
        <v>2.3199999999999998E-2</v>
      </c>
      <c r="E177" s="182">
        <f t="shared" si="22"/>
        <v>0.60308309728320153</v>
      </c>
      <c r="F177" s="194">
        <f t="shared" si="23"/>
        <v>0.13830891955751043</v>
      </c>
      <c r="G177" s="184">
        <f t="shared" si="20"/>
        <v>0.11510891955751043</v>
      </c>
      <c r="H177" s="185">
        <f t="shared" si="24"/>
        <v>9.2620243731666274E-2</v>
      </c>
    </row>
    <row r="178" spans="2:8">
      <c r="B178" s="193" t="str">
        <f t="shared" si="21"/>
        <v>DTE Energy Company</v>
      </c>
      <c r="C178" s="193" t="str">
        <f t="shared" si="21"/>
        <v>DTE</v>
      </c>
      <c r="D178" s="196">
        <f t="shared" si="25"/>
        <v>2.3199999999999998E-2</v>
      </c>
      <c r="E178" s="182">
        <f t="shared" si="22"/>
        <v>0.66479636248361407</v>
      </c>
      <c r="F178" s="194">
        <f t="shared" si="23"/>
        <v>0.13830891955751043</v>
      </c>
      <c r="G178" s="184">
        <f t="shared" si="20"/>
        <v>0.11510891955751043</v>
      </c>
      <c r="H178" s="185">
        <f t="shared" si="24"/>
        <v>9.9723991011251872E-2</v>
      </c>
    </row>
    <row r="179" spans="2:8">
      <c r="B179" s="193" t="str">
        <f t="shared" si="21"/>
        <v>Duke Energy Corporation</v>
      </c>
      <c r="C179" s="193" t="str">
        <f t="shared" si="21"/>
        <v>DUK</v>
      </c>
      <c r="D179" s="196">
        <f t="shared" si="25"/>
        <v>2.3199999999999998E-2</v>
      </c>
      <c r="E179" s="182">
        <f t="shared" si="22"/>
        <v>0.53373287284546755</v>
      </c>
      <c r="F179" s="194">
        <f t="shared" si="23"/>
        <v>0.13830891955751043</v>
      </c>
      <c r="G179" s="184">
        <f t="shared" si="20"/>
        <v>0.11510891955751043</v>
      </c>
      <c r="H179" s="185">
        <f t="shared" si="24"/>
        <v>8.4637414325567872E-2</v>
      </c>
    </row>
    <row r="180" spans="2:8">
      <c r="B180" s="193" t="str">
        <f t="shared" si="21"/>
        <v>Entergy Corporation</v>
      </c>
      <c r="C180" s="193" t="str">
        <f t="shared" si="21"/>
        <v>ETR</v>
      </c>
      <c r="D180" s="196">
        <f t="shared" si="25"/>
        <v>2.3199999999999998E-2</v>
      </c>
      <c r="E180" s="182">
        <f t="shared" si="22"/>
        <v>0.64698162863294539</v>
      </c>
      <c r="F180" s="194">
        <f t="shared" si="23"/>
        <v>0.13830891955751043</v>
      </c>
      <c r="G180" s="184">
        <f t="shared" si="20"/>
        <v>0.11510891955751043</v>
      </c>
      <c r="H180" s="185">
        <f t="shared" si="24"/>
        <v>9.7673356245496792E-2</v>
      </c>
    </row>
    <row r="181" spans="2:8">
      <c r="B181" s="193" t="str">
        <f t="shared" si="21"/>
        <v xml:space="preserve">Evergy, Inc. </v>
      </c>
      <c r="C181" s="193" t="str">
        <f t="shared" si="21"/>
        <v>EVRG</v>
      </c>
      <c r="D181" s="196">
        <f t="shared" si="25"/>
        <v>2.3199999999999998E-2</v>
      </c>
      <c r="E181" s="182">
        <f t="shared" si="22"/>
        <v>0.63271739036222052</v>
      </c>
      <c r="F181" s="194">
        <f t="shared" si="23"/>
        <v>0.13830891955751043</v>
      </c>
      <c r="G181" s="184">
        <f t="shared" si="20"/>
        <v>0.11510891955751043</v>
      </c>
      <c r="H181" s="185">
        <f t="shared" si="24"/>
        <v>9.6031415189842761E-2</v>
      </c>
    </row>
    <row r="182" spans="2:8">
      <c r="B182" s="193" t="str">
        <f t="shared" si="21"/>
        <v>FirstEnergy Corporation</v>
      </c>
      <c r="C182" s="193" t="str">
        <f t="shared" si="21"/>
        <v>FE</v>
      </c>
      <c r="D182" s="196">
        <f t="shared" si="25"/>
        <v>2.3199999999999998E-2</v>
      </c>
      <c r="E182" s="182">
        <f t="shared" si="22"/>
        <v>0.68172052271488082</v>
      </c>
      <c r="F182" s="194">
        <f t="shared" si="23"/>
        <v>0.13830891955751043</v>
      </c>
      <c r="G182" s="184">
        <f t="shared" si="20"/>
        <v>0.11510891955751043</v>
      </c>
      <c r="H182" s="185">
        <f t="shared" si="24"/>
        <v>0.10167211280989118</v>
      </c>
    </row>
    <row r="183" spans="2:8">
      <c r="B183" s="193" t="str">
        <f t="shared" si="21"/>
        <v>IDACORP, Inc.</v>
      </c>
      <c r="C183" s="193" t="str">
        <f t="shared" si="21"/>
        <v>IDA</v>
      </c>
      <c r="D183" s="196">
        <f t="shared" si="25"/>
        <v>2.3199999999999998E-2</v>
      </c>
      <c r="E183" s="182">
        <f t="shared" si="22"/>
        <v>0.7314223961323828</v>
      </c>
      <c r="F183" s="194">
        <f t="shared" si="23"/>
        <v>0.13830891955751043</v>
      </c>
      <c r="G183" s="184">
        <f t="shared" si="20"/>
        <v>0.11510891955751043</v>
      </c>
      <c r="H183" s="185">
        <f t="shared" si="24"/>
        <v>0.10739324175896398</v>
      </c>
    </row>
    <row r="184" spans="2:8">
      <c r="B184" s="193" t="str">
        <f t="shared" si="21"/>
        <v>NextEra Energy, Inc.</v>
      </c>
      <c r="C184" s="193" t="str">
        <f t="shared" si="21"/>
        <v>NEE</v>
      </c>
      <c r="D184" s="196">
        <f t="shared" si="25"/>
        <v>2.3199999999999998E-2</v>
      </c>
      <c r="E184" s="182">
        <f t="shared" si="22"/>
        <v>0.64329450305452873</v>
      </c>
      <c r="F184" s="194">
        <f t="shared" si="23"/>
        <v>0.13830891955751043</v>
      </c>
      <c r="G184" s="184">
        <f t="shared" si="20"/>
        <v>0.11510891955751043</v>
      </c>
      <c r="H184" s="185">
        <f t="shared" si="24"/>
        <v>9.7248935203892398E-2</v>
      </c>
    </row>
    <row r="185" spans="2:8">
      <c r="B185" s="193" t="str">
        <f t="shared" si="21"/>
        <v>NorthWestern Corporation</v>
      </c>
      <c r="C185" s="193" t="str">
        <f t="shared" si="21"/>
        <v>NWE</v>
      </c>
      <c r="D185" s="196">
        <f t="shared" si="25"/>
        <v>2.3199999999999998E-2</v>
      </c>
      <c r="E185" s="182">
        <f t="shared" si="22"/>
        <v>0.70336413982981782</v>
      </c>
      <c r="F185" s="194">
        <f t="shared" si="23"/>
        <v>0.13830891955751043</v>
      </c>
      <c r="G185" s="184">
        <f t="shared" si="20"/>
        <v>0.11510891955751043</v>
      </c>
      <c r="H185" s="185">
        <f t="shared" si="24"/>
        <v>0.10416348619130801</v>
      </c>
    </row>
    <row r="186" spans="2:8">
      <c r="B186" s="193" t="str">
        <f t="shared" si="21"/>
        <v>OGE Energy Corporation</v>
      </c>
      <c r="C186" s="193" t="str">
        <f t="shared" si="21"/>
        <v>OGE</v>
      </c>
      <c r="D186" s="196">
        <f t="shared" si="25"/>
        <v>2.3199999999999998E-2</v>
      </c>
      <c r="E186" s="182">
        <f t="shared" si="22"/>
        <v>0.74229104023963466</v>
      </c>
      <c r="F186" s="194">
        <f t="shared" si="23"/>
        <v>0.13830891955751043</v>
      </c>
      <c r="G186" s="184">
        <f t="shared" si="20"/>
        <v>0.11510891955751043</v>
      </c>
      <c r="H186" s="185">
        <f t="shared" si="24"/>
        <v>0.10864431963920484</v>
      </c>
    </row>
    <row r="187" spans="2:8">
      <c r="B187" s="193" t="str">
        <f t="shared" si="21"/>
        <v>Pinnacle West Capital Corporation</v>
      </c>
      <c r="C187" s="193" t="str">
        <f t="shared" si="21"/>
        <v>PNW</v>
      </c>
      <c r="D187" s="196">
        <f t="shared" si="25"/>
        <v>2.3199999999999998E-2</v>
      </c>
      <c r="E187" s="182">
        <f t="shared" si="22"/>
        <v>0.66239464673060888</v>
      </c>
      <c r="F187" s="194">
        <f t="shared" si="23"/>
        <v>0.13830891955751043</v>
      </c>
      <c r="G187" s="184">
        <f t="shared" si="20"/>
        <v>0.11510891955751043</v>
      </c>
      <c r="H187" s="185">
        <f t="shared" si="24"/>
        <v>9.944753210583919E-2</v>
      </c>
    </row>
    <row r="188" spans="2:8">
      <c r="B188" s="193" t="str">
        <f t="shared" si="21"/>
        <v>PNM Resources, Inc.</v>
      </c>
      <c r="C188" s="193" t="str">
        <f t="shared" si="21"/>
        <v>PNM</v>
      </c>
      <c r="D188" s="196">
        <f t="shared" si="25"/>
        <v>2.3199999999999998E-2</v>
      </c>
      <c r="E188" s="182">
        <f t="shared" si="22"/>
        <v>0.75010181072913529</v>
      </c>
      <c r="F188" s="194">
        <f t="shared" si="23"/>
        <v>0.13830891955751043</v>
      </c>
      <c r="G188" s="184">
        <f t="shared" si="20"/>
        <v>0.11510891955751043</v>
      </c>
      <c r="H188" s="185">
        <f t="shared" si="24"/>
        <v>0.10954340899116295</v>
      </c>
    </row>
    <row r="189" spans="2:8">
      <c r="B189" s="193" t="str">
        <f t="shared" si="21"/>
        <v>Portland General Electric Company</v>
      </c>
      <c r="C189" s="193" t="str">
        <f t="shared" si="21"/>
        <v>POR</v>
      </c>
      <c r="D189" s="196">
        <f t="shared" si="25"/>
        <v>2.3199999999999998E-2</v>
      </c>
      <c r="E189" s="182">
        <f t="shared" si="22"/>
        <v>0.67598641501126266</v>
      </c>
      <c r="F189" s="194">
        <f t="shared" si="23"/>
        <v>0.13830891955751043</v>
      </c>
      <c r="G189" s="184">
        <f t="shared" si="20"/>
        <v>0.11510891955751043</v>
      </c>
      <c r="H189" s="185">
        <f t="shared" si="24"/>
        <v>0.10101206586750129</v>
      </c>
    </row>
    <row r="190" spans="2:8">
      <c r="B190" s="193" t="str">
        <f t="shared" si="21"/>
        <v>PPL Corporation</v>
      </c>
      <c r="C190" s="193" t="str">
        <f t="shared" si="21"/>
        <v>PPL</v>
      </c>
      <c r="D190" s="196">
        <f t="shared" si="25"/>
        <v>2.3199999999999998E-2</v>
      </c>
      <c r="E190" s="182">
        <f t="shared" si="22"/>
        <v>0.62999230648666282</v>
      </c>
      <c r="F190" s="194">
        <f t="shared" si="23"/>
        <v>0.13830891955751043</v>
      </c>
      <c r="G190" s="184">
        <f t="shared" si="20"/>
        <v>0.11510891955751043</v>
      </c>
      <c r="H190" s="185">
        <f t="shared" si="24"/>
        <v>9.5717733729223722E-2</v>
      </c>
    </row>
    <row r="191" spans="2:8">
      <c r="B191" s="193" t="str">
        <f t="shared" si="21"/>
        <v>Southern Company</v>
      </c>
      <c r="C191" s="193" t="str">
        <f t="shared" si="21"/>
        <v>SO</v>
      </c>
      <c r="D191" s="196">
        <f t="shared" si="25"/>
        <v>2.3199999999999998E-2</v>
      </c>
      <c r="E191" s="182">
        <f t="shared" si="22"/>
        <v>0.53087969562978254</v>
      </c>
      <c r="F191" s="194">
        <f t="shared" si="23"/>
        <v>0.13830891955751043</v>
      </c>
      <c r="G191" s="184">
        <f t="shared" si="20"/>
        <v>0.11510891955751043</v>
      </c>
      <c r="H191" s="185">
        <f t="shared" si="24"/>
        <v>8.4308988178964261E-2</v>
      </c>
    </row>
    <row r="192" spans="2:8">
      <c r="B192" s="193" t="str">
        <f t="shared" si="21"/>
        <v>Xcel Energy Inc.</v>
      </c>
      <c r="C192" s="193" t="str">
        <f t="shared" si="21"/>
        <v>XEL</v>
      </c>
      <c r="D192" s="196">
        <f t="shared" si="25"/>
        <v>2.3199999999999998E-2</v>
      </c>
      <c r="E192" s="182">
        <f t="shared" si="22"/>
        <v>0.57927780876949897</v>
      </c>
      <c r="F192" s="194">
        <f t="shared" si="23"/>
        <v>0.13830891955751043</v>
      </c>
      <c r="G192" s="184">
        <f t="shared" si="20"/>
        <v>0.11510891955751043</v>
      </c>
      <c r="H192" s="185">
        <f t="shared" si="24"/>
        <v>8.9880042691099171E-2</v>
      </c>
    </row>
    <row r="193" spans="2:8" ht="13.5" thickBot="1">
      <c r="B193" s="186" t="s">
        <v>1258</v>
      </c>
      <c r="C193" s="186"/>
      <c r="D193" s="186"/>
      <c r="E193" s="186"/>
      <c r="F193" s="187"/>
      <c r="G193" s="187"/>
      <c r="H193" s="187">
        <f>AVERAGEIF(H170:H192, "&gt;0")</f>
        <v>9.9136697177206898E-2</v>
      </c>
    </row>
    <row r="194" spans="2:8">
      <c r="B194" s="189"/>
      <c r="C194" s="172"/>
      <c r="D194" s="172"/>
      <c r="E194" s="172"/>
      <c r="F194" s="190"/>
      <c r="G194" s="190"/>
      <c r="H194" s="190"/>
    </row>
    <row r="195" spans="2:8">
      <c r="B195" s="191" t="s">
        <v>23</v>
      </c>
      <c r="C195" s="172"/>
      <c r="D195" s="172"/>
      <c r="E195" s="172"/>
      <c r="F195" s="172"/>
      <c r="G195" s="172"/>
      <c r="H195" s="172"/>
    </row>
    <row r="196" spans="2:8">
      <c r="B196" s="172" t="str">
        <f>B75</f>
        <v>[1] Source: Blue Chip Financial Forecasts, Vol. 38, No. 10, October 1, 2019, at 2</v>
      </c>
      <c r="C196" s="172"/>
      <c r="D196" s="172"/>
      <c r="E196" s="172"/>
      <c r="F196" s="172"/>
      <c r="G196" s="172"/>
      <c r="H196" s="172"/>
    </row>
    <row r="197" spans="2:8">
      <c r="B197" s="172" t="s">
        <v>1297</v>
      </c>
      <c r="C197" s="172"/>
      <c r="D197" s="172"/>
      <c r="E197" s="172"/>
      <c r="F197" s="172"/>
      <c r="G197" s="172"/>
      <c r="H197" s="172"/>
    </row>
    <row r="198" spans="2:8">
      <c r="B198" s="192" t="s">
        <v>1546</v>
      </c>
      <c r="C198" s="172"/>
      <c r="D198" s="172"/>
      <c r="E198" s="172"/>
      <c r="F198" s="172"/>
      <c r="G198" s="172"/>
      <c r="H198" s="172"/>
    </row>
    <row r="199" spans="2:8">
      <c r="B199" s="172" t="s">
        <v>1315</v>
      </c>
      <c r="C199" s="172"/>
      <c r="D199" s="172"/>
      <c r="E199" s="172"/>
      <c r="F199" s="172"/>
      <c r="G199" s="172"/>
      <c r="H199" s="172"/>
    </row>
    <row r="200" spans="2:8">
      <c r="B200" s="172" t="s">
        <v>1316</v>
      </c>
      <c r="C200" s="172"/>
      <c r="D200" s="172"/>
      <c r="E200" s="172"/>
      <c r="F200" s="172"/>
      <c r="G200" s="172"/>
      <c r="H200" s="172"/>
    </row>
    <row r="201" spans="2:8">
      <c r="B201" s="172"/>
      <c r="C201" s="172"/>
      <c r="D201" s="172"/>
      <c r="E201" s="172"/>
      <c r="F201" s="172"/>
      <c r="G201" s="172"/>
      <c r="H201" s="172"/>
    </row>
    <row r="202" spans="2:8">
      <c r="B202" s="172"/>
      <c r="C202" s="172"/>
      <c r="D202" s="172"/>
      <c r="E202" s="172"/>
      <c r="F202" s="172"/>
      <c r="G202" s="172"/>
      <c r="H202" s="172"/>
    </row>
    <row r="203" spans="2:8">
      <c r="B203" s="173" t="s">
        <v>1324</v>
      </c>
      <c r="C203" s="174"/>
      <c r="D203" s="174"/>
      <c r="E203" s="174"/>
      <c r="F203" s="174"/>
      <c r="G203" s="175"/>
      <c r="H203" s="175"/>
    </row>
    <row r="204" spans="2:8">
      <c r="B204" s="172"/>
      <c r="C204" s="172"/>
      <c r="D204" s="172"/>
      <c r="E204" s="172"/>
      <c r="F204" s="172"/>
      <c r="G204" s="172"/>
      <c r="H204" s="172"/>
    </row>
    <row r="205" spans="2:8">
      <c r="B205" s="174" t="s">
        <v>1309</v>
      </c>
      <c r="C205" s="174"/>
      <c r="D205" s="174"/>
      <c r="E205" s="174"/>
      <c r="F205" s="174"/>
      <c r="G205" s="174"/>
      <c r="H205" s="174"/>
    </row>
    <row r="206" spans="2:8">
      <c r="B206" s="172"/>
      <c r="C206" s="172"/>
      <c r="D206" s="172"/>
      <c r="E206" s="172"/>
      <c r="F206" s="172"/>
      <c r="G206" s="172"/>
      <c r="H206" s="172"/>
    </row>
    <row r="207" spans="2:8">
      <c r="B207" s="172"/>
      <c r="C207" s="172"/>
      <c r="D207" s="172"/>
      <c r="E207" s="172"/>
      <c r="F207" s="172"/>
      <c r="G207" s="172"/>
      <c r="H207" s="172"/>
    </row>
    <row r="208" spans="2:8" ht="13.5" thickBot="1">
      <c r="B208" s="172"/>
      <c r="C208" s="172"/>
      <c r="D208" s="176" t="s">
        <v>4</v>
      </c>
      <c r="E208" s="176" t="s">
        <v>5</v>
      </c>
      <c r="F208" s="176" t="s">
        <v>6</v>
      </c>
      <c r="G208" s="176" t="s">
        <v>7</v>
      </c>
      <c r="H208" s="176" t="s">
        <v>8</v>
      </c>
    </row>
    <row r="209" spans="2:8" ht="51">
      <c r="B209" s="177" t="s">
        <v>0</v>
      </c>
      <c r="C209" s="177" t="s">
        <v>1</v>
      </c>
      <c r="D209" s="178" t="str">
        <f>D88</f>
        <v>Projected 30-year U.S. Treasury bond yield (2021 - 2025)</v>
      </c>
      <c r="E209" s="179" t="s">
        <v>1311</v>
      </c>
      <c r="F209" s="179" t="s">
        <v>1312</v>
      </c>
      <c r="G209" s="179" t="s">
        <v>1313</v>
      </c>
      <c r="H209" s="180" t="s">
        <v>1314</v>
      </c>
    </row>
    <row r="210" spans="2:8">
      <c r="B210" s="193" t="str">
        <f>B170</f>
        <v>ALLETE, Inc.</v>
      </c>
      <c r="C210" s="193" t="str">
        <f>C170</f>
        <v>ALE</v>
      </c>
      <c r="D210" s="71">
        <f>D89</f>
        <v>3.5999999999999997E-2</v>
      </c>
      <c r="E210" s="182">
        <f>E170</f>
        <v>0.70205567462437013</v>
      </c>
      <c r="F210" s="194">
        <f>F170</f>
        <v>0.13830891955751043</v>
      </c>
      <c r="G210" s="184">
        <f t="shared" ref="G210:G232" si="26">F210-D210</f>
        <v>0.10230891955751042</v>
      </c>
      <c r="H210" s="185">
        <f>IFERROR(G210*E210+D210, "")</f>
        <v>0.10782655754003839</v>
      </c>
    </row>
    <row r="211" spans="2:8">
      <c r="B211" s="193" t="str">
        <f t="shared" ref="B211:C232" si="27">B171</f>
        <v>Alliant Energy Corporation</v>
      </c>
      <c r="C211" s="193" t="str">
        <f t="shared" si="27"/>
        <v>LNT</v>
      </c>
      <c r="D211" s="71">
        <f t="shared" ref="D211:D232" si="28">D90</f>
        <v>3.5999999999999997E-2</v>
      </c>
      <c r="E211" s="182">
        <f t="shared" ref="E211:F232" si="29">E171</f>
        <v>0.69388302902011856</v>
      </c>
      <c r="F211" s="194">
        <f t="shared" si="29"/>
        <v>0.13830891955751043</v>
      </c>
      <c r="G211" s="184">
        <f t="shared" si="26"/>
        <v>0.10230891955751042</v>
      </c>
      <c r="H211" s="185">
        <f t="shared" ref="H211:H232" si="30">IFERROR(G211*E211+D211, "")</f>
        <v>0.10699042299834097</v>
      </c>
    </row>
    <row r="212" spans="2:8">
      <c r="B212" s="193" t="str">
        <f t="shared" si="27"/>
        <v>Ameren Corporation</v>
      </c>
      <c r="C212" s="193" t="str">
        <f t="shared" si="27"/>
        <v>AEE</v>
      </c>
      <c r="D212" s="71">
        <f t="shared" si="28"/>
        <v>3.5999999999999997E-2</v>
      </c>
      <c r="E212" s="182">
        <f t="shared" si="29"/>
        <v>0.65188414695356778</v>
      </c>
      <c r="F212" s="194">
        <f t="shared" si="29"/>
        <v>0.13830891955751043</v>
      </c>
      <c r="G212" s="184">
        <f t="shared" si="26"/>
        <v>0.10230891955751042</v>
      </c>
      <c r="H212" s="185">
        <f t="shared" si="30"/>
        <v>0.10269356275148886</v>
      </c>
    </row>
    <row r="213" spans="2:8">
      <c r="B213" s="193" t="str">
        <f t="shared" si="27"/>
        <v>American Electric Power Company, Inc.</v>
      </c>
      <c r="C213" s="193" t="str">
        <f t="shared" si="27"/>
        <v>AEP</v>
      </c>
      <c r="D213" s="71">
        <f t="shared" si="28"/>
        <v>3.5999999999999997E-2</v>
      </c>
      <c r="E213" s="182">
        <f t="shared" si="29"/>
        <v>0.63100535046058071</v>
      </c>
      <c r="F213" s="194">
        <f t="shared" si="29"/>
        <v>0.13830891955751043</v>
      </c>
      <c r="G213" s="184">
        <f t="shared" si="26"/>
        <v>0.10230891955751042</v>
      </c>
      <c r="H213" s="185">
        <f t="shared" si="30"/>
        <v>0.10055747564063022</v>
      </c>
    </row>
    <row r="214" spans="2:8">
      <c r="B214" s="193" t="str">
        <f t="shared" si="27"/>
        <v>Avista Corporation</v>
      </c>
      <c r="C214" s="193" t="str">
        <f t="shared" si="27"/>
        <v>AVA</v>
      </c>
      <c r="D214" s="71">
        <f t="shared" si="28"/>
        <v>3.5999999999999997E-2</v>
      </c>
      <c r="E214" s="182">
        <f t="shared" si="29"/>
        <v>0.70337463442464276</v>
      </c>
      <c r="F214" s="194">
        <f t="shared" si="29"/>
        <v>0.13830891955751043</v>
      </c>
      <c r="G214" s="184">
        <f t="shared" si="26"/>
        <v>0.10230891955751042</v>
      </c>
      <c r="H214" s="185">
        <f t="shared" si="30"/>
        <v>0.10796149889214407</v>
      </c>
    </row>
    <row r="215" spans="2:8">
      <c r="B215" s="193" t="str">
        <f t="shared" si="27"/>
        <v>CenterPoint Energy, Inc.</v>
      </c>
      <c r="C215" s="193" t="str">
        <f t="shared" si="27"/>
        <v>CNP</v>
      </c>
      <c r="D215" s="71">
        <f t="shared" si="28"/>
        <v>3.5999999999999997E-2</v>
      </c>
      <c r="E215" s="182">
        <f t="shared" si="29"/>
        <v>0.72859689376478332</v>
      </c>
      <c r="F215" s="194">
        <f t="shared" si="29"/>
        <v>0.13830891955751043</v>
      </c>
      <c r="G215" s="184">
        <f t="shared" si="26"/>
        <v>0.10230891955751042</v>
      </c>
      <c r="H215" s="185">
        <f t="shared" si="30"/>
        <v>0.11054196099403318</v>
      </c>
    </row>
    <row r="216" spans="2:8">
      <c r="B216" s="193" t="str">
        <f t="shared" si="27"/>
        <v>CMS Energy Corporation</v>
      </c>
      <c r="C216" s="193" t="str">
        <f t="shared" si="27"/>
        <v>CMS</v>
      </c>
      <c r="D216" s="71">
        <f t="shared" si="28"/>
        <v>3.5999999999999997E-2</v>
      </c>
      <c r="E216" s="182">
        <f t="shared" si="29"/>
        <v>0.6501323471848105</v>
      </c>
      <c r="F216" s="194">
        <f t="shared" si="29"/>
        <v>0.13830891955751043</v>
      </c>
      <c r="G216" s="184">
        <f t="shared" si="26"/>
        <v>0.10230891955751042</v>
      </c>
      <c r="H216" s="185">
        <f t="shared" si="30"/>
        <v>0.1025143380098662</v>
      </c>
    </row>
    <row r="217" spans="2:8">
      <c r="B217" s="193" t="str">
        <f t="shared" si="27"/>
        <v>Dominion Resources, Inc.</v>
      </c>
      <c r="C217" s="193" t="str">
        <f t="shared" si="27"/>
        <v>D</v>
      </c>
      <c r="D217" s="71">
        <f t="shared" si="28"/>
        <v>3.5999999999999997E-2</v>
      </c>
      <c r="E217" s="182">
        <f t="shared" si="29"/>
        <v>0.60308309728320153</v>
      </c>
      <c r="F217" s="194">
        <f t="shared" si="29"/>
        <v>0.13830891955751043</v>
      </c>
      <c r="G217" s="184">
        <f t="shared" si="26"/>
        <v>0.10230891955751042</v>
      </c>
      <c r="H217" s="185">
        <f t="shared" si="30"/>
        <v>9.77007800864413E-2</v>
      </c>
    </row>
    <row r="218" spans="2:8">
      <c r="B218" s="193" t="str">
        <f t="shared" si="27"/>
        <v>DTE Energy Company</v>
      </c>
      <c r="C218" s="193" t="str">
        <f t="shared" si="27"/>
        <v>DTE</v>
      </c>
      <c r="D218" s="71">
        <f t="shared" si="28"/>
        <v>3.5999999999999997E-2</v>
      </c>
      <c r="E218" s="182">
        <f t="shared" si="29"/>
        <v>0.66479636248361407</v>
      </c>
      <c r="F218" s="194">
        <f t="shared" ref="F218" si="31">F178</f>
        <v>0.13830891955751043</v>
      </c>
      <c r="G218" s="184">
        <f t="shared" si="26"/>
        <v>0.10230891955751042</v>
      </c>
      <c r="H218" s="185">
        <f t="shared" si="30"/>
        <v>0.10401459757146161</v>
      </c>
    </row>
    <row r="219" spans="2:8">
      <c r="B219" s="193" t="str">
        <f t="shared" si="27"/>
        <v>Duke Energy Corporation</v>
      </c>
      <c r="C219" s="193" t="str">
        <f t="shared" si="27"/>
        <v>DUK</v>
      </c>
      <c r="D219" s="71">
        <f t="shared" si="28"/>
        <v>3.5999999999999997E-2</v>
      </c>
      <c r="E219" s="182">
        <f t="shared" si="29"/>
        <v>0.53373287284546755</v>
      </c>
      <c r="F219" s="194">
        <f t="shared" ref="F219" si="32">F179</f>
        <v>0.13830891955751043</v>
      </c>
      <c r="G219" s="184">
        <f t="shared" si="26"/>
        <v>0.10230891955751042</v>
      </c>
      <c r="H219" s="185">
        <f t="shared" si="30"/>
        <v>9.0605633553145881E-2</v>
      </c>
    </row>
    <row r="220" spans="2:8">
      <c r="B220" s="193" t="str">
        <f t="shared" si="27"/>
        <v>Entergy Corporation</v>
      </c>
      <c r="C220" s="193" t="str">
        <f t="shared" si="27"/>
        <v>ETR</v>
      </c>
      <c r="D220" s="71">
        <f t="shared" si="28"/>
        <v>3.5999999999999997E-2</v>
      </c>
      <c r="E220" s="182">
        <f t="shared" si="29"/>
        <v>0.64698162863294539</v>
      </c>
      <c r="F220" s="194">
        <f t="shared" ref="F220" si="33">F180</f>
        <v>0.13830891955751043</v>
      </c>
      <c r="G220" s="184">
        <f t="shared" si="26"/>
        <v>0.10230891955751042</v>
      </c>
      <c r="H220" s="185">
        <f t="shared" si="30"/>
        <v>0.1021919913989951</v>
      </c>
    </row>
    <row r="221" spans="2:8">
      <c r="B221" s="193" t="str">
        <f t="shared" si="27"/>
        <v xml:space="preserve">Evergy, Inc. </v>
      </c>
      <c r="C221" s="193" t="str">
        <f t="shared" si="27"/>
        <v>EVRG</v>
      </c>
      <c r="D221" s="71">
        <f t="shared" si="28"/>
        <v>3.5999999999999997E-2</v>
      </c>
      <c r="E221" s="182">
        <f t="shared" si="29"/>
        <v>0.63271739036222052</v>
      </c>
      <c r="F221" s="194">
        <f t="shared" ref="F221" si="34">F181</f>
        <v>0.13830891955751043</v>
      </c>
      <c r="G221" s="184">
        <f t="shared" si="26"/>
        <v>0.10230891955751042</v>
      </c>
      <c r="H221" s="185">
        <f t="shared" si="30"/>
        <v>0.10073263259320633</v>
      </c>
    </row>
    <row r="222" spans="2:8">
      <c r="B222" s="193" t="str">
        <f t="shared" si="27"/>
        <v>FirstEnergy Corporation</v>
      </c>
      <c r="C222" s="193" t="str">
        <f t="shared" si="27"/>
        <v>FE</v>
      </c>
      <c r="D222" s="71">
        <f t="shared" si="28"/>
        <v>3.5999999999999997E-2</v>
      </c>
      <c r="E222" s="182">
        <f t="shared" si="29"/>
        <v>0.68172052271488082</v>
      </c>
      <c r="F222" s="194">
        <f t="shared" ref="F222" si="35">F182</f>
        <v>0.13830891955751043</v>
      </c>
      <c r="G222" s="184">
        <f t="shared" si="26"/>
        <v>0.10230891955751042</v>
      </c>
      <c r="H222" s="185">
        <f t="shared" si="30"/>
        <v>0.10574609011914068</v>
      </c>
    </row>
    <row r="223" spans="2:8">
      <c r="B223" s="193" t="str">
        <f t="shared" si="27"/>
        <v>IDACORP, Inc.</v>
      </c>
      <c r="C223" s="193" t="str">
        <f t="shared" si="27"/>
        <v>IDA</v>
      </c>
      <c r="D223" s="71">
        <f t="shared" si="28"/>
        <v>3.5999999999999997E-2</v>
      </c>
      <c r="E223" s="182">
        <f t="shared" si="29"/>
        <v>0.7314223961323828</v>
      </c>
      <c r="F223" s="194">
        <f t="shared" ref="F223:F224" si="36">F183</f>
        <v>0.13830891955751043</v>
      </c>
      <c r="G223" s="184">
        <f t="shared" si="26"/>
        <v>0.10230891955751042</v>
      </c>
      <c r="H223" s="185">
        <f t="shared" si="30"/>
        <v>0.11083103508846948</v>
      </c>
    </row>
    <row r="224" spans="2:8">
      <c r="B224" s="193" t="str">
        <f t="shared" si="27"/>
        <v>NextEra Energy, Inc.</v>
      </c>
      <c r="C224" s="193" t="str">
        <f t="shared" si="27"/>
        <v>NEE</v>
      </c>
      <c r="D224" s="71">
        <f t="shared" si="28"/>
        <v>3.5999999999999997E-2</v>
      </c>
      <c r="E224" s="182">
        <f t="shared" si="29"/>
        <v>0.64329450305452873</v>
      </c>
      <c r="F224" s="194">
        <f t="shared" si="36"/>
        <v>0.13830891955751043</v>
      </c>
      <c r="G224" s="184">
        <f t="shared" si="26"/>
        <v>0.10230891955751042</v>
      </c>
      <c r="H224" s="185">
        <f t="shared" si="30"/>
        <v>0.10181476556479443</v>
      </c>
    </row>
    <row r="225" spans="2:8">
      <c r="B225" s="193" t="str">
        <f t="shared" si="27"/>
        <v>NorthWestern Corporation</v>
      </c>
      <c r="C225" s="193" t="str">
        <f t="shared" si="27"/>
        <v>NWE</v>
      </c>
      <c r="D225" s="71">
        <f t="shared" si="28"/>
        <v>3.5999999999999997E-2</v>
      </c>
      <c r="E225" s="182">
        <f t="shared" si="29"/>
        <v>0.70336413982981782</v>
      </c>
      <c r="F225" s="194">
        <f t="shared" ref="F225" si="37">F185</f>
        <v>0.13830891955751043</v>
      </c>
      <c r="G225" s="184">
        <f t="shared" si="26"/>
        <v>0.10230891955751042</v>
      </c>
      <c r="H225" s="185">
        <f t="shared" si="30"/>
        <v>0.10796042520148635</v>
      </c>
    </row>
    <row r="226" spans="2:8">
      <c r="B226" s="193" t="str">
        <f t="shared" si="27"/>
        <v>OGE Energy Corporation</v>
      </c>
      <c r="C226" s="193" t="str">
        <f t="shared" si="27"/>
        <v>OGE</v>
      </c>
      <c r="D226" s="71">
        <f t="shared" si="28"/>
        <v>3.5999999999999997E-2</v>
      </c>
      <c r="E226" s="182">
        <f t="shared" si="29"/>
        <v>0.74229104023963466</v>
      </c>
      <c r="F226" s="194">
        <f t="shared" ref="F226" si="38">F186</f>
        <v>0.13830891955751043</v>
      </c>
      <c r="G226" s="184">
        <f t="shared" si="26"/>
        <v>0.10230891955751042</v>
      </c>
      <c r="H226" s="185">
        <f t="shared" si="30"/>
        <v>0.11194299432413751</v>
      </c>
    </row>
    <row r="227" spans="2:8">
      <c r="B227" s="193" t="str">
        <f t="shared" si="27"/>
        <v>Pinnacle West Capital Corporation</v>
      </c>
      <c r="C227" s="193" t="str">
        <f t="shared" si="27"/>
        <v>PNW</v>
      </c>
      <c r="D227" s="71">
        <f t="shared" si="28"/>
        <v>3.5999999999999997E-2</v>
      </c>
      <c r="E227" s="182">
        <f t="shared" si="29"/>
        <v>0.66239464673060888</v>
      </c>
      <c r="F227" s="194">
        <f t="shared" ref="F227" si="39">F187</f>
        <v>0.13830891955751043</v>
      </c>
      <c r="G227" s="184">
        <f t="shared" si="26"/>
        <v>0.10230891955751042</v>
      </c>
      <c r="H227" s="185">
        <f t="shared" si="30"/>
        <v>0.10376888062768741</v>
      </c>
    </row>
    <row r="228" spans="2:8">
      <c r="B228" s="193" t="str">
        <f t="shared" si="27"/>
        <v>PNM Resources, Inc.</v>
      </c>
      <c r="C228" s="193" t="str">
        <f t="shared" si="27"/>
        <v>PNM</v>
      </c>
      <c r="D228" s="71">
        <f t="shared" si="28"/>
        <v>3.5999999999999997E-2</v>
      </c>
      <c r="E228" s="182">
        <f t="shared" si="29"/>
        <v>0.75010181072913529</v>
      </c>
      <c r="F228" s="194">
        <f t="shared" ref="F228" si="40">F188</f>
        <v>0.13830891955751043</v>
      </c>
      <c r="G228" s="184">
        <f t="shared" si="26"/>
        <v>0.10230891955751042</v>
      </c>
      <c r="H228" s="185">
        <f t="shared" si="30"/>
        <v>0.11274210581383001</v>
      </c>
    </row>
    <row r="229" spans="2:8">
      <c r="B229" s="193" t="str">
        <f t="shared" si="27"/>
        <v>Portland General Electric Company</v>
      </c>
      <c r="C229" s="193" t="str">
        <f t="shared" si="27"/>
        <v>POR</v>
      </c>
      <c r="D229" s="71">
        <f t="shared" si="28"/>
        <v>3.5999999999999997E-2</v>
      </c>
      <c r="E229" s="182">
        <f t="shared" si="29"/>
        <v>0.67598641501126266</v>
      </c>
      <c r="F229" s="194">
        <f t="shared" ref="F229" si="41">F189</f>
        <v>0.13830891955751043</v>
      </c>
      <c r="G229" s="184">
        <f t="shared" si="26"/>
        <v>0.10230891955751042</v>
      </c>
      <c r="H229" s="185">
        <f t="shared" si="30"/>
        <v>0.10515943975535713</v>
      </c>
    </row>
    <row r="230" spans="2:8">
      <c r="B230" s="193" t="str">
        <f t="shared" si="27"/>
        <v>PPL Corporation</v>
      </c>
      <c r="C230" s="193" t="str">
        <f t="shared" si="27"/>
        <v>PPL</v>
      </c>
      <c r="D230" s="71">
        <f t="shared" si="28"/>
        <v>3.5999999999999997E-2</v>
      </c>
      <c r="E230" s="182">
        <f t="shared" si="29"/>
        <v>0.62999230648666282</v>
      </c>
      <c r="F230" s="194">
        <f t="shared" ref="F230:F231" si="42">F190</f>
        <v>0.13830891955751043</v>
      </c>
      <c r="G230" s="184">
        <f t="shared" si="26"/>
        <v>0.10230891955751042</v>
      </c>
      <c r="H230" s="185">
        <f t="shared" si="30"/>
        <v>0.10045383220619444</v>
      </c>
    </row>
    <row r="231" spans="2:8">
      <c r="B231" s="193" t="str">
        <f t="shared" si="27"/>
        <v>Southern Company</v>
      </c>
      <c r="C231" s="193" t="str">
        <f t="shared" si="27"/>
        <v>SO</v>
      </c>
      <c r="D231" s="71">
        <f t="shared" si="28"/>
        <v>3.5999999999999997E-2</v>
      </c>
      <c r="E231" s="182">
        <f t="shared" si="29"/>
        <v>0.53087969562978254</v>
      </c>
      <c r="F231" s="194">
        <f t="shared" si="42"/>
        <v>0.13830891955751043</v>
      </c>
      <c r="G231" s="184">
        <f t="shared" si="26"/>
        <v>0.10230891955751042</v>
      </c>
      <c r="H231" s="185">
        <f t="shared" si="30"/>
        <v>9.0313728074903038E-2</v>
      </c>
    </row>
    <row r="232" spans="2:8">
      <c r="B232" s="193" t="str">
        <f t="shared" si="27"/>
        <v>Xcel Energy Inc.</v>
      </c>
      <c r="C232" s="193" t="str">
        <f t="shared" si="27"/>
        <v>XEL</v>
      </c>
      <c r="D232" s="71">
        <f t="shared" si="28"/>
        <v>3.5999999999999997E-2</v>
      </c>
      <c r="E232" s="182">
        <f t="shared" si="29"/>
        <v>0.57927780876949897</v>
      </c>
      <c r="F232" s="194">
        <f t="shared" ref="F232" si="43">F192</f>
        <v>0.13830891955751043</v>
      </c>
      <c r="G232" s="184">
        <f t="shared" si="26"/>
        <v>0.10230891955751042</v>
      </c>
      <c r="H232" s="185">
        <f t="shared" si="30"/>
        <v>9.5265286738849569E-2</v>
      </c>
    </row>
    <row r="233" spans="2:8" ht="13.5" thickBot="1">
      <c r="B233" s="186" t="s">
        <v>1258</v>
      </c>
      <c r="C233" s="186"/>
      <c r="D233" s="186"/>
      <c r="E233" s="186"/>
      <c r="F233" s="187"/>
      <c r="G233" s="187"/>
      <c r="H233" s="187">
        <f>AVERAGEIF(H210:H232, "&gt;0")</f>
        <v>0.10349261024107138</v>
      </c>
    </row>
    <row r="234" spans="2:8">
      <c r="B234" s="189"/>
      <c r="C234" s="172"/>
      <c r="D234" s="172"/>
      <c r="E234" s="172"/>
      <c r="F234" s="190"/>
      <c r="G234" s="190"/>
      <c r="H234" s="190"/>
    </row>
    <row r="235" spans="2:8">
      <c r="B235" s="191" t="s">
        <v>23</v>
      </c>
      <c r="C235" s="172"/>
      <c r="D235" s="172"/>
      <c r="E235" s="172"/>
      <c r="F235" s="172"/>
      <c r="G235" s="172"/>
      <c r="H235" s="172"/>
    </row>
    <row r="236" spans="2:8">
      <c r="B236" s="172" t="str">
        <f>B115</f>
        <v>[1] Source: Blue Chip Financial Forecasts, Vol. 38, No. 6, June 1, 2019, at 14</v>
      </c>
      <c r="C236" s="172"/>
      <c r="D236" s="172"/>
      <c r="E236" s="172"/>
      <c r="F236" s="172"/>
      <c r="G236" s="172"/>
      <c r="H236" s="172"/>
    </row>
    <row r="237" spans="2:8">
      <c r="B237" s="172" t="s">
        <v>1297</v>
      </c>
      <c r="C237" s="172"/>
      <c r="D237" s="172"/>
      <c r="E237" s="172"/>
      <c r="F237" s="172"/>
      <c r="G237" s="172"/>
      <c r="H237" s="172"/>
    </row>
    <row r="238" spans="2:8">
      <c r="B238" s="192" t="s">
        <v>1546</v>
      </c>
      <c r="C238" s="172"/>
      <c r="D238" s="172"/>
      <c r="E238" s="172"/>
      <c r="F238" s="172"/>
      <c r="G238" s="172"/>
      <c r="H238" s="172"/>
    </row>
    <row r="239" spans="2:8">
      <c r="B239" s="172" t="s">
        <v>1315</v>
      </c>
      <c r="C239" s="172"/>
      <c r="D239" s="172"/>
      <c r="E239" s="172"/>
      <c r="F239" s="172"/>
      <c r="G239" s="172"/>
      <c r="H239" s="172"/>
    </row>
    <row r="240" spans="2:8">
      <c r="B240" s="172" t="s">
        <v>1316</v>
      </c>
      <c r="C240" s="172"/>
      <c r="D240" s="172"/>
      <c r="E240" s="172"/>
      <c r="F240" s="172"/>
      <c r="G240" s="172"/>
      <c r="H240" s="172"/>
    </row>
  </sheetData>
  <conditionalFormatting sqref="B9:C31">
    <cfRule type="expression" dxfId="12" priority="3">
      <formula>"(blank)"</formula>
    </cfRule>
  </conditionalFormatting>
  <conditionalFormatting sqref="B9:C31">
    <cfRule type="expression" dxfId="11" priority="4">
      <formula>#REF!</formula>
    </cfRule>
  </conditionalFormatting>
  <conditionalFormatting sqref="B49:C71">
    <cfRule type="expression" dxfId="10" priority="1">
      <formula>"(blank)"</formula>
    </cfRule>
  </conditionalFormatting>
  <conditionalFormatting sqref="B49:C71">
    <cfRule type="expression" dxfId="9" priority="2">
      <formula>#REF!</formula>
    </cfRule>
  </conditionalFormatting>
  <printOptions horizontalCentered="1"/>
  <pageMargins left="0.7" right="0.7" top="1" bottom="0.75" header="0.3" footer="0.3"/>
  <pageSetup scale="59" orientation="portrait" useFirstPageNumber="1" r:id="rId1"/>
  <headerFooter>
    <oddHeader>&amp;RDocket No. UE-19____
PacifiCorp
Exhibit No. AEB-8
Page &amp;P of 13</oddHeader>
  </headerFooter>
  <rowBreaks count="2" manualBreakCount="2">
    <brk id="80" min="1" max="7" man="1"/>
    <brk id="161" min="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240"/>
  <sheetViews>
    <sheetView zoomScale="90" zoomScaleNormal="90" zoomScaleSheetLayoutView="80" zoomScalePageLayoutView="90" workbookViewId="0"/>
  </sheetViews>
  <sheetFormatPr defaultColWidth="9.140625" defaultRowHeight="12.75"/>
  <cols>
    <col min="1" max="1" width="6.7109375" style="126" customWidth="1"/>
    <col min="2" max="2" width="36.85546875" style="126" customWidth="1"/>
    <col min="3" max="3" width="7.5703125" style="126" customWidth="1"/>
    <col min="4" max="4" width="18.85546875" style="126" customWidth="1"/>
    <col min="5" max="8" width="10.5703125" style="126" customWidth="1"/>
    <col min="9" max="16384" width="9.140625" style="126"/>
  </cols>
  <sheetData>
    <row r="1" spans="1:8">
      <c r="A1" s="172"/>
      <c r="B1" s="172"/>
      <c r="C1" s="172"/>
      <c r="D1" s="172"/>
      <c r="E1" s="172"/>
      <c r="F1" s="172"/>
      <c r="G1" s="172"/>
      <c r="H1" s="172"/>
    </row>
    <row r="2" spans="1:8">
      <c r="A2" s="172"/>
      <c r="B2" s="173" t="s">
        <v>1308</v>
      </c>
      <c r="C2" s="174"/>
      <c r="D2" s="174"/>
      <c r="E2" s="174"/>
      <c r="F2" s="174"/>
      <c r="G2" s="175"/>
      <c r="H2" s="175"/>
    </row>
    <row r="3" spans="1:8">
      <c r="A3" s="172"/>
      <c r="B3" s="172"/>
      <c r="C3" s="172"/>
      <c r="D3" s="172"/>
      <c r="E3" s="172"/>
      <c r="F3" s="172"/>
      <c r="G3" s="172"/>
      <c r="H3" s="172"/>
    </row>
    <row r="4" spans="1:8">
      <c r="A4" s="172"/>
      <c r="B4" s="174" t="s">
        <v>1309</v>
      </c>
      <c r="C4" s="174"/>
      <c r="D4" s="174"/>
      <c r="E4" s="174"/>
      <c r="F4" s="174"/>
      <c r="G4" s="174"/>
      <c r="H4" s="174"/>
    </row>
    <row r="5" spans="1:8">
      <c r="A5" s="172"/>
      <c r="B5" s="172"/>
      <c r="C5" s="172"/>
      <c r="D5" s="172"/>
      <c r="E5" s="172"/>
      <c r="F5" s="172"/>
      <c r="G5" s="172"/>
      <c r="H5" s="172"/>
    </row>
    <row r="6" spans="1:8">
      <c r="A6" s="172"/>
      <c r="B6" s="172"/>
      <c r="C6" s="172"/>
      <c r="D6" s="172"/>
      <c r="E6" s="172"/>
      <c r="F6" s="172"/>
      <c r="G6" s="172"/>
      <c r="H6" s="172"/>
    </row>
    <row r="7" spans="1:8" ht="13.5" thickBot="1">
      <c r="A7" s="172"/>
      <c r="B7" s="172"/>
      <c r="C7" s="172"/>
      <c r="D7" s="176" t="s">
        <v>4</v>
      </c>
      <c r="E7" s="176" t="s">
        <v>5</v>
      </c>
      <c r="F7" s="176" t="s">
        <v>6</v>
      </c>
      <c r="G7" s="176" t="s">
        <v>7</v>
      </c>
      <c r="H7" s="176" t="s">
        <v>8</v>
      </c>
    </row>
    <row r="8" spans="1:8" ht="51">
      <c r="A8" s="172"/>
      <c r="B8" s="177" t="s">
        <v>0</v>
      </c>
      <c r="C8" s="177" t="s">
        <v>1</v>
      </c>
      <c r="D8" s="178" t="s">
        <v>1310</v>
      </c>
      <c r="E8" s="179" t="s">
        <v>1311</v>
      </c>
      <c r="F8" s="179" t="s">
        <v>1312</v>
      </c>
      <c r="G8" s="179" t="s">
        <v>1313</v>
      </c>
      <c r="H8" s="180" t="s">
        <v>1314</v>
      </c>
    </row>
    <row r="9" spans="1:8">
      <c r="A9" s="181"/>
      <c r="B9" s="14" t="s">
        <v>1267</v>
      </c>
      <c r="C9" s="8" t="s">
        <v>1268</v>
      </c>
      <c r="D9" s="71">
        <v>2.112E-2</v>
      </c>
      <c r="E9" s="214">
        <v>0.65</v>
      </c>
      <c r="F9" s="183">
        <f>'Exhibit AEB-8 CAPM 3'!$B$8</f>
        <v>0.13856912315153791</v>
      </c>
      <c r="G9" s="184">
        <f t="shared" ref="G9:G31" si="0">F9-D9</f>
        <v>0.11744912315153791</v>
      </c>
      <c r="H9" s="269">
        <f t="shared" ref="H9:H31" si="1">IFERROR(G9*E9+D9, "")</f>
        <v>9.7461930048499637E-2</v>
      </c>
    </row>
    <row r="10" spans="1:8">
      <c r="A10" s="181"/>
      <c r="B10" s="14" t="s">
        <v>1269</v>
      </c>
      <c r="C10" s="8" t="s">
        <v>1102</v>
      </c>
      <c r="D10" s="71">
        <v>2.112E-2</v>
      </c>
      <c r="E10" s="214">
        <v>0.6</v>
      </c>
      <c r="F10" s="349">
        <f>F9</f>
        <v>0.13856912315153791</v>
      </c>
      <c r="G10" s="184">
        <f t="shared" si="0"/>
        <v>0.11744912315153791</v>
      </c>
      <c r="H10" s="270">
        <f t="shared" si="1"/>
        <v>9.1589473890922743E-2</v>
      </c>
    </row>
    <row r="11" spans="1:8">
      <c r="A11" s="181"/>
      <c r="B11" s="14" t="s">
        <v>1270</v>
      </c>
      <c r="C11" s="8" t="s">
        <v>930</v>
      </c>
      <c r="D11" s="71">
        <v>2.112E-2</v>
      </c>
      <c r="E11" s="214">
        <v>0.55000000000000004</v>
      </c>
      <c r="F11" s="349">
        <f t="shared" ref="F11:F31" si="2">F10</f>
        <v>0.13856912315153791</v>
      </c>
      <c r="G11" s="184">
        <f t="shared" si="0"/>
        <v>0.11744912315153791</v>
      </c>
      <c r="H11" s="270">
        <f t="shared" si="1"/>
        <v>8.5717017733345849E-2</v>
      </c>
    </row>
    <row r="12" spans="1:8">
      <c r="A12" s="181"/>
      <c r="B12" s="14" t="s">
        <v>1271</v>
      </c>
      <c r="C12" s="25" t="s">
        <v>319</v>
      </c>
      <c r="D12" s="71">
        <v>2.112E-2</v>
      </c>
      <c r="E12" s="214">
        <v>0.55000000000000004</v>
      </c>
      <c r="F12" s="349">
        <f t="shared" si="2"/>
        <v>0.13856912315153791</v>
      </c>
      <c r="G12" s="184">
        <f t="shared" si="0"/>
        <v>0.11744912315153791</v>
      </c>
      <c r="H12" s="270">
        <f t="shared" si="1"/>
        <v>8.5717017733345849E-2</v>
      </c>
    </row>
    <row r="13" spans="1:8">
      <c r="A13" s="181"/>
      <c r="B13" s="14" t="s">
        <v>1272</v>
      </c>
      <c r="C13" s="8" t="s">
        <v>1273</v>
      </c>
      <c r="D13" s="71">
        <v>2.112E-2</v>
      </c>
      <c r="E13" s="214">
        <v>0.6</v>
      </c>
      <c r="F13" s="349">
        <f t="shared" si="2"/>
        <v>0.13856912315153791</v>
      </c>
      <c r="G13" s="184">
        <f t="shared" si="0"/>
        <v>0.11744912315153791</v>
      </c>
      <c r="H13" s="270">
        <f t="shared" si="1"/>
        <v>9.1589473890922743E-2</v>
      </c>
    </row>
    <row r="14" spans="1:8">
      <c r="A14" s="181"/>
      <c r="B14" s="14" t="s">
        <v>1274</v>
      </c>
      <c r="C14" s="8" t="s">
        <v>474</v>
      </c>
      <c r="D14" s="71">
        <v>2.112E-2</v>
      </c>
      <c r="E14" s="214">
        <v>0.8</v>
      </c>
      <c r="F14" s="349">
        <f t="shared" si="2"/>
        <v>0.13856912315153791</v>
      </c>
      <c r="G14" s="184">
        <f t="shared" si="0"/>
        <v>0.11744912315153791</v>
      </c>
      <c r="H14" s="270">
        <f t="shared" si="1"/>
        <v>0.11507929852123033</v>
      </c>
    </row>
    <row r="15" spans="1:8">
      <c r="A15" s="181"/>
      <c r="B15" s="14" t="s">
        <v>1275</v>
      </c>
      <c r="C15" s="25" t="s">
        <v>381</v>
      </c>
      <c r="D15" s="71">
        <v>2.112E-2</v>
      </c>
      <c r="E15" s="214">
        <v>0.55000000000000004</v>
      </c>
      <c r="F15" s="349">
        <f t="shared" si="2"/>
        <v>0.13856912315153791</v>
      </c>
      <c r="G15" s="184">
        <f t="shared" si="0"/>
        <v>0.11744912315153791</v>
      </c>
      <c r="H15" s="270">
        <f t="shared" si="1"/>
        <v>8.5717017733345849E-2</v>
      </c>
    </row>
    <row r="16" spans="1:8">
      <c r="A16" s="181"/>
      <c r="B16" s="14" t="s">
        <v>1276</v>
      </c>
      <c r="C16" s="25" t="s">
        <v>405</v>
      </c>
      <c r="D16" s="71">
        <v>2.112E-2</v>
      </c>
      <c r="E16" s="214">
        <v>0.55000000000000004</v>
      </c>
      <c r="F16" s="349">
        <f t="shared" si="2"/>
        <v>0.13856912315153791</v>
      </c>
      <c r="G16" s="184">
        <f t="shared" si="0"/>
        <v>0.11744912315153791</v>
      </c>
      <c r="H16" s="270">
        <f t="shared" si="1"/>
        <v>8.5717017733345849E-2</v>
      </c>
    </row>
    <row r="17" spans="1:11">
      <c r="A17" s="181"/>
      <c r="B17" s="14" t="s">
        <v>1277</v>
      </c>
      <c r="C17" s="25" t="s">
        <v>983</v>
      </c>
      <c r="D17" s="71">
        <v>2.112E-2</v>
      </c>
      <c r="E17" s="214">
        <v>0.55000000000000004</v>
      </c>
      <c r="F17" s="349">
        <f t="shared" si="2"/>
        <v>0.13856912315153791</v>
      </c>
      <c r="G17" s="184">
        <f t="shared" si="0"/>
        <v>0.11744912315153791</v>
      </c>
      <c r="H17" s="270">
        <f t="shared" si="1"/>
        <v>8.5717017733345849E-2</v>
      </c>
    </row>
    <row r="18" spans="1:11">
      <c r="A18" s="181"/>
      <c r="B18" s="14" t="s">
        <v>1278</v>
      </c>
      <c r="C18" s="25" t="s">
        <v>409</v>
      </c>
      <c r="D18" s="71">
        <v>2.112E-2</v>
      </c>
      <c r="E18" s="214">
        <v>0.5</v>
      </c>
      <c r="F18" s="349">
        <f t="shared" si="2"/>
        <v>0.13856912315153791</v>
      </c>
      <c r="G18" s="184">
        <f t="shared" si="0"/>
        <v>0.11744912315153791</v>
      </c>
      <c r="H18" s="270">
        <f t="shared" si="1"/>
        <v>7.9844561575768955E-2</v>
      </c>
    </row>
    <row r="19" spans="1:11">
      <c r="A19" s="181"/>
      <c r="B19" s="14" t="s">
        <v>1279</v>
      </c>
      <c r="C19" s="25" t="s">
        <v>423</v>
      </c>
      <c r="D19" s="71">
        <v>2.112E-2</v>
      </c>
      <c r="E19" s="214">
        <v>0.6</v>
      </c>
      <c r="F19" s="349">
        <f t="shared" si="2"/>
        <v>0.13856912315153791</v>
      </c>
      <c r="G19" s="184">
        <f t="shared" si="0"/>
        <v>0.11744912315153791</v>
      </c>
      <c r="H19" s="270">
        <f t="shared" si="1"/>
        <v>9.1589473890922743E-2</v>
      </c>
    </row>
    <row r="20" spans="1:11">
      <c r="A20" s="181"/>
      <c r="B20" s="14" t="s">
        <v>1281</v>
      </c>
      <c r="C20" s="25" t="s">
        <v>1034</v>
      </c>
      <c r="D20" s="71">
        <v>2.112E-2</v>
      </c>
      <c r="E20" s="214" t="s">
        <v>1304</v>
      </c>
      <c r="F20" s="349">
        <f t="shared" si="2"/>
        <v>0.13856912315153791</v>
      </c>
      <c r="G20" s="184">
        <f t="shared" si="0"/>
        <v>0.11744912315153791</v>
      </c>
      <c r="H20" s="270" t="str">
        <f t="shared" si="1"/>
        <v/>
      </c>
    </row>
    <row r="21" spans="1:11">
      <c r="A21" s="181"/>
      <c r="B21" s="14" t="s">
        <v>1280</v>
      </c>
      <c r="C21" s="25" t="s">
        <v>922</v>
      </c>
      <c r="D21" s="71">
        <v>2.112E-2</v>
      </c>
      <c r="E21" s="214">
        <v>0.6</v>
      </c>
      <c r="F21" s="349">
        <f t="shared" si="2"/>
        <v>0.13856912315153791</v>
      </c>
      <c r="G21" s="184">
        <f t="shared" si="0"/>
        <v>0.11744912315153791</v>
      </c>
      <c r="H21" s="270">
        <f t="shared" si="1"/>
        <v>9.1589473890922743E-2</v>
      </c>
    </row>
    <row r="22" spans="1:11">
      <c r="A22" s="181"/>
      <c r="B22" s="14" t="s">
        <v>1282</v>
      </c>
      <c r="C22" s="25" t="s">
        <v>1283</v>
      </c>
      <c r="D22" s="71">
        <v>2.112E-2</v>
      </c>
      <c r="E22" s="214">
        <v>0.6</v>
      </c>
      <c r="F22" s="349">
        <f t="shared" si="2"/>
        <v>0.13856912315153791</v>
      </c>
      <c r="G22" s="184">
        <f t="shared" si="0"/>
        <v>0.11744912315153791</v>
      </c>
      <c r="H22" s="270">
        <f t="shared" si="1"/>
        <v>9.1589473890922743E-2</v>
      </c>
    </row>
    <row r="23" spans="1:11">
      <c r="A23" s="181"/>
      <c r="B23" s="14" t="s">
        <v>1284</v>
      </c>
      <c r="C23" s="25" t="s">
        <v>438</v>
      </c>
      <c r="D23" s="71">
        <v>2.112E-2</v>
      </c>
      <c r="E23" s="214">
        <v>0.55000000000000004</v>
      </c>
      <c r="F23" s="349">
        <f t="shared" si="2"/>
        <v>0.13856912315153791</v>
      </c>
      <c r="G23" s="184">
        <f t="shared" si="0"/>
        <v>0.11744912315153791</v>
      </c>
      <c r="H23" s="270">
        <f t="shared" si="1"/>
        <v>8.5717017733345849E-2</v>
      </c>
    </row>
    <row r="24" spans="1:11">
      <c r="A24" s="181"/>
      <c r="B24" s="14" t="s">
        <v>1285</v>
      </c>
      <c r="C24" s="25" t="s">
        <v>1286</v>
      </c>
      <c r="D24" s="71">
        <v>2.112E-2</v>
      </c>
      <c r="E24" s="214">
        <v>0.6</v>
      </c>
      <c r="F24" s="349">
        <f t="shared" si="2"/>
        <v>0.13856912315153791</v>
      </c>
      <c r="G24" s="184">
        <f t="shared" si="0"/>
        <v>0.11744912315153791</v>
      </c>
      <c r="H24" s="270">
        <f t="shared" si="1"/>
        <v>9.1589473890922743E-2</v>
      </c>
    </row>
    <row r="25" spans="1:11">
      <c r="A25" s="181"/>
      <c r="B25" s="14" t="s">
        <v>1287</v>
      </c>
      <c r="C25" s="25" t="s">
        <v>1288</v>
      </c>
      <c r="D25" s="71">
        <v>2.112E-2</v>
      </c>
      <c r="E25" s="214">
        <v>0.8</v>
      </c>
      <c r="F25" s="349">
        <f t="shared" si="2"/>
        <v>0.13856912315153791</v>
      </c>
      <c r="G25" s="184">
        <f t="shared" si="0"/>
        <v>0.11744912315153791</v>
      </c>
      <c r="H25" s="270">
        <f t="shared" si="1"/>
        <v>0.11507929852123033</v>
      </c>
    </row>
    <row r="26" spans="1:11">
      <c r="A26" s="181"/>
      <c r="B26" s="14" t="s">
        <v>1289</v>
      </c>
      <c r="C26" s="25" t="s">
        <v>589</v>
      </c>
      <c r="D26" s="71">
        <v>2.112E-2</v>
      </c>
      <c r="E26" s="214">
        <v>0.55000000000000004</v>
      </c>
      <c r="F26" s="349">
        <f t="shared" si="2"/>
        <v>0.13856912315153791</v>
      </c>
      <c r="G26" s="184">
        <f t="shared" si="0"/>
        <v>0.11744912315153791</v>
      </c>
      <c r="H26" s="270">
        <f t="shared" si="1"/>
        <v>8.5717017733345849E-2</v>
      </c>
    </row>
    <row r="27" spans="1:11">
      <c r="A27" s="181"/>
      <c r="B27" s="14" t="s">
        <v>1290</v>
      </c>
      <c r="C27" s="25" t="s">
        <v>1291</v>
      </c>
      <c r="D27" s="71">
        <v>2.112E-2</v>
      </c>
      <c r="E27" s="214">
        <v>0.6</v>
      </c>
      <c r="F27" s="349">
        <f t="shared" si="2"/>
        <v>0.13856912315153791</v>
      </c>
      <c r="G27" s="184">
        <f t="shared" si="0"/>
        <v>0.11744912315153791</v>
      </c>
      <c r="H27" s="270">
        <f t="shared" si="1"/>
        <v>9.1589473890922743E-2</v>
      </c>
    </row>
    <row r="28" spans="1:11">
      <c r="A28" s="181"/>
      <c r="B28" s="14" t="s">
        <v>1292</v>
      </c>
      <c r="C28" s="25" t="s">
        <v>1293</v>
      </c>
      <c r="D28" s="71">
        <v>2.112E-2</v>
      </c>
      <c r="E28" s="214">
        <v>0.6</v>
      </c>
      <c r="F28" s="349">
        <f t="shared" si="2"/>
        <v>0.13856912315153791</v>
      </c>
      <c r="G28" s="184">
        <f t="shared" si="0"/>
        <v>0.11744912315153791</v>
      </c>
      <c r="H28" s="270">
        <f t="shared" si="1"/>
        <v>9.1589473890922743E-2</v>
      </c>
    </row>
    <row r="29" spans="1:11">
      <c r="A29" s="181"/>
      <c r="B29" s="14" t="s">
        <v>1294</v>
      </c>
      <c r="C29" s="25" t="s">
        <v>581</v>
      </c>
      <c r="D29" s="71">
        <v>2.112E-2</v>
      </c>
      <c r="E29" s="214">
        <v>0.65</v>
      </c>
      <c r="F29" s="349">
        <f t="shared" si="2"/>
        <v>0.13856912315153791</v>
      </c>
      <c r="G29" s="184">
        <f t="shared" si="0"/>
        <v>0.11744912315153791</v>
      </c>
      <c r="H29" s="270">
        <f t="shared" si="1"/>
        <v>9.7461930048499637E-2</v>
      </c>
    </row>
    <row r="30" spans="1:11">
      <c r="A30" s="181"/>
      <c r="B30" s="14" t="s">
        <v>1295</v>
      </c>
      <c r="C30" s="25" t="s">
        <v>617</v>
      </c>
      <c r="D30" s="71">
        <v>2.112E-2</v>
      </c>
      <c r="E30" s="214">
        <v>0.5</v>
      </c>
      <c r="F30" s="349">
        <f t="shared" si="2"/>
        <v>0.13856912315153791</v>
      </c>
      <c r="G30" s="184">
        <f t="shared" si="0"/>
        <v>0.11744912315153791</v>
      </c>
      <c r="H30" s="270">
        <f t="shared" si="1"/>
        <v>7.9844561575768955E-2</v>
      </c>
    </row>
    <row r="31" spans="1:11">
      <c r="A31" s="181"/>
      <c r="B31" s="14" t="s">
        <v>1296</v>
      </c>
      <c r="C31" s="25" t="s">
        <v>733</v>
      </c>
      <c r="D31" s="71">
        <v>2.112E-2</v>
      </c>
      <c r="E31" s="214">
        <v>0.5</v>
      </c>
      <c r="F31" s="350">
        <f t="shared" si="2"/>
        <v>0.13856912315153791</v>
      </c>
      <c r="G31" s="184">
        <f t="shared" si="0"/>
        <v>0.11744912315153791</v>
      </c>
      <c r="H31" s="271">
        <f t="shared" si="1"/>
        <v>7.9844561575768955E-2</v>
      </c>
    </row>
    <row r="32" spans="1:11" ht="13.5" thickBot="1">
      <c r="A32" s="172"/>
      <c r="B32" s="186" t="s">
        <v>1258</v>
      </c>
      <c r="C32" s="186"/>
      <c r="D32" s="186"/>
      <c r="E32" s="186"/>
      <c r="F32" s="187"/>
      <c r="G32" s="187"/>
      <c r="H32" s="187">
        <f>AVERAGEIF(H9:H31, "&gt;0")</f>
        <v>9.078868441488952E-2</v>
      </c>
      <c r="K32" s="188"/>
    </row>
    <row r="33" spans="1:11">
      <c r="A33" s="172"/>
      <c r="B33" s="189"/>
      <c r="C33" s="172"/>
      <c r="D33" s="172"/>
      <c r="E33" s="172"/>
      <c r="F33" s="190"/>
      <c r="G33" s="190"/>
      <c r="H33" s="190"/>
      <c r="K33" s="188"/>
    </row>
    <row r="34" spans="1:11">
      <c r="A34" s="172"/>
      <c r="B34" s="191" t="s">
        <v>23</v>
      </c>
      <c r="C34" s="172"/>
      <c r="D34" s="172"/>
      <c r="E34" s="172"/>
      <c r="F34" s="172"/>
      <c r="G34" s="172"/>
      <c r="H34" s="172"/>
      <c r="K34" s="188"/>
    </row>
    <row r="35" spans="1:11">
      <c r="A35" s="172"/>
      <c r="B35" s="172" t="s">
        <v>52</v>
      </c>
      <c r="C35" s="172"/>
      <c r="D35" s="172"/>
      <c r="E35" s="172"/>
      <c r="F35" s="172"/>
      <c r="G35" s="172"/>
      <c r="H35" s="172"/>
      <c r="K35" s="188"/>
    </row>
    <row r="36" spans="1:11">
      <c r="A36" s="172"/>
      <c r="B36" s="192" t="s">
        <v>1191</v>
      </c>
      <c r="C36" s="172"/>
      <c r="D36" s="172"/>
      <c r="E36" s="172"/>
      <c r="F36" s="172"/>
      <c r="G36" s="172"/>
      <c r="H36" s="172"/>
      <c r="K36" s="188"/>
    </row>
    <row r="37" spans="1:11">
      <c r="A37" s="172"/>
      <c r="B37" s="192" t="s">
        <v>1547</v>
      </c>
      <c r="C37" s="172"/>
      <c r="D37" s="172"/>
      <c r="E37" s="172"/>
      <c r="F37" s="172"/>
      <c r="G37" s="172"/>
      <c r="H37" s="172"/>
      <c r="K37" s="188"/>
    </row>
    <row r="38" spans="1:11">
      <c r="A38" s="172"/>
      <c r="B38" s="172" t="s">
        <v>1315</v>
      </c>
      <c r="C38" s="172"/>
      <c r="D38" s="172"/>
      <c r="E38" s="172"/>
      <c r="F38" s="172"/>
      <c r="G38" s="172"/>
      <c r="H38" s="172"/>
      <c r="K38" s="188"/>
    </row>
    <row r="39" spans="1:11">
      <c r="A39" s="172"/>
      <c r="B39" s="172" t="s">
        <v>1316</v>
      </c>
      <c r="C39" s="172"/>
      <c r="D39" s="172"/>
      <c r="E39" s="172"/>
      <c r="F39" s="172"/>
      <c r="G39" s="172"/>
      <c r="H39" s="172"/>
      <c r="K39" s="188"/>
    </row>
    <row r="40" spans="1:11">
      <c r="A40" s="172"/>
      <c r="B40" s="172"/>
      <c r="C40" s="172"/>
      <c r="D40" s="172"/>
      <c r="E40" s="172"/>
      <c r="F40" s="172"/>
      <c r="G40" s="172"/>
      <c r="H40" s="172"/>
      <c r="K40" s="188"/>
    </row>
    <row r="41" spans="1:11">
      <c r="A41" s="172"/>
      <c r="B41" s="172"/>
      <c r="C41" s="172"/>
      <c r="D41" s="172"/>
      <c r="E41" s="172"/>
      <c r="F41" s="172"/>
      <c r="G41" s="172"/>
      <c r="H41" s="172"/>
      <c r="K41" s="188"/>
    </row>
    <row r="42" spans="1:11">
      <c r="A42" s="172"/>
      <c r="B42" s="173" t="s">
        <v>1317</v>
      </c>
      <c r="C42" s="174"/>
      <c r="D42" s="174"/>
      <c r="E42" s="174"/>
      <c r="F42" s="174"/>
      <c r="G42" s="175"/>
      <c r="H42" s="175"/>
      <c r="K42" s="188"/>
    </row>
    <row r="43" spans="1:11">
      <c r="A43" s="172"/>
      <c r="B43" s="172"/>
      <c r="C43" s="172"/>
      <c r="D43" s="172"/>
      <c r="E43" s="172"/>
      <c r="F43" s="172"/>
      <c r="G43" s="172"/>
      <c r="H43" s="172"/>
      <c r="K43" s="144"/>
    </row>
    <row r="44" spans="1:11">
      <c r="A44" s="172"/>
      <c r="B44" s="174" t="s">
        <v>1309</v>
      </c>
      <c r="C44" s="174"/>
      <c r="D44" s="174"/>
      <c r="E44" s="174"/>
      <c r="F44" s="174"/>
      <c r="G44" s="174"/>
      <c r="H44" s="174"/>
    </row>
    <row r="45" spans="1:11">
      <c r="A45" s="172"/>
      <c r="B45" s="172"/>
      <c r="C45" s="172"/>
      <c r="D45" s="172"/>
      <c r="E45" s="172"/>
      <c r="F45" s="172"/>
      <c r="G45" s="172"/>
      <c r="H45" s="172"/>
    </row>
    <row r="46" spans="1:11">
      <c r="A46" s="172"/>
      <c r="B46" s="172"/>
      <c r="C46" s="172"/>
      <c r="D46" s="172"/>
      <c r="E46" s="172"/>
      <c r="F46" s="172"/>
      <c r="G46" s="172"/>
      <c r="H46" s="172"/>
    </row>
    <row r="47" spans="1:11" ht="13.5" thickBot="1">
      <c r="A47" s="172"/>
      <c r="B47" s="172"/>
      <c r="C47" s="172"/>
      <c r="D47" s="176" t="s">
        <v>4</v>
      </c>
      <c r="E47" s="176" t="s">
        <v>5</v>
      </c>
      <c r="F47" s="176" t="s">
        <v>6</v>
      </c>
      <c r="G47" s="176" t="s">
        <v>7</v>
      </c>
      <c r="H47" s="176" t="s">
        <v>8</v>
      </c>
    </row>
    <row r="48" spans="1:11" ht="51">
      <c r="A48" s="172"/>
      <c r="B48" s="177" t="s">
        <v>0</v>
      </c>
      <c r="C48" s="177" t="s">
        <v>1</v>
      </c>
      <c r="D48" s="180" t="s">
        <v>1355</v>
      </c>
      <c r="E48" s="179" t="s">
        <v>1311</v>
      </c>
      <c r="F48" s="179" t="s">
        <v>1312</v>
      </c>
      <c r="G48" s="179" t="s">
        <v>1313</v>
      </c>
      <c r="H48" s="180" t="s">
        <v>1314</v>
      </c>
    </row>
    <row r="49" spans="1:8">
      <c r="A49" s="172"/>
      <c r="B49" s="14" t="str">
        <f>B9</f>
        <v>ALLETE, Inc.</v>
      </c>
      <c r="C49" s="14" t="str">
        <f>C9</f>
        <v>ALE</v>
      </c>
      <c r="D49" s="71">
        <f>AVERAGE(2.2%,2.2%,2.3%,2.4%,2.5%)</f>
        <v>2.3199999999999998E-2</v>
      </c>
      <c r="E49" s="182">
        <f>E9</f>
        <v>0.65</v>
      </c>
      <c r="F49" s="194">
        <f>F9</f>
        <v>0.13856912315153791</v>
      </c>
      <c r="G49" s="194">
        <f t="shared" ref="G49:G71" si="3">F49-D49</f>
        <v>0.11536912315153791</v>
      </c>
      <c r="H49" s="185">
        <f>IFERROR(G49*E49+D49, "")</f>
        <v>9.8189930048499643E-2</v>
      </c>
    </row>
    <row r="50" spans="1:8">
      <c r="A50" s="172"/>
      <c r="B50" s="14" t="str">
        <f t="shared" ref="B50:C65" si="4">B10</f>
        <v>Alliant Energy Corporation</v>
      </c>
      <c r="C50" s="14" t="str">
        <f t="shared" si="4"/>
        <v>LNT</v>
      </c>
      <c r="D50" s="71">
        <f t="shared" ref="D50:D71" si="5">AVERAGE(2.2%,2.2%,2.3%,2.4%,2.5%)</f>
        <v>2.3199999999999998E-2</v>
      </c>
      <c r="E50" s="182">
        <f t="shared" ref="E50:F65" si="6">E10</f>
        <v>0.6</v>
      </c>
      <c r="F50" s="194">
        <f t="shared" si="6"/>
        <v>0.13856912315153791</v>
      </c>
      <c r="G50" s="194">
        <f t="shared" si="3"/>
        <v>0.11536912315153791</v>
      </c>
      <c r="H50" s="185">
        <f t="shared" ref="H50:H71" si="7">IFERROR(G50*E50+D50, "")</f>
        <v>9.2421473890922742E-2</v>
      </c>
    </row>
    <row r="51" spans="1:8">
      <c r="A51" s="172"/>
      <c r="B51" s="14" t="str">
        <f t="shared" si="4"/>
        <v>Ameren Corporation</v>
      </c>
      <c r="C51" s="14" t="str">
        <f t="shared" si="4"/>
        <v>AEE</v>
      </c>
      <c r="D51" s="71">
        <f t="shared" si="5"/>
        <v>2.3199999999999998E-2</v>
      </c>
      <c r="E51" s="182">
        <f t="shared" si="6"/>
        <v>0.55000000000000004</v>
      </c>
      <c r="F51" s="194">
        <f t="shared" si="6"/>
        <v>0.13856912315153791</v>
      </c>
      <c r="G51" s="194">
        <f t="shared" si="3"/>
        <v>0.11536912315153791</v>
      </c>
      <c r="H51" s="185">
        <f t="shared" si="7"/>
        <v>8.6653017733345855E-2</v>
      </c>
    </row>
    <row r="52" spans="1:8">
      <c r="A52" s="172"/>
      <c r="B52" s="14" t="str">
        <f t="shared" si="4"/>
        <v>American Electric Power Company, Inc.</v>
      </c>
      <c r="C52" s="14" t="str">
        <f t="shared" si="4"/>
        <v>AEP</v>
      </c>
      <c r="D52" s="71">
        <f t="shared" si="5"/>
        <v>2.3199999999999998E-2</v>
      </c>
      <c r="E52" s="182">
        <f t="shared" si="6"/>
        <v>0.55000000000000004</v>
      </c>
      <c r="F52" s="194">
        <f t="shared" si="6"/>
        <v>0.13856912315153791</v>
      </c>
      <c r="G52" s="194">
        <f t="shared" si="3"/>
        <v>0.11536912315153791</v>
      </c>
      <c r="H52" s="185">
        <f t="shared" si="7"/>
        <v>8.6653017733345855E-2</v>
      </c>
    </row>
    <row r="53" spans="1:8">
      <c r="A53" s="172"/>
      <c r="B53" s="14" t="str">
        <f t="shared" si="4"/>
        <v>Avista Corporation</v>
      </c>
      <c r="C53" s="14" t="str">
        <f t="shared" si="4"/>
        <v>AVA</v>
      </c>
      <c r="D53" s="71">
        <f t="shared" si="5"/>
        <v>2.3199999999999998E-2</v>
      </c>
      <c r="E53" s="182">
        <f t="shared" si="6"/>
        <v>0.6</v>
      </c>
      <c r="F53" s="194">
        <f t="shared" si="6"/>
        <v>0.13856912315153791</v>
      </c>
      <c r="G53" s="194">
        <f t="shared" si="3"/>
        <v>0.11536912315153791</v>
      </c>
      <c r="H53" s="185">
        <f t="shared" si="7"/>
        <v>9.2421473890922742E-2</v>
      </c>
    </row>
    <row r="54" spans="1:8">
      <c r="A54" s="172"/>
      <c r="B54" s="14" t="str">
        <f t="shared" si="4"/>
        <v>CenterPoint Energy, Inc.</v>
      </c>
      <c r="C54" s="14" t="str">
        <f t="shared" si="4"/>
        <v>CNP</v>
      </c>
      <c r="D54" s="71">
        <f t="shared" si="5"/>
        <v>2.3199999999999998E-2</v>
      </c>
      <c r="E54" s="182">
        <f t="shared" si="6"/>
        <v>0.8</v>
      </c>
      <c r="F54" s="194">
        <f t="shared" si="6"/>
        <v>0.13856912315153791</v>
      </c>
      <c r="G54" s="194">
        <f t="shared" si="3"/>
        <v>0.11536912315153791</v>
      </c>
      <c r="H54" s="185">
        <f t="shared" si="7"/>
        <v>0.11549529852123033</v>
      </c>
    </row>
    <row r="55" spans="1:8">
      <c r="A55" s="172"/>
      <c r="B55" s="14" t="str">
        <f t="shared" si="4"/>
        <v>CMS Energy Corporation</v>
      </c>
      <c r="C55" s="14" t="str">
        <f t="shared" si="4"/>
        <v>CMS</v>
      </c>
      <c r="D55" s="71">
        <f t="shared" si="5"/>
        <v>2.3199999999999998E-2</v>
      </c>
      <c r="E55" s="182">
        <f t="shared" si="6"/>
        <v>0.55000000000000004</v>
      </c>
      <c r="F55" s="194">
        <f t="shared" si="6"/>
        <v>0.13856912315153791</v>
      </c>
      <c r="G55" s="194">
        <f t="shared" si="3"/>
        <v>0.11536912315153791</v>
      </c>
      <c r="H55" s="185">
        <f t="shared" si="7"/>
        <v>8.6653017733345855E-2</v>
      </c>
    </row>
    <row r="56" spans="1:8">
      <c r="A56" s="172"/>
      <c r="B56" s="14" t="str">
        <f t="shared" si="4"/>
        <v>Dominion Resources, Inc.</v>
      </c>
      <c r="C56" s="14" t="str">
        <f t="shared" si="4"/>
        <v>D</v>
      </c>
      <c r="D56" s="71">
        <f t="shared" si="5"/>
        <v>2.3199999999999998E-2</v>
      </c>
      <c r="E56" s="182">
        <f t="shared" si="6"/>
        <v>0.55000000000000004</v>
      </c>
      <c r="F56" s="194">
        <f t="shared" si="6"/>
        <v>0.13856912315153791</v>
      </c>
      <c r="G56" s="194">
        <f t="shared" si="3"/>
        <v>0.11536912315153791</v>
      </c>
      <c r="H56" s="185">
        <f t="shared" si="7"/>
        <v>8.6653017733345855E-2</v>
      </c>
    </row>
    <row r="57" spans="1:8">
      <c r="A57" s="172"/>
      <c r="B57" s="14" t="str">
        <f t="shared" si="4"/>
        <v>DTE Energy Company</v>
      </c>
      <c r="C57" s="14" t="str">
        <f t="shared" si="4"/>
        <v>DTE</v>
      </c>
      <c r="D57" s="71">
        <f t="shared" si="5"/>
        <v>2.3199999999999998E-2</v>
      </c>
      <c r="E57" s="182">
        <f t="shared" si="6"/>
        <v>0.55000000000000004</v>
      </c>
      <c r="F57" s="194">
        <f t="shared" si="6"/>
        <v>0.13856912315153791</v>
      </c>
      <c r="G57" s="194">
        <f t="shared" si="3"/>
        <v>0.11536912315153791</v>
      </c>
      <c r="H57" s="185">
        <f t="shared" si="7"/>
        <v>8.6653017733345855E-2</v>
      </c>
    </row>
    <row r="58" spans="1:8">
      <c r="A58" s="172"/>
      <c r="B58" s="14" t="str">
        <f t="shared" si="4"/>
        <v>Duke Energy Corporation</v>
      </c>
      <c r="C58" s="14" t="str">
        <f t="shared" si="4"/>
        <v>DUK</v>
      </c>
      <c r="D58" s="71">
        <f t="shared" si="5"/>
        <v>2.3199999999999998E-2</v>
      </c>
      <c r="E58" s="182">
        <f t="shared" si="6"/>
        <v>0.5</v>
      </c>
      <c r="F58" s="194">
        <f t="shared" si="6"/>
        <v>0.13856912315153791</v>
      </c>
      <c r="G58" s="194">
        <f t="shared" si="3"/>
        <v>0.11536912315153791</v>
      </c>
      <c r="H58" s="185">
        <f t="shared" si="7"/>
        <v>8.0884561575768954E-2</v>
      </c>
    </row>
    <row r="59" spans="1:8">
      <c r="A59" s="172"/>
      <c r="B59" s="14" t="str">
        <f t="shared" si="4"/>
        <v>Entergy Corporation</v>
      </c>
      <c r="C59" s="14" t="str">
        <f t="shared" si="4"/>
        <v>ETR</v>
      </c>
      <c r="D59" s="71">
        <f t="shared" si="5"/>
        <v>2.3199999999999998E-2</v>
      </c>
      <c r="E59" s="182">
        <f t="shared" si="6"/>
        <v>0.6</v>
      </c>
      <c r="F59" s="194">
        <f t="shared" si="6"/>
        <v>0.13856912315153791</v>
      </c>
      <c r="G59" s="194">
        <f t="shared" si="3"/>
        <v>0.11536912315153791</v>
      </c>
      <c r="H59" s="185">
        <f t="shared" si="7"/>
        <v>9.2421473890922742E-2</v>
      </c>
    </row>
    <row r="60" spans="1:8">
      <c r="A60" s="172"/>
      <c r="B60" s="14" t="str">
        <f t="shared" si="4"/>
        <v xml:space="preserve">Evergy, Inc. </v>
      </c>
      <c r="C60" s="14" t="str">
        <f t="shared" si="4"/>
        <v>EVRG</v>
      </c>
      <c r="D60" s="71">
        <f t="shared" si="5"/>
        <v>2.3199999999999998E-2</v>
      </c>
      <c r="E60" s="182" t="str">
        <f t="shared" si="6"/>
        <v>NMF</v>
      </c>
      <c r="F60" s="194">
        <f t="shared" si="6"/>
        <v>0.13856912315153791</v>
      </c>
      <c r="G60" s="194">
        <f t="shared" si="3"/>
        <v>0.11536912315153791</v>
      </c>
      <c r="H60" s="185" t="str">
        <f t="shared" si="7"/>
        <v/>
      </c>
    </row>
    <row r="61" spans="1:8">
      <c r="A61" s="172"/>
      <c r="B61" s="14" t="str">
        <f t="shared" si="4"/>
        <v>FirstEnergy Corporation</v>
      </c>
      <c r="C61" s="14" t="str">
        <f t="shared" si="4"/>
        <v>FE</v>
      </c>
      <c r="D61" s="71">
        <f t="shared" si="5"/>
        <v>2.3199999999999998E-2</v>
      </c>
      <c r="E61" s="182">
        <f t="shared" si="6"/>
        <v>0.6</v>
      </c>
      <c r="F61" s="194">
        <f t="shared" si="6"/>
        <v>0.13856912315153791</v>
      </c>
      <c r="G61" s="194">
        <f t="shared" si="3"/>
        <v>0.11536912315153791</v>
      </c>
      <c r="H61" s="185">
        <f t="shared" si="7"/>
        <v>9.2421473890922742E-2</v>
      </c>
    </row>
    <row r="62" spans="1:8">
      <c r="A62" s="172"/>
      <c r="B62" s="14" t="str">
        <f t="shared" si="4"/>
        <v>IDACORP, Inc.</v>
      </c>
      <c r="C62" s="14" t="str">
        <f t="shared" si="4"/>
        <v>IDA</v>
      </c>
      <c r="D62" s="71">
        <f t="shared" si="5"/>
        <v>2.3199999999999998E-2</v>
      </c>
      <c r="E62" s="182">
        <f t="shared" si="6"/>
        <v>0.6</v>
      </c>
      <c r="F62" s="194">
        <f t="shared" si="6"/>
        <v>0.13856912315153791</v>
      </c>
      <c r="G62" s="194">
        <f t="shared" si="3"/>
        <v>0.11536912315153791</v>
      </c>
      <c r="H62" s="185">
        <f t="shared" si="7"/>
        <v>9.2421473890922742E-2</v>
      </c>
    </row>
    <row r="63" spans="1:8">
      <c r="A63" s="172"/>
      <c r="B63" s="14" t="str">
        <f t="shared" si="4"/>
        <v>NextEra Energy, Inc.</v>
      </c>
      <c r="C63" s="14" t="str">
        <f t="shared" si="4"/>
        <v>NEE</v>
      </c>
      <c r="D63" s="71">
        <f t="shared" si="5"/>
        <v>2.3199999999999998E-2</v>
      </c>
      <c r="E63" s="182">
        <f t="shared" si="6"/>
        <v>0.55000000000000004</v>
      </c>
      <c r="F63" s="194">
        <f t="shared" si="6"/>
        <v>0.13856912315153791</v>
      </c>
      <c r="G63" s="194">
        <f t="shared" si="3"/>
        <v>0.11536912315153791</v>
      </c>
      <c r="H63" s="185">
        <f t="shared" si="7"/>
        <v>8.6653017733345855E-2</v>
      </c>
    </row>
    <row r="64" spans="1:8">
      <c r="A64" s="172"/>
      <c r="B64" s="14" t="str">
        <f t="shared" si="4"/>
        <v>NorthWestern Corporation</v>
      </c>
      <c r="C64" s="14" t="str">
        <f t="shared" si="4"/>
        <v>NWE</v>
      </c>
      <c r="D64" s="71">
        <f t="shared" si="5"/>
        <v>2.3199999999999998E-2</v>
      </c>
      <c r="E64" s="182">
        <f t="shared" si="6"/>
        <v>0.6</v>
      </c>
      <c r="F64" s="194">
        <f t="shared" si="6"/>
        <v>0.13856912315153791</v>
      </c>
      <c r="G64" s="194">
        <f t="shared" si="3"/>
        <v>0.11536912315153791</v>
      </c>
      <c r="H64" s="185">
        <f t="shared" si="7"/>
        <v>9.2421473890922742E-2</v>
      </c>
    </row>
    <row r="65" spans="1:8">
      <c r="A65" s="172"/>
      <c r="B65" s="14" t="str">
        <f t="shared" si="4"/>
        <v>OGE Energy Corporation</v>
      </c>
      <c r="C65" s="14" t="str">
        <f t="shared" si="4"/>
        <v>OGE</v>
      </c>
      <c r="D65" s="71">
        <f t="shared" si="5"/>
        <v>2.3199999999999998E-2</v>
      </c>
      <c r="E65" s="182">
        <f t="shared" si="6"/>
        <v>0.8</v>
      </c>
      <c r="F65" s="194">
        <f t="shared" si="6"/>
        <v>0.13856912315153791</v>
      </c>
      <c r="G65" s="194">
        <f t="shared" si="3"/>
        <v>0.11536912315153791</v>
      </c>
      <c r="H65" s="185">
        <f t="shared" si="7"/>
        <v>0.11549529852123033</v>
      </c>
    </row>
    <row r="66" spans="1:8">
      <c r="A66" s="172"/>
      <c r="B66" s="14" t="str">
        <f t="shared" ref="B66:C71" si="8">B26</f>
        <v>Pinnacle West Capital Corporation</v>
      </c>
      <c r="C66" s="14" t="str">
        <f t="shared" si="8"/>
        <v>PNW</v>
      </c>
      <c r="D66" s="71">
        <f t="shared" si="5"/>
        <v>2.3199999999999998E-2</v>
      </c>
      <c r="E66" s="182">
        <f t="shared" ref="E66:F71" si="9">E26</f>
        <v>0.55000000000000004</v>
      </c>
      <c r="F66" s="194">
        <f t="shared" si="9"/>
        <v>0.13856912315153791</v>
      </c>
      <c r="G66" s="194">
        <f t="shared" si="3"/>
        <v>0.11536912315153791</v>
      </c>
      <c r="H66" s="185">
        <f t="shared" si="7"/>
        <v>8.6653017733345855E-2</v>
      </c>
    </row>
    <row r="67" spans="1:8">
      <c r="A67" s="172"/>
      <c r="B67" s="14" t="str">
        <f t="shared" si="8"/>
        <v>PNM Resources, Inc.</v>
      </c>
      <c r="C67" s="14" t="str">
        <f t="shared" si="8"/>
        <v>PNM</v>
      </c>
      <c r="D67" s="71">
        <f t="shared" si="5"/>
        <v>2.3199999999999998E-2</v>
      </c>
      <c r="E67" s="182">
        <f t="shared" si="9"/>
        <v>0.6</v>
      </c>
      <c r="F67" s="194">
        <f t="shared" si="9"/>
        <v>0.13856912315153791</v>
      </c>
      <c r="G67" s="194">
        <f t="shared" si="3"/>
        <v>0.11536912315153791</v>
      </c>
      <c r="H67" s="185">
        <f t="shared" si="7"/>
        <v>9.2421473890922742E-2</v>
      </c>
    </row>
    <row r="68" spans="1:8">
      <c r="A68" s="172"/>
      <c r="B68" s="14" t="str">
        <f t="shared" si="8"/>
        <v>Portland General Electric Company</v>
      </c>
      <c r="C68" s="14" t="str">
        <f t="shared" si="8"/>
        <v>POR</v>
      </c>
      <c r="D68" s="71">
        <f t="shared" si="5"/>
        <v>2.3199999999999998E-2</v>
      </c>
      <c r="E68" s="182">
        <f t="shared" si="9"/>
        <v>0.6</v>
      </c>
      <c r="F68" s="194">
        <f t="shared" si="9"/>
        <v>0.13856912315153791</v>
      </c>
      <c r="G68" s="194">
        <f t="shared" si="3"/>
        <v>0.11536912315153791</v>
      </c>
      <c r="H68" s="185">
        <f t="shared" si="7"/>
        <v>9.2421473890922742E-2</v>
      </c>
    </row>
    <row r="69" spans="1:8">
      <c r="A69" s="172"/>
      <c r="B69" s="14" t="str">
        <f t="shared" si="8"/>
        <v>PPL Corporation</v>
      </c>
      <c r="C69" s="14" t="str">
        <f t="shared" si="8"/>
        <v>PPL</v>
      </c>
      <c r="D69" s="71">
        <f t="shared" si="5"/>
        <v>2.3199999999999998E-2</v>
      </c>
      <c r="E69" s="182">
        <f t="shared" si="9"/>
        <v>0.65</v>
      </c>
      <c r="F69" s="194">
        <f t="shared" si="9"/>
        <v>0.13856912315153791</v>
      </c>
      <c r="G69" s="194">
        <f t="shared" si="3"/>
        <v>0.11536912315153791</v>
      </c>
      <c r="H69" s="185">
        <f t="shared" si="7"/>
        <v>9.8189930048499643E-2</v>
      </c>
    </row>
    <row r="70" spans="1:8">
      <c r="A70" s="172"/>
      <c r="B70" s="14" t="str">
        <f t="shared" si="8"/>
        <v>Southern Company</v>
      </c>
      <c r="C70" s="14" t="str">
        <f t="shared" si="8"/>
        <v>SO</v>
      </c>
      <c r="D70" s="71">
        <f t="shared" si="5"/>
        <v>2.3199999999999998E-2</v>
      </c>
      <c r="E70" s="182">
        <f t="shared" si="9"/>
        <v>0.5</v>
      </c>
      <c r="F70" s="194">
        <f t="shared" si="9"/>
        <v>0.13856912315153791</v>
      </c>
      <c r="G70" s="194">
        <f t="shared" si="3"/>
        <v>0.11536912315153791</v>
      </c>
      <c r="H70" s="185">
        <f t="shared" si="7"/>
        <v>8.0884561575768954E-2</v>
      </c>
    </row>
    <row r="71" spans="1:8">
      <c r="A71" s="172"/>
      <c r="B71" s="14" t="str">
        <f t="shared" si="8"/>
        <v>Xcel Energy Inc.</v>
      </c>
      <c r="C71" s="14" t="str">
        <f t="shared" si="8"/>
        <v>XEL</v>
      </c>
      <c r="D71" s="71">
        <f t="shared" si="5"/>
        <v>2.3199999999999998E-2</v>
      </c>
      <c r="E71" s="182">
        <f t="shared" si="9"/>
        <v>0.5</v>
      </c>
      <c r="F71" s="194">
        <f t="shared" si="9"/>
        <v>0.13856912315153791</v>
      </c>
      <c r="G71" s="194">
        <f t="shared" si="3"/>
        <v>0.11536912315153791</v>
      </c>
      <c r="H71" s="185">
        <f t="shared" si="7"/>
        <v>8.0884561575768954E-2</v>
      </c>
    </row>
    <row r="72" spans="1:8" ht="13.5" thickBot="1">
      <c r="A72" s="172"/>
      <c r="B72" s="186" t="s">
        <v>1258</v>
      </c>
      <c r="C72" s="186"/>
      <c r="D72" s="186"/>
      <c r="E72" s="186"/>
      <c r="F72" s="187"/>
      <c r="G72" s="187"/>
      <c r="H72" s="187">
        <f>AVERAGEIF(H49:H71, "&gt;0")</f>
        <v>9.1634866233071363E-2</v>
      </c>
    </row>
    <row r="73" spans="1:8">
      <c r="A73" s="172"/>
      <c r="B73" s="189"/>
      <c r="C73" s="172"/>
      <c r="D73" s="172"/>
      <c r="E73" s="172"/>
      <c r="F73" s="190"/>
      <c r="G73" s="190"/>
      <c r="H73" s="190"/>
    </row>
    <row r="74" spans="1:8">
      <c r="A74" s="172"/>
      <c r="B74" s="191" t="s">
        <v>23</v>
      </c>
      <c r="C74" s="172"/>
      <c r="D74" s="172"/>
      <c r="E74" s="172"/>
      <c r="F74" s="172"/>
      <c r="G74" s="172"/>
      <c r="H74" s="172"/>
    </row>
    <row r="75" spans="1:8">
      <c r="A75" s="172"/>
      <c r="B75" s="172" t="s">
        <v>1356</v>
      </c>
      <c r="C75" s="172"/>
      <c r="D75" s="172"/>
      <c r="E75" s="172"/>
      <c r="F75" s="172"/>
      <c r="G75" s="172"/>
      <c r="H75" s="172"/>
    </row>
    <row r="76" spans="1:8">
      <c r="A76" s="172"/>
      <c r="B76" s="192" t="s">
        <v>1318</v>
      </c>
      <c r="C76" s="172"/>
      <c r="D76" s="172"/>
      <c r="E76" s="172"/>
      <c r="F76" s="172"/>
      <c r="G76" s="172"/>
      <c r="H76" s="172"/>
    </row>
    <row r="77" spans="1:8">
      <c r="A77" s="172"/>
      <c r="B77" s="192" t="s">
        <v>1547</v>
      </c>
      <c r="C77" s="172"/>
      <c r="D77" s="172"/>
      <c r="E77" s="172"/>
      <c r="F77" s="172"/>
      <c r="G77" s="172"/>
      <c r="H77" s="172"/>
    </row>
    <row r="78" spans="1:8">
      <c r="A78" s="172"/>
      <c r="B78" s="172" t="s">
        <v>1315</v>
      </c>
      <c r="C78" s="172"/>
      <c r="D78" s="172"/>
      <c r="E78" s="172"/>
      <c r="F78" s="172"/>
      <c r="G78" s="172"/>
      <c r="H78" s="172"/>
    </row>
    <row r="79" spans="1:8">
      <c r="A79" s="172"/>
      <c r="B79" s="172" t="s">
        <v>1316</v>
      </c>
      <c r="C79" s="172"/>
      <c r="D79" s="172"/>
      <c r="E79" s="172"/>
      <c r="F79" s="172"/>
      <c r="G79" s="172"/>
      <c r="H79" s="172"/>
    </row>
    <row r="80" spans="1:8">
      <c r="A80" s="172"/>
      <c r="B80" s="172"/>
      <c r="C80" s="172"/>
      <c r="D80" s="172"/>
      <c r="E80" s="172"/>
      <c r="F80" s="172"/>
      <c r="G80" s="172"/>
      <c r="H80" s="172"/>
    </row>
    <row r="81" spans="1:8">
      <c r="A81" s="172"/>
      <c r="B81" s="172"/>
      <c r="C81" s="172"/>
      <c r="D81" s="172"/>
      <c r="E81" s="172"/>
      <c r="F81" s="172"/>
      <c r="G81" s="172"/>
      <c r="H81" s="172"/>
    </row>
    <row r="82" spans="1:8">
      <c r="A82" s="172"/>
      <c r="B82" s="173" t="s">
        <v>1319</v>
      </c>
      <c r="C82" s="174"/>
      <c r="D82" s="174"/>
      <c r="E82" s="174"/>
      <c r="F82" s="174"/>
      <c r="G82" s="175"/>
      <c r="H82" s="175"/>
    </row>
    <row r="83" spans="1:8">
      <c r="A83" s="172"/>
      <c r="B83" s="172"/>
      <c r="C83" s="172"/>
      <c r="D83" s="172"/>
      <c r="E83" s="172"/>
      <c r="F83" s="172"/>
      <c r="G83" s="172"/>
      <c r="H83" s="172"/>
    </row>
    <row r="84" spans="1:8">
      <c r="A84" s="172"/>
      <c r="B84" s="174" t="s">
        <v>1309</v>
      </c>
      <c r="C84" s="174"/>
      <c r="D84" s="174"/>
      <c r="E84" s="174"/>
      <c r="F84" s="174"/>
      <c r="G84" s="174"/>
      <c r="H84" s="174"/>
    </row>
    <row r="85" spans="1:8">
      <c r="A85" s="172"/>
      <c r="B85" s="172"/>
      <c r="C85" s="172"/>
      <c r="D85" s="172"/>
      <c r="E85" s="172"/>
      <c r="F85" s="172"/>
      <c r="G85" s="172"/>
      <c r="H85" s="172"/>
    </row>
    <row r="86" spans="1:8">
      <c r="A86" s="172"/>
      <c r="B86" s="172"/>
      <c r="C86" s="172"/>
      <c r="D86" s="172"/>
      <c r="E86" s="172"/>
      <c r="F86" s="172"/>
      <c r="G86" s="172"/>
      <c r="H86" s="172"/>
    </row>
    <row r="87" spans="1:8" ht="13.5" thickBot="1">
      <c r="A87" s="172"/>
      <c r="B87" s="172"/>
      <c r="C87" s="172"/>
      <c r="D87" s="176" t="s">
        <v>4</v>
      </c>
      <c r="E87" s="176" t="s">
        <v>5</v>
      </c>
      <c r="F87" s="176" t="s">
        <v>6</v>
      </c>
      <c r="G87" s="176" t="s">
        <v>7</v>
      </c>
      <c r="H87" s="176" t="s">
        <v>8</v>
      </c>
    </row>
    <row r="88" spans="1:8" ht="51">
      <c r="A88" s="172"/>
      <c r="B88" s="177" t="s">
        <v>0</v>
      </c>
      <c r="C88" s="177" t="s">
        <v>1</v>
      </c>
      <c r="D88" s="178" t="s">
        <v>1320</v>
      </c>
      <c r="E88" s="179" t="s">
        <v>1311</v>
      </c>
      <c r="F88" s="179" t="s">
        <v>1312</v>
      </c>
      <c r="G88" s="179" t="s">
        <v>1313</v>
      </c>
      <c r="H88" s="180" t="s">
        <v>1314</v>
      </c>
    </row>
    <row r="89" spans="1:8">
      <c r="A89" s="172"/>
      <c r="B89" s="193" t="str">
        <f>B49</f>
        <v>ALLETE, Inc.</v>
      </c>
      <c r="C89" s="193" t="str">
        <f>C49</f>
        <v>ALE</v>
      </c>
      <c r="D89" s="215">
        <v>3.5999999999999997E-2</v>
      </c>
      <c r="E89" s="182">
        <f>E49</f>
        <v>0.65</v>
      </c>
      <c r="F89" s="194">
        <f>F49</f>
        <v>0.13856912315153791</v>
      </c>
      <c r="G89" s="194">
        <f t="shared" ref="G89:G111" si="10">F89-D89</f>
        <v>0.10256912315153791</v>
      </c>
      <c r="H89" s="185">
        <f>IFERROR(G89*E89+D89, "")</f>
        <v>0.10266993004849964</v>
      </c>
    </row>
    <row r="90" spans="1:8">
      <c r="A90" s="172"/>
      <c r="B90" s="193" t="str">
        <f t="shared" ref="B90:C105" si="11">B50</f>
        <v>Alliant Energy Corporation</v>
      </c>
      <c r="C90" s="193" t="str">
        <f t="shared" si="11"/>
        <v>LNT</v>
      </c>
      <c r="D90" s="71">
        <v>3.5999999999999997E-2</v>
      </c>
      <c r="E90" s="182">
        <f t="shared" ref="E90:F105" si="12">E50</f>
        <v>0.6</v>
      </c>
      <c r="F90" s="194">
        <f t="shared" si="12"/>
        <v>0.13856912315153791</v>
      </c>
      <c r="G90" s="194">
        <f t="shared" si="10"/>
        <v>0.10256912315153791</v>
      </c>
      <c r="H90" s="185">
        <f t="shared" ref="H90:H111" si="13">IFERROR(G90*E90+D90, "")</f>
        <v>9.7541473890922742E-2</v>
      </c>
    </row>
    <row r="91" spans="1:8">
      <c r="A91" s="172"/>
      <c r="B91" s="193" t="str">
        <f t="shared" si="11"/>
        <v>Ameren Corporation</v>
      </c>
      <c r="C91" s="193" t="str">
        <f t="shared" si="11"/>
        <v>AEE</v>
      </c>
      <c r="D91" s="71">
        <v>3.5999999999999997E-2</v>
      </c>
      <c r="E91" s="182">
        <f t="shared" si="12"/>
        <v>0.55000000000000004</v>
      </c>
      <c r="F91" s="194">
        <f t="shared" si="12"/>
        <v>0.13856912315153791</v>
      </c>
      <c r="G91" s="194">
        <f t="shared" si="10"/>
        <v>0.10256912315153791</v>
      </c>
      <c r="H91" s="185">
        <f t="shared" si="13"/>
        <v>9.2413017733345842E-2</v>
      </c>
    </row>
    <row r="92" spans="1:8">
      <c r="A92" s="172"/>
      <c r="B92" s="193" t="str">
        <f t="shared" si="11"/>
        <v>American Electric Power Company, Inc.</v>
      </c>
      <c r="C92" s="193" t="str">
        <f t="shared" si="11"/>
        <v>AEP</v>
      </c>
      <c r="D92" s="71">
        <v>3.5999999999999997E-2</v>
      </c>
      <c r="E92" s="182">
        <f t="shared" si="12"/>
        <v>0.55000000000000004</v>
      </c>
      <c r="F92" s="194">
        <f t="shared" si="12"/>
        <v>0.13856912315153791</v>
      </c>
      <c r="G92" s="194">
        <f t="shared" si="10"/>
        <v>0.10256912315153791</v>
      </c>
      <c r="H92" s="185">
        <f t="shared" si="13"/>
        <v>9.2413017733345842E-2</v>
      </c>
    </row>
    <row r="93" spans="1:8">
      <c r="A93" s="172"/>
      <c r="B93" s="193" t="str">
        <f t="shared" si="11"/>
        <v>Avista Corporation</v>
      </c>
      <c r="C93" s="193" t="str">
        <f t="shared" si="11"/>
        <v>AVA</v>
      </c>
      <c r="D93" s="71">
        <v>3.5999999999999997E-2</v>
      </c>
      <c r="E93" s="182">
        <f t="shared" si="12"/>
        <v>0.6</v>
      </c>
      <c r="F93" s="194">
        <f t="shared" si="12"/>
        <v>0.13856912315153791</v>
      </c>
      <c r="G93" s="194">
        <f t="shared" si="10"/>
        <v>0.10256912315153791</v>
      </c>
      <c r="H93" s="185">
        <f t="shared" si="13"/>
        <v>9.7541473890922742E-2</v>
      </c>
    </row>
    <row r="94" spans="1:8">
      <c r="A94" s="172"/>
      <c r="B94" s="193" t="str">
        <f t="shared" si="11"/>
        <v>CenterPoint Energy, Inc.</v>
      </c>
      <c r="C94" s="193" t="str">
        <f t="shared" si="11"/>
        <v>CNP</v>
      </c>
      <c r="D94" s="71">
        <v>3.5999999999999997E-2</v>
      </c>
      <c r="E94" s="182">
        <f t="shared" si="12"/>
        <v>0.8</v>
      </c>
      <c r="F94" s="194">
        <f t="shared" si="12"/>
        <v>0.13856912315153791</v>
      </c>
      <c r="G94" s="194">
        <f t="shared" si="10"/>
        <v>0.10256912315153791</v>
      </c>
      <c r="H94" s="185">
        <f t="shared" si="13"/>
        <v>0.11805529852123034</v>
      </c>
    </row>
    <row r="95" spans="1:8">
      <c r="A95" s="172"/>
      <c r="B95" s="193" t="str">
        <f t="shared" si="11"/>
        <v>CMS Energy Corporation</v>
      </c>
      <c r="C95" s="193" t="str">
        <f t="shared" si="11"/>
        <v>CMS</v>
      </c>
      <c r="D95" s="71">
        <v>3.5999999999999997E-2</v>
      </c>
      <c r="E95" s="182">
        <f t="shared" si="12"/>
        <v>0.55000000000000004</v>
      </c>
      <c r="F95" s="194">
        <f t="shared" si="12"/>
        <v>0.13856912315153791</v>
      </c>
      <c r="G95" s="194">
        <f t="shared" si="10"/>
        <v>0.10256912315153791</v>
      </c>
      <c r="H95" s="185">
        <f t="shared" si="13"/>
        <v>9.2413017733345842E-2</v>
      </c>
    </row>
    <row r="96" spans="1:8">
      <c r="A96" s="172"/>
      <c r="B96" s="193" t="str">
        <f t="shared" si="11"/>
        <v>Dominion Resources, Inc.</v>
      </c>
      <c r="C96" s="193" t="str">
        <f t="shared" si="11"/>
        <v>D</v>
      </c>
      <c r="D96" s="71">
        <v>3.5999999999999997E-2</v>
      </c>
      <c r="E96" s="182">
        <f t="shared" si="12"/>
        <v>0.55000000000000004</v>
      </c>
      <c r="F96" s="194">
        <f t="shared" si="12"/>
        <v>0.13856912315153791</v>
      </c>
      <c r="G96" s="194">
        <f t="shared" si="10"/>
        <v>0.10256912315153791</v>
      </c>
      <c r="H96" s="185">
        <f t="shared" si="13"/>
        <v>9.2413017733345842E-2</v>
      </c>
    </row>
    <row r="97" spans="1:8">
      <c r="A97" s="172"/>
      <c r="B97" s="193" t="str">
        <f t="shared" si="11"/>
        <v>DTE Energy Company</v>
      </c>
      <c r="C97" s="193" t="str">
        <f t="shared" si="11"/>
        <v>DTE</v>
      </c>
      <c r="D97" s="71">
        <v>3.5999999999999997E-2</v>
      </c>
      <c r="E97" s="182">
        <f t="shared" si="12"/>
        <v>0.55000000000000004</v>
      </c>
      <c r="F97" s="194">
        <f t="shared" si="12"/>
        <v>0.13856912315153791</v>
      </c>
      <c r="G97" s="194">
        <f t="shared" si="10"/>
        <v>0.10256912315153791</v>
      </c>
      <c r="H97" s="185">
        <f t="shared" si="13"/>
        <v>9.2413017733345842E-2</v>
      </c>
    </row>
    <row r="98" spans="1:8">
      <c r="A98" s="172"/>
      <c r="B98" s="193" t="str">
        <f t="shared" si="11"/>
        <v>Duke Energy Corporation</v>
      </c>
      <c r="C98" s="193" t="str">
        <f t="shared" si="11"/>
        <v>DUK</v>
      </c>
      <c r="D98" s="71">
        <v>3.5999999999999997E-2</v>
      </c>
      <c r="E98" s="182">
        <f t="shared" si="12"/>
        <v>0.5</v>
      </c>
      <c r="F98" s="194">
        <f t="shared" si="12"/>
        <v>0.13856912315153791</v>
      </c>
      <c r="G98" s="194">
        <f t="shared" si="10"/>
        <v>0.10256912315153791</v>
      </c>
      <c r="H98" s="185">
        <f t="shared" si="13"/>
        <v>8.7284561575768943E-2</v>
      </c>
    </row>
    <row r="99" spans="1:8">
      <c r="A99" s="172"/>
      <c r="B99" s="193" t="str">
        <f t="shared" si="11"/>
        <v>Entergy Corporation</v>
      </c>
      <c r="C99" s="193" t="str">
        <f t="shared" si="11"/>
        <v>ETR</v>
      </c>
      <c r="D99" s="71">
        <v>3.5999999999999997E-2</v>
      </c>
      <c r="E99" s="182">
        <f t="shared" si="12"/>
        <v>0.6</v>
      </c>
      <c r="F99" s="194">
        <f t="shared" si="12"/>
        <v>0.13856912315153791</v>
      </c>
      <c r="G99" s="194">
        <f t="shared" si="10"/>
        <v>0.10256912315153791</v>
      </c>
      <c r="H99" s="185">
        <f t="shared" si="13"/>
        <v>9.7541473890922742E-2</v>
      </c>
    </row>
    <row r="100" spans="1:8">
      <c r="A100" s="172"/>
      <c r="B100" s="193" t="str">
        <f t="shared" si="11"/>
        <v xml:space="preserve">Evergy, Inc. </v>
      </c>
      <c r="C100" s="193" t="str">
        <f t="shared" si="11"/>
        <v>EVRG</v>
      </c>
      <c r="D100" s="71">
        <v>3.5999999999999997E-2</v>
      </c>
      <c r="E100" s="182" t="str">
        <f t="shared" si="12"/>
        <v>NMF</v>
      </c>
      <c r="F100" s="194">
        <f t="shared" si="12"/>
        <v>0.13856912315153791</v>
      </c>
      <c r="G100" s="194">
        <f t="shared" si="10"/>
        <v>0.10256912315153791</v>
      </c>
      <c r="H100" s="185" t="str">
        <f t="shared" si="13"/>
        <v/>
      </c>
    </row>
    <row r="101" spans="1:8">
      <c r="A101" s="172"/>
      <c r="B101" s="193" t="str">
        <f t="shared" si="11"/>
        <v>FirstEnergy Corporation</v>
      </c>
      <c r="C101" s="193" t="str">
        <f t="shared" si="11"/>
        <v>FE</v>
      </c>
      <c r="D101" s="71">
        <v>3.5999999999999997E-2</v>
      </c>
      <c r="E101" s="182">
        <f t="shared" si="12"/>
        <v>0.6</v>
      </c>
      <c r="F101" s="194">
        <f t="shared" si="12"/>
        <v>0.13856912315153791</v>
      </c>
      <c r="G101" s="194">
        <f t="shared" si="10"/>
        <v>0.10256912315153791</v>
      </c>
      <c r="H101" s="185">
        <f t="shared" si="13"/>
        <v>9.7541473890922742E-2</v>
      </c>
    </row>
    <row r="102" spans="1:8">
      <c r="A102" s="172"/>
      <c r="B102" s="193" t="str">
        <f t="shared" si="11"/>
        <v>IDACORP, Inc.</v>
      </c>
      <c r="C102" s="193" t="str">
        <f t="shared" si="11"/>
        <v>IDA</v>
      </c>
      <c r="D102" s="71">
        <v>3.5999999999999997E-2</v>
      </c>
      <c r="E102" s="182">
        <f t="shared" si="12"/>
        <v>0.6</v>
      </c>
      <c r="F102" s="194">
        <f t="shared" si="12"/>
        <v>0.13856912315153791</v>
      </c>
      <c r="G102" s="194">
        <f t="shared" si="10"/>
        <v>0.10256912315153791</v>
      </c>
      <c r="H102" s="185">
        <f t="shared" si="13"/>
        <v>9.7541473890922742E-2</v>
      </c>
    </row>
    <row r="103" spans="1:8">
      <c r="A103" s="172"/>
      <c r="B103" s="193" t="str">
        <f t="shared" si="11"/>
        <v>NextEra Energy, Inc.</v>
      </c>
      <c r="C103" s="193" t="str">
        <f t="shared" si="11"/>
        <v>NEE</v>
      </c>
      <c r="D103" s="71">
        <v>3.5999999999999997E-2</v>
      </c>
      <c r="E103" s="182">
        <f t="shared" si="12"/>
        <v>0.55000000000000004</v>
      </c>
      <c r="F103" s="194">
        <f t="shared" si="12"/>
        <v>0.13856912315153791</v>
      </c>
      <c r="G103" s="194">
        <f t="shared" si="10"/>
        <v>0.10256912315153791</v>
      </c>
      <c r="H103" s="185">
        <f t="shared" si="13"/>
        <v>9.2413017733345842E-2</v>
      </c>
    </row>
    <row r="104" spans="1:8">
      <c r="A104" s="172"/>
      <c r="B104" s="193" t="str">
        <f t="shared" si="11"/>
        <v>NorthWestern Corporation</v>
      </c>
      <c r="C104" s="193" t="str">
        <f t="shared" si="11"/>
        <v>NWE</v>
      </c>
      <c r="D104" s="71">
        <v>3.5999999999999997E-2</v>
      </c>
      <c r="E104" s="182">
        <f t="shared" si="12"/>
        <v>0.6</v>
      </c>
      <c r="F104" s="194">
        <f t="shared" si="12"/>
        <v>0.13856912315153791</v>
      </c>
      <c r="G104" s="194">
        <f t="shared" si="10"/>
        <v>0.10256912315153791</v>
      </c>
      <c r="H104" s="185">
        <f t="shared" si="13"/>
        <v>9.7541473890922742E-2</v>
      </c>
    </row>
    <row r="105" spans="1:8">
      <c r="A105" s="172"/>
      <c r="B105" s="193" t="str">
        <f t="shared" si="11"/>
        <v>OGE Energy Corporation</v>
      </c>
      <c r="C105" s="193" t="str">
        <f t="shared" si="11"/>
        <v>OGE</v>
      </c>
      <c r="D105" s="71">
        <v>3.5999999999999997E-2</v>
      </c>
      <c r="E105" s="182">
        <f t="shared" si="12"/>
        <v>0.8</v>
      </c>
      <c r="F105" s="194">
        <f t="shared" si="12"/>
        <v>0.13856912315153791</v>
      </c>
      <c r="G105" s="194">
        <f t="shared" si="10"/>
        <v>0.10256912315153791</v>
      </c>
      <c r="H105" s="185">
        <f t="shared" si="13"/>
        <v>0.11805529852123034</v>
      </c>
    </row>
    <row r="106" spans="1:8">
      <c r="A106" s="172"/>
      <c r="B106" s="193" t="str">
        <f t="shared" ref="B106:C111" si="14">B66</f>
        <v>Pinnacle West Capital Corporation</v>
      </c>
      <c r="C106" s="193" t="str">
        <f t="shared" si="14"/>
        <v>PNW</v>
      </c>
      <c r="D106" s="71">
        <v>3.5999999999999997E-2</v>
      </c>
      <c r="E106" s="182">
        <f t="shared" ref="E106:F111" si="15">E66</f>
        <v>0.55000000000000004</v>
      </c>
      <c r="F106" s="194">
        <f t="shared" si="15"/>
        <v>0.13856912315153791</v>
      </c>
      <c r="G106" s="194">
        <f t="shared" si="10"/>
        <v>0.10256912315153791</v>
      </c>
      <c r="H106" s="185">
        <f t="shared" si="13"/>
        <v>9.2413017733345842E-2</v>
      </c>
    </row>
    <row r="107" spans="1:8">
      <c r="A107" s="172"/>
      <c r="B107" s="193" t="str">
        <f t="shared" si="14"/>
        <v>PNM Resources, Inc.</v>
      </c>
      <c r="C107" s="193" t="str">
        <f t="shared" si="14"/>
        <v>PNM</v>
      </c>
      <c r="D107" s="71">
        <v>3.5999999999999997E-2</v>
      </c>
      <c r="E107" s="182">
        <f t="shared" si="15"/>
        <v>0.6</v>
      </c>
      <c r="F107" s="194">
        <f t="shared" si="15"/>
        <v>0.13856912315153791</v>
      </c>
      <c r="G107" s="194">
        <f t="shared" si="10"/>
        <v>0.10256912315153791</v>
      </c>
      <c r="H107" s="185">
        <f t="shared" si="13"/>
        <v>9.7541473890922742E-2</v>
      </c>
    </row>
    <row r="108" spans="1:8">
      <c r="A108" s="172"/>
      <c r="B108" s="193" t="str">
        <f t="shared" si="14"/>
        <v>Portland General Electric Company</v>
      </c>
      <c r="C108" s="193" t="str">
        <f t="shared" si="14"/>
        <v>POR</v>
      </c>
      <c r="D108" s="71">
        <v>3.5999999999999997E-2</v>
      </c>
      <c r="E108" s="182">
        <f t="shared" si="15"/>
        <v>0.6</v>
      </c>
      <c r="F108" s="194">
        <f t="shared" si="15"/>
        <v>0.13856912315153791</v>
      </c>
      <c r="G108" s="194">
        <f t="shared" si="10"/>
        <v>0.10256912315153791</v>
      </c>
      <c r="H108" s="185">
        <f t="shared" si="13"/>
        <v>9.7541473890922742E-2</v>
      </c>
    </row>
    <row r="109" spans="1:8">
      <c r="A109" s="172"/>
      <c r="B109" s="193" t="str">
        <f t="shared" si="14"/>
        <v>PPL Corporation</v>
      </c>
      <c r="C109" s="193" t="str">
        <f t="shared" si="14"/>
        <v>PPL</v>
      </c>
      <c r="D109" s="71">
        <v>3.5999999999999997E-2</v>
      </c>
      <c r="E109" s="182">
        <f t="shared" si="15"/>
        <v>0.65</v>
      </c>
      <c r="F109" s="194">
        <f t="shared" si="15"/>
        <v>0.13856912315153791</v>
      </c>
      <c r="G109" s="194">
        <f t="shared" si="10"/>
        <v>0.10256912315153791</v>
      </c>
      <c r="H109" s="185">
        <f t="shared" si="13"/>
        <v>0.10266993004849964</v>
      </c>
    </row>
    <row r="110" spans="1:8">
      <c r="A110" s="172"/>
      <c r="B110" s="193" t="str">
        <f t="shared" si="14"/>
        <v>Southern Company</v>
      </c>
      <c r="C110" s="193" t="str">
        <f t="shared" si="14"/>
        <v>SO</v>
      </c>
      <c r="D110" s="71">
        <v>3.5999999999999997E-2</v>
      </c>
      <c r="E110" s="182">
        <f t="shared" si="15"/>
        <v>0.5</v>
      </c>
      <c r="F110" s="194">
        <f t="shared" si="15"/>
        <v>0.13856912315153791</v>
      </c>
      <c r="G110" s="194">
        <f t="shared" si="10"/>
        <v>0.10256912315153791</v>
      </c>
      <c r="H110" s="185">
        <f t="shared" si="13"/>
        <v>8.7284561575768943E-2</v>
      </c>
    </row>
    <row r="111" spans="1:8">
      <c r="A111" s="172"/>
      <c r="B111" s="193" t="str">
        <f t="shared" si="14"/>
        <v>Xcel Energy Inc.</v>
      </c>
      <c r="C111" s="193" t="str">
        <f t="shared" si="14"/>
        <v>XEL</v>
      </c>
      <c r="D111" s="71">
        <v>3.5999999999999997E-2</v>
      </c>
      <c r="E111" s="182">
        <f t="shared" si="15"/>
        <v>0.5</v>
      </c>
      <c r="F111" s="194">
        <f t="shared" si="15"/>
        <v>0.13856912315153791</v>
      </c>
      <c r="G111" s="194">
        <f t="shared" si="10"/>
        <v>0.10256912315153791</v>
      </c>
      <c r="H111" s="185">
        <f t="shared" si="13"/>
        <v>8.7284561575768943E-2</v>
      </c>
    </row>
    <row r="112" spans="1:8" ht="13.5" thickBot="1">
      <c r="A112" s="172"/>
      <c r="B112" s="186" t="s">
        <v>1258</v>
      </c>
      <c r="C112" s="186"/>
      <c r="D112" s="186"/>
      <c r="E112" s="186"/>
      <c r="F112" s="187"/>
      <c r="G112" s="187"/>
      <c r="H112" s="187">
        <f>AVERAGEIF(H89:H111, "&gt;0")</f>
        <v>9.684213896034409E-2</v>
      </c>
    </row>
    <row r="113" spans="1:8">
      <c r="A113" s="172"/>
      <c r="B113" s="189"/>
      <c r="C113" s="172"/>
      <c r="D113" s="172"/>
      <c r="E113" s="172"/>
      <c r="F113" s="190"/>
      <c r="G113" s="190"/>
      <c r="H113" s="190"/>
    </row>
    <row r="114" spans="1:8">
      <c r="A114" s="172"/>
      <c r="B114" s="191" t="s">
        <v>23</v>
      </c>
      <c r="C114" s="172"/>
      <c r="D114" s="172"/>
      <c r="E114" s="172"/>
      <c r="F114" s="172"/>
      <c r="G114" s="172"/>
      <c r="H114" s="172"/>
    </row>
    <row r="115" spans="1:8">
      <c r="A115" s="172"/>
      <c r="B115" s="172" t="s">
        <v>1321</v>
      </c>
      <c r="C115" s="172"/>
      <c r="D115" s="172"/>
      <c r="E115" s="172"/>
      <c r="F115" s="172"/>
      <c r="G115" s="172"/>
      <c r="H115" s="172"/>
    </row>
    <row r="116" spans="1:8">
      <c r="A116" s="172"/>
      <c r="B116" s="192" t="s">
        <v>1318</v>
      </c>
      <c r="C116" s="172"/>
      <c r="D116" s="172"/>
      <c r="E116" s="172"/>
      <c r="F116" s="172"/>
      <c r="G116" s="172"/>
      <c r="H116" s="172"/>
    </row>
    <row r="117" spans="1:8">
      <c r="A117" s="172"/>
      <c r="B117" s="192" t="s">
        <v>1547</v>
      </c>
      <c r="C117" s="172"/>
      <c r="D117" s="172"/>
      <c r="E117" s="172"/>
      <c r="F117" s="172"/>
      <c r="G117" s="172"/>
      <c r="H117" s="172"/>
    </row>
    <row r="118" spans="1:8">
      <c r="A118" s="172"/>
      <c r="B118" s="172" t="s">
        <v>1315</v>
      </c>
      <c r="C118" s="172"/>
      <c r="D118" s="172"/>
      <c r="E118" s="172"/>
      <c r="F118" s="172"/>
      <c r="G118" s="172"/>
      <c r="H118" s="172"/>
    </row>
    <row r="119" spans="1:8">
      <c r="A119" s="172"/>
      <c r="B119" s="172" t="s">
        <v>1316</v>
      </c>
      <c r="C119" s="172"/>
      <c r="D119" s="172"/>
      <c r="E119" s="172"/>
      <c r="F119" s="172"/>
      <c r="G119" s="172"/>
      <c r="H119" s="172"/>
    </row>
    <row r="122" spans="1:8">
      <c r="B122" s="172"/>
      <c r="C122" s="172"/>
      <c r="D122" s="172"/>
      <c r="E122" s="172"/>
      <c r="F122" s="172"/>
      <c r="G122" s="172"/>
      <c r="H122" s="172"/>
    </row>
    <row r="123" spans="1:8">
      <c r="B123" s="173" t="s">
        <v>1322</v>
      </c>
      <c r="C123" s="174"/>
      <c r="D123" s="174"/>
      <c r="E123" s="174"/>
      <c r="F123" s="174"/>
      <c r="G123" s="175"/>
      <c r="H123" s="175"/>
    </row>
    <row r="124" spans="1:8">
      <c r="B124" s="172"/>
      <c r="C124" s="172"/>
      <c r="D124" s="172"/>
      <c r="E124" s="172"/>
      <c r="F124" s="172"/>
      <c r="G124" s="172"/>
      <c r="H124" s="172"/>
    </row>
    <row r="125" spans="1:8">
      <c r="B125" s="174" t="s">
        <v>1309</v>
      </c>
      <c r="C125" s="174"/>
      <c r="D125" s="174"/>
      <c r="E125" s="174"/>
      <c r="F125" s="174"/>
      <c r="G125" s="174"/>
      <c r="H125" s="174"/>
    </row>
    <row r="126" spans="1:8">
      <c r="B126" s="172"/>
      <c r="C126" s="172"/>
      <c r="D126" s="172"/>
      <c r="E126" s="172"/>
      <c r="F126" s="172"/>
      <c r="G126" s="172"/>
      <c r="H126" s="172"/>
    </row>
    <row r="127" spans="1:8">
      <c r="B127" s="172"/>
      <c r="C127" s="172"/>
      <c r="D127" s="172"/>
      <c r="E127" s="172"/>
      <c r="F127" s="172"/>
      <c r="G127" s="172"/>
      <c r="H127" s="172"/>
    </row>
    <row r="128" spans="1:8" ht="13.5" thickBot="1">
      <c r="B128" s="172"/>
      <c r="C128" s="172"/>
      <c r="D128" s="176" t="s">
        <v>4</v>
      </c>
      <c r="E128" s="176" t="s">
        <v>5</v>
      </c>
      <c r="F128" s="176" t="s">
        <v>6</v>
      </c>
      <c r="G128" s="176" t="s">
        <v>7</v>
      </c>
      <c r="H128" s="176" t="s">
        <v>8</v>
      </c>
    </row>
    <row r="129" spans="2:8" ht="51">
      <c r="B129" s="177" t="s">
        <v>0</v>
      </c>
      <c r="C129" s="177" t="s">
        <v>1</v>
      </c>
      <c r="D129" s="178" t="str">
        <f t="shared" ref="D129:D152" si="16">D8</f>
        <v>Current 30-day average of 30-year U.S. Treasury bond yield</v>
      </c>
      <c r="E129" s="179" t="s">
        <v>1311</v>
      </c>
      <c r="F129" s="179" t="s">
        <v>1312</v>
      </c>
      <c r="G129" s="179" t="s">
        <v>1313</v>
      </c>
      <c r="H129" s="180" t="s">
        <v>1314</v>
      </c>
    </row>
    <row r="130" spans="2:8">
      <c r="B130" s="181" t="str">
        <f>B89</f>
        <v>ALLETE, Inc.</v>
      </c>
      <c r="C130" s="181" t="str">
        <f>C89</f>
        <v>ALE</v>
      </c>
      <c r="D130" s="71">
        <f t="shared" si="16"/>
        <v>2.112E-2</v>
      </c>
      <c r="E130" s="182">
        <v>0.70205567462437013</v>
      </c>
      <c r="F130" s="194">
        <f>F89</f>
        <v>0.13856912315153791</v>
      </c>
      <c r="G130" s="184">
        <f t="shared" ref="G130:G152" si="17">F130-D130</f>
        <v>0.11744912315153791</v>
      </c>
      <c r="H130" s="185">
        <f>IFERROR(G130*E130+D130, "")</f>
        <v>0.10357582338819367</v>
      </c>
    </row>
    <row r="131" spans="2:8">
      <c r="B131" s="181" t="str">
        <f t="shared" ref="B131:C146" si="18">B90</f>
        <v>Alliant Energy Corporation</v>
      </c>
      <c r="C131" s="181" t="str">
        <f t="shared" si="18"/>
        <v>LNT</v>
      </c>
      <c r="D131" s="71">
        <f t="shared" si="16"/>
        <v>2.112E-2</v>
      </c>
      <c r="E131" s="182">
        <v>0.69388302902011856</v>
      </c>
      <c r="F131" s="194">
        <f t="shared" ref="F131:F152" si="19">F90</f>
        <v>0.13856912315153791</v>
      </c>
      <c r="G131" s="184">
        <f t="shared" si="17"/>
        <v>0.11744912315153791</v>
      </c>
      <c r="H131" s="185">
        <f t="shared" ref="H131:H152" si="20">IFERROR(G131*E131+D131, "")</f>
        <v>0.10261595332814606</v>
      </c>
    </row>
    <row r="132" spans="2:8">
      <c r="B132" s="181" t="str">
        <f t="shared" si="18"/>
        <v>Ameren Corporation</v>
      </c>
      <c r="C132" s="181" t="str">
        <f t="shared" si="18"/>
        <v>AEE</v>
      </c>
      <c r="D132" s="71">
        <f t="shared" si="16"/>
        <v>2.112E-2</v>
      </c>
      <c r="E132" s="182">
        <v>0.65188414695356778</v>
      </c>
      <c r="F132" s="194">
        <f t="shared" si="19"/>
        <v>0.13856912315153791</v>
      </c>
      <c r="G132" s="184">
        <f t="shared" si="17"/>
        <v>0.11744912315153791</v>
      </c>
      <c r="H132" s="185">
        <f t="shared" si="20"/>
        <v>9.7683221456084823E-2</v>
      </c>
    </row>
    <row r="133" spans="2:8">
      <c r="B133" s="181" t="str">
        <f t="shared" si="18"/>
        <v>American Electric Power Company, Inc.</v>
      </c>
      <c r="C133" s="181" t="str">
        <f t="shared" si="18"/>
        <v>AEP</v>
      </c>
      <c r="D133" s="71">
        <f t="shared" si="16"/>
        <v>2.112E-2</v>
      </c>
      <c r="E133" s="182">
        <v>0.63100535046058071</v>
      </c>
      <c r="F133" s="194">
        <f t="shared" si="19"/>
        <v>0.13856912315153791</v>
      </c>
      <c r="G133" s="184">
        <f t="shared" si="17"/>
        <v>0.11744912315153791</v>
      </c>
      <c r="H133" s="185">
        <f t="shared" si="20"/>
        <v>9.5231025115524087E-2</v>
      </c>
    </row>
    <row r="134" spans="2:8">
      <c r="B134" s="181" t="str">
        <f t="shared" si="18"/>
        <v>Avista Corporation</v>
      </c>
      <c r="C134" s="181" t="str">
        <f t="shared" si="18"/>
        <v>AVA</v>
      </c>
      <c r="D134" s="71">
        <f t="shared" si="16"/>
        <v>2.112E-2</v>
      </c>
      <c r="E134" s="182">
        <v>0.70337463442464276</v>
      </c>
      <c r="F134" s="194">
        <f t="shared" si="19"/>
        <v>0.13856912315153791</v>
      </c>
      <c r="G134" s="184">
        <f t="shared" si="17"/>
        <v>0.11744912315153791</v>
      </c>
      <c r="H134" s="185">
        <f t="shared" si="20"/>
        <v>0.10373073406020783</v>
      </c>
    </row>
    <row r="135" spans="2:8">
      <c r="B135" s="181" t="str">
        <f t="shared" si="18"/>
        <v>CenterPoint Energy, Inc.</v>
      </c>
      <c r="C135" s="181" t="str">
        <f t="shared" si="18"/>
        <v>CNP</v>
      </c>
      <c r="D135" s="71">
        <f t="shared" si="16"/>
        <v>2.112E-2</v>
      </c>
      <c r="E135" s="182">
        <v>0.72859689376478332</v>
      </c>
      <c r="F135" s="194">
        <f t="shared" si="19"/>
        <v>0.13856912315153791</v>
      </c>
      <c r="G135" s="184">
        <f t="shared" si="17"/>
        <v>0.11744912315153791</v>
      </c>
      <c r="H135" s="185">
        <f t="shared" si="20"/>
        <v>0.10669306630360802</v>
      </c>
    </row>
    <row r="136" spans="2:8">
      <c r="B136" s="181" t="str">
        <f t="shared" si="18"/>
        <v>CMS Energy Corporation</v>
      </c>
      <c r="C136" s="181" t="str">
        <f t="shared" si="18"/>
        <v>CMS</v>
      </c>
      <c r="D136" s="71">
        <f t="shared" si="16"/>
        <v>2.112E-2</v>
      </c>
      <c r="E136" s="182">
        <v>0.6501323471848105</v>
      </c>
      <c r="F136" s="194">
        <f t="shared" si="19"/>
        <v>0.13856912315153791</v>
      </c>
      <c r="G136" s="184">
        <f t="shared" si="17"/>
        <v>0.11744912315153791</v>
      </c>
      <c r="H136" s="185">
        <f t="shared" si="20"/>
        <v>9.7477474109307211E-2</v>
      </c>
    </row>
    <row r="137" spans="2:8">
      <c r="B137" s="181" t="str">
        <f t="shared" si="18"/>
        <v>Dominion Resources, Inc.</v>
      </c>
      <c r="C137" s="181" t="str">
        <f t="shared" si="18"/>
        <v>D</v>
      </c>
      <c r="D137" s="71">
        <f t="shared" si="16"/>
        <v>2.112E-2</v>
      </c>
      <c r="E137" s="182">
        <v>0.60308309728320153</v>
      </c>
      <c r="F137" s="194">
        <f t="shared" si="19"/>
        <v>0.13856912315153791</v>
      </c>
      <c r="G137" s="184">
        <f t="shared" si="17"/>
        <v>0.11744912315153791</v>
      </c>
      <c r="H137" s="185">
        <f t="shared" si="20"/>
        <v>9.195158096342565E-2</v>
      </c>
    </row>
    <row r="138" spans="2:8">
      <c r="B138" s="181" t="str">
        <f t="shared" si="18"/>
        <v>DTE Energy Company</v>
      </c>
      <c r="C138" s="181" t="str">
        <f t="shared" si="18"/>
        <v>DTE</v>
      </c>
      <c r="D138" s="71">
        <f t="shared" si="16"/>
        <v>2.112E-2</v>
      </c>
      <c r="E138" s="182">
        <v>0.66479636248361407</v>
      </c>
      <c r="F138" s="194">
        <f t="shared" si="19"/>
        <v>0.13856912315153791</v>
      </c>
      <c r="G138" s="184">
        <f t="shared" si="17"/>
        <v>0.11744912315153791</v>
      </c>
      <c r="H138" s="185">
        <f t="shared" si="20"/>
        <v>9.9199749848032426E-2</v>
      </c>
    </row>
    <row r="139" spans="2:8">
      <c r="B139" s="181" t="str">
        <f t="shared" si="18"/>
        <v>Duke Energy Corporation</v>
      </c>
      <c r="C139" s="181" t="str">
        <f t="shared" si="18"/>
        <v>DUK</v>
      </c>
      <c r="D139" s="71">
        <f t="shared" si="16"/>
        <v>2.112E-2</v>
      </c>
      <c r="E139" s="182">
        <v>0.53373287284546755</v>
      </c>
      <c r="F139" s="194">
        <f t="shared" si="19"/>
        <v>0.13856912315153791</v>
      </c>
      <c r="G139" s="184">
        <f t="shared" si="17"/>
        <v>0.11744912315153791</v>
      </c>
      <c r="H139" s="185">
        <f t="shared" si="20"/>
        <v>8.3806457912851448E-2</v>
      </c>
    </row>
    <row r="140" spans="2:8">
      <c r="B140" s="181" t="str">
        <f t="shared" si="18"/>
        <v>Entergy Corporation</v>
      </c>
      <c r="C140" s="181" t="str">
        <f t="shared" si="18"/>
        <v>ETR</v>
      </c>
      <c r="D140" s="71">
        <f t="shared" si="16"/>
        <v>2.112E-2</v>
      </c>
      <c r="E140" s="182">
        <v>0.64698162863294539</v>
      </c>
      <c r="F140" s="194">
        <f t="shared" si="19"/>
        <v>0.13856912315153791</v>
      </c>
      <c r="G140" s="184">
        <f t="shared" si="17"/>
        <v>0.11744912315153791</v>
      </c>
      <c r="H140" s="185">
        <f t="shared" si="20"/>
        <v>9.7107424978093368E-2</v>
      </c>
    </row>
    <row r="141" spans="2:8">
      <c r="B141" s="181" t="str">
        <f t="shared" si="18"/>
        <v xml:space="preserve">Evergy, Inc. </v>
      </c>
      <c r="C141" s="181" t="str">
        <f t="shared" si="18"/>
        <v>EVRG</v>
      </c>
      <c r="D141" s="71">
        <f t="shared" si="16"/>
        <v>2.112E-2</v>
      </c>
      <c r="E141" s="182">
        <v>0.63271739036222052</v>
      </c>
      <c r="F141" s="194">
        <f t="shared" si="19"/>
        <v>0.13856912315153791</v>
      </c>
      <c r="G141" s="184">
        <f t="shared" si="17"/>
        <v>0.11744912315153791</v>
      </c>
      <c r="H141" s="185">
        <f t="shared" si="20"/>
        <v>9.5432102700772126E-2</v>
      </c>
    </row>
    <row r="142" spans="2:8">
      <c r="B142" s="181" t="str">
        <f t="shared" si="18"/>
        <v>FirstEnergy Corporation</v>
      </c>
      <c r="C142" s="181" t="str">
        <f t="shared" si="18"/>
        <v>FE</v>
      </c>
      <c r="D142" s="71">
        <f t="shared" si="16"/>
        <v>2.112E-2</v>
      </c>
      <c r="E142" s="182">
        <v>0.68172052271488082</v>
      </c>
      <c r="F142" s="194">
        <f t="shared" si="19"/>
        <v>0.13856912315153791</v>
      </c>
      <c r="G142" s="184">
        <f t="shared" si="17"/>
        <v>0.11744912315153791</v>
      </c>
      <c r="H142" s="185">
        <f t="shared" si="20"/>
        <v>0.10118747762727083</v>
      </c>
    </row>
    <row r="143" spans="2:8">
      <c r="B143" s="181" t="str">
        <f t="shared" si="18"/>
        <v>IDACORP, Inc.</v>
      </c>
      <c r="C143" s="181" t="str">
        <f t="shared" si="18"/>
        <v>IDA</v>
      </c>
      <c r="D143" s="71">
        <f t="shared" si="16"/>
        <v>2.112E-2</v>
      </c>
      <c r="E143" s="182">
        <v>0.7314223961323828</v>
      </c>
      <c r="F143" s="194">
        <f t="shared" si="19"/>
        <v>0.13856912315153791</v>
      </c>
      <c r="G143" s="184">
        <f t="shared" si="17"/>
        <v>0.11744912315153791</v>
      </c>
      <c r="H143" s="185">
        <f t="shared" si="20"/>
        <v>0.10702491907914517</v>
      </c>
    </row>
    <row r="144" spans="2:8">
      <c r="B144" s="181" t="str">
        <f t="shared" si="18"/>
        <v>NextEra Energy, Inc.</v>
      </c>
      <c r="C144" s="181" t="str">
        <f t="shared" si="18"/>
        <v>NEE</v>
      </c>
      <c r="D144" s="71">
        <f t="shared" si="16"/>
        <v>2.112E-2</v>
      </c>
      <c r="E144" s="182">
        <v>0.64329450305452873</v>
      </c>
      <c r="F144" s="194">
        <f t="shared" si="19"/>
        <v>0.13856912315153791</v>
      </c>
      <c r="G144" s="184">
        <f t="shared" si="17"/>
        <v>0.11744912315153791</v>
      </c>
      <c r="H144" s="185">
        <f t="shared" si="20"/>
        <v>9.667437531195873E-2</v>
      </c>
    </row>
    <row r="145" spans="2:8">
      <c r="B145" s="181" t="str">
        <f t="shared" si="18"/>
        <v>NorthWestern Corporation</v>
      </c>
      <c r="C145" s="181" t="str">
        <f t="shared" si="18"/>
        <v>NWE</v>
      </c>
      <c r="D145" s="71">
        <f t="shared" si="16"/>
        <v>2.112E-2</v>
      </c>
      <c r="E145" s="182">
        <v>0.70336413982981782</v>
      </c>
      <c r="F145" s="194">
        <f t="shared" si="19"/>
        <v>0.13856912315153791</v>
      </c>
      <c r="G145" s="184">
        <f t="shared" si="17"/>
        <v>0.11744912315153791</v>
      </c>
      <c r="H145" s="185">
        <f t="shared" si="20"/>
        <v>0.10372950147924781</v>
      </c>
    </row>
    <row r="146" spans="2:8">
      <c r="B146" s="181" t="str">
        <f t="shared" si="18"/>
        <v>OGE Energy Corporation</v>
      </c>
      <c r="C146" s="181" t="str">
        <f t="shared" si="18"/>
        <v>OGE</v>
      </c>
      <c r="D146" s="71">
        <f t="shared" si="16"/>
        <v>2.112E-2</v>
      </c>
      <c r="E146" s="182">
        <v>0.74229104023963466</v>
      </c>
      <c r="F146" s="194">
        <f t="shared" si="19"/>
        <v>0.13856912315153791</v>
      </c>
      <c r="G146" s="184">
        <f t="shared" si="17"/>
        <v>0.11744912315153791</v>
      </c>
      <c r="H146" s="185">
        <f t="shared" si="20"/>
        <v>0.10830143179938803</v>
      </c>
    </row>
    <row r="147" spans="2:8">
      <c r="B147" s="181" t="str">
        <f t="shared" ref="B147:C152" si="21">B106</f>
        <v>Pinnacle West Capital Corporation</v>
      </c>
      <c r="C147" s="181" t="str">
        <f t="shared" si="21"/>
        <v>PNW</v>
      </c>
      <c r="D147" s="71">
        <f t="shared" si="16"/>
        <v>2.112E-2</v>
      </c>
      <c r="E147" s="182">
        <v>0.66239464673060888</v>
      </c>
      <c r="F147" s="194">
        <f t="shared" si="19"/>
        <v>0.13856912315153791</v>
      </c>
      <c r="G147" s="184">
        <f t="shared" si="17"/>
        <v>0.11744912315153791</v>
      </c>
      <c r="H147" s="185">
        <f t="shared" si="20"/>
        <v>9.8917670438782732E-2</v>
      </c>
    </row>
    <row r="148" spans="2:8">
      <c r="B148" s="181" t="str">
        <f t="shared" si="21"/>
        <v>PNM Resources, Inc.</v>
      </c>
      <c r="C148" s="181" t="str">
        <f t="shared" si="21"/>
        <v>PNM</v>
      </c>
      <c r="D148" s="71">
        <f t="shared" si="16"/>
        <v>2.112E-2</v>
      </c>
      <c r="E148" s="182">
        <v>0.75010181072913529</v>
      </c>
      <c r="F148" s="194">
        <f t="shared" si="19"/>
        <v>0.13856912315153791</v>
      </c>
      <c r="G148" s="184">
        <f t="shared" si="17"/>
        <v>0.11744912315153791</v>
      </c>
      <c r="H148" s="185">
        <f t="shared" si="20"/>
        <v>0.10921879994451779</v>
      </c>
    </row>
    <row r="149" spans="2:8">
      <c r="B149" s="181" t="str">
        <f t="shared" si="21"/>
        <v>Portland General Electric Company</v>
      </c>
      <c r="C149" s="181" t="str">
        <f t="shared" si="21"/>
        <v>POR</v>
      </c>
      <c r="D149" s="71">
        <f t="shared" si="16"/>
        <v>2.112E-2</v>
      </c>
      <c r="E149" s="182">
        <v>0.67598641501126266</v>
      </c>
      <c r="F149" s="194">
        <f t="shared" si="19"/>
        <v>0.13856912315153791</v>
      </c>
      <c r="G149" s="184">
        <f t="shared" si="17"/>
        <v>0.11744912315153791</v>
      </c>
      <c r="H149" s="185">
        <f t="shared" si="20"/>
        <v>0.1005140117054244</v>
      </c>
    </row>
    <row r="150" spans="2:8">
      <c r="B150" s="181" t="str">
        <f t="shared" si="21"/>
        <v>PPL Corporation</v>
      </c>
      <c r="C150" s="181" t="str">
        <f t="shared" si="21"/>
        <v>PPL</v>
      </c>
      <c r="D150" s="71">
        <f t="shared" si="16"/>
        <v>2.112E-2</v>
      </c>
      <c r="E150" s="182">
        <v>0.62999230648666282</v>
      </c>
      <c r="F150" s="194">
        <f t="shared" si="19"/>
        <v>0.13856912315153791</v>
      </c>
      <c r="G150" s="184">
        <f t="shared" si="17"/>
        <v>0.11744912315153791</v>
      </c>
      <c r="H150" s="185">
        <f t="shared" si="20"/>
        <v>9.5112043989073483E-2</v>
      </c>
    </row>
    <row r="151" spans="2:8">
      <c r="B151" s="181" t="str">
        <f t="shared" si="21"/>
        <v>Southern Company</v>
      </c>
      <c r="C151" s="181" t="str">
        <f t="shared" si="21"/>
        <v>SO</v>
      </c>
      <c r="D151" s="71">
        <f t="shared" si="16"/>
        <v>2.112E-2</v>
      </c>
      <c r="E151" s="182">
        <v>0.53087969562978254</v>
      </c>
      <c r="F151" s="194">
        <f t="shared" si="19"/>
        <v>0.13856912315153791</v>
      </c>
      <c r="G151" s="184">
        <f t="shared" si="17"/>
        <v>0.11744912315153791</v>
      </c>
      <c r="H151" s="185">
        <f t="shared" si="20"/>
        <v>8.3471354750673299E-2</v>
      </c>
    </row>
    <row r="152" spans="2:8">
      <c r="B152" s="181" t="str">
        <f t="shared" si="21"/>
        <v>Xcel Energy Inc.</v>
      </c>
      <c r="C152" s="181" t="str">
        <f t="shared" si="21"/>
        <v>XEL</v>
      </c>
      <c r="D152" s="71">
        <f t="shared" si="16"/>
        <v>2.112E-2</v>
      </c>
      <c r="E152" s="182">
        <v>0.57927780876949897</v>
      </c>
      <c r="F152" s="194">
        <f t="shared" si="19"/>
        <v>0.13856912315153791</v>
      </c>
      <c r="G152" s="184">
        <f t="shared" si="17"/>
        <v>0.11744912315153791</v>
      </c>
      <c r="H152" s="185">
        <f t="shared" si="20"/>
        <v>8.9155670701121917E-2</v>
      </c>
    </row>
    <row r="153" spans="2:8" ht="13.5" thickBot="1">
      <c r="B153" s="186" t="s">
        <v>1258</v>
      </c>
      <c r="C153" s="186"/>
      <c r="D153" s="186"/>
      <c r="E153" s="186"/>
      <c r="F153" s="187"/>
      <c r="G153" s="187"/>
      <c r="H153" s="187">
        <f>AVERAGEIF(H130:H152, "&gt;0")</f>
        <v>9.8600516130036994E-2</v>
      </c>
    </row>
    <row r="154" spans="2:8">
      <c r="B154" s="189"/>
      <c r="C154" s="172"/>
      <c r="D154" s="172"/>
      <c r="E154" s="172"/>
      <c r="F154" s="190"/>
      <c r="G154" s="190"/>
      <c r="H154" s="190"/>
    </row>
    <row r="155" spans="2:8">
      <c r="B155" s="191" t="s">
        <v>23</v>
      </c>
      <c r="C155" s="172"/>
      <c r="D155" s="172"/>
      <c r="E155" s="195"/>
      <c r="F155" s="172"/>
      <c r="G155" s="172"/>
      <c r="H155" s="172"/>
    </row>
    <row r="156" spans="2:8">
      <c r="B156" s="172" t="s">
        <v>52</v>
      </c>
      <c r="C156" s="172"/>
      <c r="D156" s="172"/>
      <c r="E156" s="172"/>
      <c r="F156" s="172"/>
      <c r="G156" s="172"/>
      <c r="H156" s="172"/>
    </row>
    <row r="157" spans="2:8">
      <c r="B157" s="192" t="s">
        <v>1297</v>
      </c>
      <c r="C157" s="172"/>
      <c r="D157" s="172"/>
      <c r="E157" s="172"/>
      <c r="F157" s="172"/>
      <c r="G157" s="172"/>
      <c r="H157" s="172"/>
    </row>
    <row r="158" spans="2:8">
      <c r="B158" s="192" t="s">
        <v>1547</v>
      </c>
      <c r="C158" s="172"/>
      <c r="D158" s="172"/>
      <c r="E158" s="172"/>
      <c r="F158" s="172"/>
      <c r="G158" s="172"/>
      <c r="H158" s="172"/>
    </row>
    <row r="159" spans="2:8">
      <c r="B159" s="172" t="s">
        <v>1315</v>
      </c>
      <c r="C159" s="172"/>
      <c r="D159" s="172"/>
      <c r="E159" s="172"/>
      <c r="F159" s="172"/>
      <c r="G159" s="172"/>
      <c r="H159" s="172"/>
    </row>
    <row r="160" spans="2:8">
      <c r="B160" s="172" t="s">
        <v>1316</v>
      </c>
      <c r="C160" s="172"/>
      <c r="D160" s="172"/>
      <c r="E160" s="172"/>
      <c r="F160" s="172"/>
      <c r="G160" s="172"/>
      <c r="H160" s="172"/>
    </row>
    <row r="161" spans="2:8">
      <c r="B161" s="172"/>
      <c r="C161" s="172"/>
      <c r="D161" s="172"/>
      <c r="E161" s="172"/>
      <c r="F161" s="172"/>
      <c r="G161" s="172"/>
      <c r="H161" s="172"/>
    </row>
    <row r="162" spans="2:8">
      <c r="B162" s="172"/>
      <c r="C162" s="172"/>
      <c r="D162" s="172"/>
      <c r="E162" s="172"/>
      <c r="F162" s="172"/>
      <c r="G162" s="172"/>
      <c r="H162" s="172"/>
    </row>
    <row r="163" spans="2:8">
      <c r="B163" s="173" t="s">
        <v>1323</v>
      </c>
      <c r="C163" s="174"/>
      <c r="D163" s="174"/>
      <c r="E163" s="174"/>
      <c r="F163" s="174"/>
      <c r="G163" s="175"/>
      <c r="H163" s="175"/>
    </row>
    <row r="164" spans="2:8">
      <c r="B164" s="172"/>
      <c r="C164" s="172"/>
      <c r="D164" s="172"/>
      <c r="E164" s="172"/>
      <c r="F164" s="172"/>
      <c r="G164" s="172"/>
      <c r="H164" s="172"/>
    </row>
    <row r="165" spans="2:8">
      <c r="B165" s="174" t="s">
        <v>1309</v>
      </c>
      <c r="C165" s="174"/>
      <c r="D165" s="174"/>
      <c r="E165" s="174"/>
      <c r="F165" s="174"/>
      <c r="G165" s="174"/>
      <c r="H165" s="174"/>
    </row>
    <row r="166" spans="2:8">
      <c r="B166" s="172"/>
      <c r="C166" s="172"/>
      <c r="D166" s="172"/>
      <c r="E166" s="172"/>
      <c r="F166" s="172"/>
      <c r="G166" s="172"/>
      <c r="H166" s="172"/>
    </row>
    <row r="167" spans="2:8">
      <c r="B167" s="172"/>
      <c r="C167" s="172"/>
      <c r="D167" s="172"/>
      <c r="E167" s="172"/>
      <c r="F167" s="172"/>
      <c r="G167" s="172"/>
      <c r="H167" s="172"/>
    </row>
    <row r="168" spans="2:8" ht="13.5" thickBot="1">
      <c r="B168" s="172"/>
      <c r="C168" s="172"/>
      <c r="D168" s="176" t="s">
        <v>4</v>
      </c>
      <c r="E168" s="176" t="s">
        <v>5</v>
      </c>
      <c r="F168" s="176" t="s">
        <v>6</v>
      </c>
      <c r="G168" s="176" t="s">
        <v>7</v>
      </c>
      <c r="H168" s="176" t="s">
        <v>8</v>
      </c>
    </row>
    <row r="169" spans="2:8" ht="51">
      <c r="B169" s="177" t="s">
        <v>0</v>
      </c>
      <c r="C169" s="177" t="s">
        <v>1</v>
      </c>
      <c r="D169" s="178" t="str">
        <f>D88</f>
        <v>Projected 30-year U.S. Treasury bond yield (2021 - 2025)</v>
      </c>
      <c r="E169" s="179" t="s">
        <v>1311</v>
      </c>
      <c r="F169" s="179" t="s">
        <v>1312</v>
      </c>
      <c r="G169" s="179" t="s">
        <v>1313</v>
      </c>
      <c r="H169" s="180" t="s">
        <v>1314</v>
      </c>
    </row>
    <row r="170" spans="2:8">
      <c r="B170" s="193" t="str">
        <f>B130</f>
        <v>ALLETE, Inc.</v>
      </c>
      <c r="C170" s="193" t="str">
        <f>C130</f>
        <v>ALE</v>
      </c>
      <c r="D170" s="196">
        <f t="shared" ref="D170:D192" si="22">D49</f>
        <v>2.3199999999999998E-2</v>
      </c>
      <c r="E170" s="182">
        <f>E130</f>
        <v>0.70205567462437013</v>
      </c>
      <c r="F170" s="194">
        <f>F130</f>
        <v>0.13856912315153791</v>
      </c>
      <c r="G170" s="184">
        <f t="shared" ref="G170:G192" si="23">F170-D170</f>
        <v>0.11536912315153791</v>
      </c>
      <c r="H170" s="185">
        <f>IFERROR(G170*E170+D170, "")</f>
        <v>0.10419554758497498</v>
      </c>
    </row>
    <row r="171" spans="2:8">
      <c r="B171" s="193" t="str">
        <f t="shared" ref="B171:C186" si="24">B131</f>
        <v>Alliant Energy Corporation</v>
      </c>
      <c r="C171" s="193" t="str">
        <f t="shared" si="24"/>
        <v>LNT</v>
      </c>
      <c r="D171" s="196">
        <f t="shared" si="22"/>
        <v>2.3199999999999998E-2</v>
      </c>
      <c r="E171" s="182">
        <f t="shared" ref="E171:F186" si="25">E131</f>
        <v>0.69388302902011856</v>
      </c>
      <c r="F171" s="194">
        <f t="shared" si="25"/>
        <v>0.13856912315153791</v>
      </c>
      <c r="G171" s="184">
        <f t="shared" si="23"/>
        <v>0.11536912315153791</v>
      </c>
      <c r="H171" s="185">
        <f t="shared" ref="H171:H192" si="26">IFERROR(G171*E171+D171, "")</f>
        <v>0.10325267662778422</v>
      </c>
    </row>
    <row r="172" spans="2:8">
      <c r="B172" s="193" t="str">
        <f t="shared" si="24"/>
        <v>Ameren Corporation</v>
      </c>
      <c r="C172" s="193" t="str">
        <f t="shared" si="24"/>
        <v>AEE</v>
      </c>
      <c r="D172" s="196">
        <f t="shared" si="22"/>
        <v>2.3199999999999998E-2</v>
      </c>
      <c r="E172" s="182">
        <f t="shared" si="25"/>
        <v>0.65188414695356778</v>
      </c>
      <c r="F172" s="194">
        <f t="shared" si="25"/>
        <v>0.13856912315153791</v>
      </c>
      <c r="G172" s="184">
        <f t="shared" si="23"/>
        <v>0.11536912315153791</v>
      </c>
      <c r="H172" s="185">
        <f t="shared" si="26"/>
        <v>9.8407302430421395E-2</v>
      </c>
    </row>
    <row r="173" spans="2:8">
      <c r="B173" s="193" t="str">
        <f t="shared" si="24"/>
        <v>American Electric Power Company, Inc.</v>
      </c>
      <c r="C173" s="193" t="str">
        <f t="shared" si="24"/>
        <v>AEP</v>
      </c>
      <c r="D173" s="196">
        <f t="shared" si="22"/>
        <v>2.3199999999999998E-2</v>
      </c>
      <c r="E173" s="182">
        <f t="shared" si="25"/>
        <v>0.63100535046058071</v>
      </c>
      <c r="F173" s="194">
        <f t="shared" si="25"/>
        <v>0.13856912315153791</v>
      </c>
      <c r="G173" s="184">
        <f t="shared" si="23"/>
        <v>0.11536912315153791</v>
      </c>
      <c r="H173" s="185">
        <f t="shared" si="26"/>
        <v>9.5998533986566076E-2</v>
      </c>
    </row>
    <row r="174" spans="2:8">
      <c r="B174" s="193" t="str">
        <f t="shared" si="24"/>
        <v>Avista Corporation</v>
      </c>
      <c r="C174" s="193" t="str">
        <f t="shared" si="24"/>
        <v>AVA</v>
      </c>
      <c r="D174" s="196">
        <f t="shared" si="22"/>
        <v>2.3199999999999998E-2</v>
      </c>
      <c r="E174" s="182">
        <f t="shared" si="25"/>
        <v>0.70337463442464276</v>
      </c>
      <c r="F174" s="194">
        <f t="shared" si="25"/>
        <v>0.13856912315153791</v>
      </c>
      <c r="G174" s="184">
        <f t="shared" si="23"/>
        <v>0.11536912315153791</v>
      </c>
      <c r="H174" s="185">
        <f t="shared" si="26"/>
        <v>0.10434771482060456</v>
      </c>
    </row>
    <row r="175" spans="2:8">
      <c r="B175" s="193" t="str">
        <f t="shared" si="24"/>
        <v>CenterPoint Energy, Inc.</v>
      </c>
      <c r="C175" s="193" t="str">
        <f t="shared" si="24"/>
        <v>CNP</v>
      </c>
      <c r="D175" s="196">
        <f t="shared" si="22"/>
        <v>2.3199999999999998E-2</v>
      </c>
      <c r="E175" s="182">
        <f t="shared" si="25"/>
        <v>0.72859689376478332</v>
      </c>
      <c r="F175" s="194">
        <f t="shared" si="25"/>
        <v>0.13856912315153791</v>
      </c>
      <c r="G175" s="184">
        <f t="shared" si="23"/>
        <v>0.11536912315153791</v>
      </c>
      <c r="H175" s="185">
        <f t="shared" si="26"/>
        <v>0.10725758476457727</v>
      </c>
    </row>
    <row r="176" spans="2:8">
      <c r="B176" s="193" t="str">
        <f t="shared" si="24"/>
        <v>CMS Energy Corporation</v>
      </c>
      <c r="C176" s="193" t="str">
        <f t="shared" si="24"/>
        <v>CMS</v>
      </c>
      <c r="D176" s="196">
        <f t="shared" si="22"/>
        <v>2.3199999999999998E-2</v>
      </c>
      <c r="E176" s="182">
        <f t="shared" si="25"/>
        <v>0.6501323471848105</v>
      </c>
      <c r="F176" s="194">
        <f t="shared" si="25"/>
        <v>0.13856912315153791</v>
      </c>
      <c r="G176" s="184">
        <f t="shared" si="23"/>
        <v>0.11536912315153791</v>
      </c>
      <c r="H176" s="185">
        <f t="shared" si="26"/>
        <v>9.8205198827162804E-2</v>
      </c>
    </row>
    <row r="177" spans="2:8">
      <c r="B177" s="193" t="str">
        <f t="shared" si="24"/>
        <v>Dominion Resources, Inc.</v>
      </c>
      <c r="C177" s="193" t="str">
        <f t="shared" si="24"/>
        <v>D</v>
      </c>
      <c r="D177" s="196">
        <f t="shared" si="22"/>
        <v>2.3199999999999998E-2</v>
      </c>
      <c r="E177" s="182">
        <f t="shared" si="25"/>
        <v>0.60308309728320153</v>
      </c>
      <c r="F177" s="194">
        <f t="shared" si="25"/>
        <v>0.13856912315153791</v>
      </c>
      <c r="G177" s="184">
        <f t="shared" si="23"/>
        <v>0.11536912315153791</v>
      </c>
      <c r="H177" s="185">
        <f t="shared" si="26"/>
        <v>9.27771681210766E-2</v>
      </c>
    </row>
    <row r="178" spans="2:8">
      <c r="B178" s="193" t="str">
        <f t="shared" si="24"/>
        <v>DTE Energy Company</v>
      </c>
      <c r="C178" s="193" t="str">
        <f t="shared" si="24"/>
        <v>DTE</v>
      </c>
      <c r="D178" s="196">
        <f t="shared" si="22"/>
        <v>2.3199999999999998E-2</v>
      </c>
      <c r="E178" s="182">
        <f t="shared" si="25"/>
        <v>0.66479636248361407</v>
      </c>
      <c r="F178" s="194">
        <f t="shared" si="25"/>
        <v>0.13856912315153791</v>
      </c>
      <c r="G178" s="184">
        <f t="shared" si="23"/>
        <v>0.11536912315153791</v>
      </c>
      <c r="H178" s="185">
        <f t="shared" si="26"/>
        <v>9.9896973414066503E-2</v>
      </c>
    </row>
    <row r="179" spans="2:8">
      <c r="B179" s="193" t="str">
        <f t="shared" si="24"/>
        <v>Duke Energy Corporation</v>
      </c>
      <c r="C179" s="193" t="str">
        <f t="shared" si="24"/>
        <v>DUK</v>
      </c>
      <c r="D179" s="196">
        <f t="shared" si="22"/>
        <v>2.3199999999999998E-2</v>
      </c>
      <c r="E179" s="182">
        <f t="shared" si="25"/>
        <v>0.53373287284546755</v>
      </c>
      <c r="F179" s="194">
        <f t="shared" si="25"/>
        <v>0.13856912315153791</v>
      </c>
      <c r="G179" s="184">
        <f t="shared" si="23"/>
        <v>0.11536912315153791</v>
      </c>
      <c r="H179" s="185">
        <f t="shared" si="26"/>
        <v>8.4776293537332875E-2</v>
      </c>
    </row>
    <row r="180" spans="2:8">
      <c r="B180" s="193" t="str">
        <f t="shared" si="24"/>
        <v>Entergy Corporation</v>
      </c>
      <c r="C180" s="193" t="str">
        <f t="shared" si="24"/>
        <v>ETR</v>
      </c>
      <c r="D180" s="196">
        <f t="shared" si="22"/>
        <v>2.3199999999999998E-2</v>
      </c>
      <c r="E180" s="182">
        <f t="shared" si="25"/>
        <v>0.64698162863294539</v>
      </c>
      <c r="F180" s="194">
        <f t="shared" si="25"/>
        <v>0.13856912315153791</v>
      </c>
      <c r="G180" s="184">
        <f t="shared" si="23"/>
        <v>0.11536912315153791</v>
      </c>
      <c r="H180" s="185">
        <f t="shared" si="26"/>
        <v>9.7841703190536838E-2</v>
      </c>
    </row>
    <row r="181" spans="2:8">
      <c r="B181" s="193" t="str">
        <f t="shared" si="24"/>
        <v xml:space="preserve">Evergy, Inc. </v>
      </c>
      <c r="C181" s="193" t="str">
        <f t="shared" si="24"/>
        <v>EVRG</v>
      </c>
      <c r="D181" s="196">
        <f t="shared" si="22"/>
        <v>2.3199999999999998E-2</v>
      </c>
      <c r="E181" s="182">
        <f t="shared" si="25"/>
        <v>0.63271739036222052</v>
      </c>
      <c r="F181" s="194">
        <f t="shared" si="25"/>
        <v>0.13856912315153791</v>
      </c>
      <c r="G181" s="184">
        <f t="shared" si="23"/>
        <v>0.11536912315153791</v>
      </c>
      <c r="H181" s="185">
        <f t="shared" si="26"/>
        <v>9.6196050528818702E-2</v>
      </c>
    </row>
    <row r="182" spans="2:8">
      <c r="B182" s="193" t="str">
        <f t="shared" si="24"/>
        <v>FirstEnergy Corporation</v>
      </c>
      <c r="C182" s="193" t="str">
        <f t="shared" si="24"/>
        <v>FE</v>
      </c>
      <c r="D182" s="196">
        <f t="shared" si="22"/>
        <v>2.3199999999999998E-2</v>
      </c>
      <c r="E182" s="182">
        <f t="shared" si="25"/>
        <v>0.68172052271488082</v>
      </c>
      <c r="F182" s="194">
        <f t="shared" si="25"/>
        <v>0.13856912315153791</v>
      </c>
      <c r="G182" s="184">
        <f t="shared" si="23"/>
        <v>0.11536912315153791</v>
      </c>
      <c r="H182" s="185">
        <f t="shared" si="26"/>
        <v>0.10184949894002387</v>
      </c>
    </row>
    <row r="183" spans="2:8">
      <c r="B183" s="193" t="str">
        <f t="shared" si="24"/>
        <v>IDACORP, Inc.</v>
      </c>
      <c r="C183" s="193" t="str">
        <f t="shared" si="24"/>
        <v>IDA</v>
      </c>
      <c r="D183" s="196">
        <f t="shared" si="22"/>
        <v>2.3199999999999998E-2</v>
      </c>
      <c r="E183" s="182">
        <f t="shared" si="25"/>
        <v>0.7314223961323828</v>
      </c>
      <c r="F183" s="194">
        <f t="shared" si="25"/>
        <v>0.13856912315153791</v>
      </c>
      <c r="G183" s="184">
        <f t="shared" si="23"/>
        <v>0.11536912315153791</v>
      </c>
      <c r="H183" s="185">
        <f t="shared" si="26"/>
        <v>0.10758356049518981</v>
      </c>
    </row>
    <row r="184" spans="2:8">
      <c r="B184" s="193" t="str">
        <f t="shared" si="24"/>
        <v>NextEra Energy, Inc.</v>
      </c>
      <c r="C184" s="193" t="str">
        <f t="shared" si="24"/>
        <v>NEE</v>
      </c>
      <c r="D184" s="196">
        <f t="shared" si="22"/>
        <v>2.3199999999999998E-2</v>
      </c>
      <c r="E184" s="182">
        <f t="shared" si="25"/>
        <v>0.64329450305452873</v>
      </c>
      <c r="F184" s="194">
        <f t="shared" si="25"/>
        <v>0.13856912315153791</v>
      </c>
      <c r="G184" s="184">
        <f t="shared" si="23"/>
        <v>0.11536912315153791</v>
      </c>
      <c r="H184" s="185">
        <f t="shared" si="26"/>
        <v>9.7416322745605299E-2</v>
      </c>
    </row>
    <row r="185" spans="2:8">
      <c r="B185" s="193" t="str">
        <f t="shared" si="24"/>
        <v>NorthWestern Corporation</v>
      </c>
      <c r="C185" s="193" t="str">
        <f t="shared" si="24"/>
        <v>NWE</v>
      </c>
      <c r="D185" s="196">
        <f t="shared" si="22"/>
        <v>2.3199999999999998E-2</v>
      </c>
      <c r="E185" s="182">
        <f t="shared" si="25"/>
        <v>0.70336413982981782</v>
      </c>
      <c r="F185" s="194">
        <f t="shared" si="25"/>
        <v>0.13856912315153791</v>
      </c>
      <c r="G185" s="184">
        <f t="shared" si="23"/>
        <v>0.11536912315153791</v>
      </c>
      <c r="H185" s="185">
        <f t="shared" si="26"/>
        <v>0.10434650406840178</v>
      </c>
    </row>
    <row r="186" spans="2:8">
      <c r="B186" s="193" t="str">
        <f t="shared" si="24"/>
        <v>OGE Energy Corporation</v>
      </c>
      <c r="C186" s="193" t="str">
        <f t="shared" si="24"/>
        <v>OGE</v>
      </c>
      <c r="D186" s="196">
        <f t="shared" si="22"/>
        <v>2.3199999999999998E-2</v>
      </c>
      <c r="E186" s="182">
        <f t="shared" si="25"/>
        <v>0.74229104023963466</v>
      </c>
      <c r="F186" s="194">
        <f t="shared" si="25"/>
        <v>0.13856912315153791</v>
      </c>
      <c r="G186" s="184">
        <f t="shared" si="23"/>
        <v>0.11536912315153791</v>
      </c>
      <c r="H186" s="185">
        <f t="shared" si="26"/>
        <v>0.10883746643568959</v>
      </c>
    </row>
    <row r="187" spans="2:8">
      <c r="B187" s="193" t="str">
        <f t="shared" ref="B187:C192" si="27">B147</f>
        <v>Pinnacle West Capital Corporation</v>
      </c>
      <c r="C187" s="193" t="str">
        <f t="shared" si="27"/>
        <v>PNW</v>
      </c>
      <c r="D187" s="196">
        <f t="shared" si="22"/>
        <v>2.3199999999999998E-2</v>
      </c>
      <c r="E187" s="182">
        <f t="shared" ref="E187:F192" si="28">E147</f>
        <v>0.66239464673060888</v>
      </c>
      <c r="F187" s="194">
        <f t="shared" si="28"/>
        <v>0.13856912315153791</v>
      </c>
      <c r="G187" s="184">
        <f t="shared" si="23"/>
        <v>0.11536912315153791</v>
      </c>
      <c r="H187" s="185">
        <f t="shared" si="26"/>
        <v>9.9619889573583059E-2</v>
      </c>
    </row>
    <row r="188" spans="2:8">
      <c r="B188" s="193" t="str">
        <f t="shared" si="27"/>
        <v>PNM Resources, Inc.</v>
      </c>
      <c r="C188" s="193" t="str">
        <f t="shared" si="27"/>
        <v>PNM</v>
      </c>
      <c r="D188" s="196">
        <f t="shared" si="22"/>
        <v>2.3199999999999998E-2</v>
      </c>
      <c r="E188" s="182">
        <f t="shared" si="28"/>
        <v>0.75010181072913529</v>
      </c>
      <c r="F188" s="194">
        <f t="shared" si="28"/>
        <v>0.13856912315153791</v>
      </c>
      <c r="G188" s="184">
        <f t="shared" si="23"/>
        <v>0.11536912315153791</v>
      </c>
      <c r="H188" s="185">
        <f t="shared" si="26"/>
        <v>0.10973858817820119</v>
      </c>
    </row>
    <row r="189" spans="2:8">
      <c r="B189" s="193" t="str">
        <f t="shared" si="27"/>
        <v>Portland General Electric Company</v>
      </c>
      <c r="C189" s="193" t="str">
        <f t="shared" si="27"/>
        <v>POR</v>
      </c>
      <c r="D189" s="196">
        <f t="shared" si="22"/>
        <v>2.3199999999999998E-2</v>
      </c>
      <c r="E189" s="182">
        <f t="shared" si="28"/>
        <v>0.67598641501126266</v>
      </c>
      <c r="F189" s="194">
        <f t="shared" si="28"/>
        <v>0.13856912315153791</v>
      </c>
      <c r="G189" s="184">
        <f t="shared" si="23"/>
        <v>0.11536912315153791</v>
      </c>
      <c r="H189" s="185">
        <f t="shared" si="26"/>
        <v>0.10118795996220098</v>
      </c>
    </row>
    <row r="190" spans="2:8">
      <c r="B190" s="193" t="str">
        <f t="shared" si="27"/>
        <v>PPL Corporation</v>
      </c>
      <c r="C190" s="193" t="str">
        <f t="shared" si="27"/>
        <v>PPL</v>
      </c>
      <c r="D190" s="196">
        <f t="shared" si="22"/>
        <v>2.3199999999999998E-2</v>
      </c>
      <c r="E190" s="182">
        <f t="shared" si="28"/>
        <v>0.62999230648666282</v>
      </c>
      <c r="F190" s="194">
        <f t="shared" si="28"/>
        <v>0.13856912315153791</v>
      </c>
      <c r="G190" s="184">
        <f t="shared" si="23"/>
        <v>0.11536912315153791</v>
      </c>
      <c r="H190" s="185">
        <f t="shared" si="26"/>
        <v>9.5881659991581214E-2</v>
      </c>
    </row>
    <row r="191" spans="2:8">
      <c r="B191" s="193" t="str">
        <f t="shared" si="27"/>
        <v>Southern Company</v>
      </c>
      <c r="C191" s="193" t="str">
        <f t="shared" si="27"/>
        <v>SO</v>
      </c>
      <c r="D191" s="196">
        <f t="shared" si="22"/>
        <v>2.3199999999999998E-2</v>
      </c>
      <c r="E191" s="182">
        <f t="shared" si="28"/>
        <v>0.53087969562978254</v>
      </c>
      <c r="F191" s="194">
        <f t="shared" si="28"/>
        <v>0.13856912315153791</v>
      </c>
      <c r="G191" s="184">
        <f t="shared" si="23"/>
        <v>0.11536912315153791</v>
      </c>
      <c r="H191" s="185">
        <f t="shared" si="26"/>
        <v>8.4447124983763333E-2</v>
      </c>
    </row>
    <row r="192" spans="2:8">
      <c r="B192" s="193" t="str">
        <f t="shared" si="27"/>
        <v>Xcel Energy Inc.</v>
      </c>
      <c r="C192" s="193" t="str">
        <f t="shared" si="27"/>
        <v>XEL</v>
      </c>
      <c r="D192" s="196">
        <f t="shared" si="22"/>
        <v>2.3199999999999998E-2</v>
      </c>
      <c r="E192" s="182">
        <f t="shared" si="28"/>
        <v>0.57927780876949897</v>
      </c>
      <c r="F192" s="194">
        <f t="shared" si="28"/>
        <v>0.13856912315153791</v>
      </c>
      <c r="G192" s="184">
        <f t="shared" si="23"/>
        <v>0.11536912315153791</v>
      </c>
      <c r="H192" s="185">
        <f t="shared" si="26"/>
        <v>9.003077285888135E-2</v>
      </c>
    </row>
    <row r="193" spans="2:8" ht="13.5" thickBot="1">
      <c r="B193" s="186" t="s">
        <v>1258</v>
      </c>
      <c r="C193" s="186"/>
      <c r="D193" s="186"/>
      <c r="E193" s="186"/>
      <c r="F193" s="187"/>
      <c r="G193" s="187"/>
      <c r="H193" s="187">
        <f>AVERAGEIF(H170:H192, "&gt;0")</f>
        <v>9.9308352002914976E-2</v>
      </c>
    </row>
    <row r="194" spans="2:8">
      <c r="B194" s="189"/>
      <c r="C194" s="172"/>
      <c r="D194" s="172"/>
      <c r="E194" s="172"/>
      <c r="F194" s="190"/>
      <c r="G194" s="190"/>
      <c r="H194" s="190"/>
    </row>
    <row r="195" spans="2:8">
      <c r="B195" s="191" t="s">
        <v>23</v>
      </c>
      <c r="C195" s="172"/>
      <c r="D195" s="172"/>
      <c r="E195" s="172"/>
      <c r="F195" s="172"/>
      <c r="G195" s="172"/>
      <c r="H195" s="172"/>
    </row>
    <row r="196" spans="2:8">
      <c r="B196" s="172" t="str">
        <f>B75</f>
        <v>[1] Source: Blue Chip Financial Forecasts, Vol. 38, No. 10, October 1, 2019, at 2</v>
      </c>
      <c r="C196" s="172"/>
      <c r="D196" s="172"/>
      <c r="E196" s="172"/>
      <c r="F196" s="172"/>
      <c r="G196" s="172"/>
      <c r="H196" s="172"/>
    </row>
    <row r="197" spans="2:8">
      <c r="B197" s="172" t="s">
        <v>1297</v>
      </c>
      <c r="C197" s="172"/>
      <c r="D197" s="172"/>
      <c r="E197" s="172"/>
      <c r="F197" s="172"/>
      <c r="G197" s="172"/>
      <c r="H197" s="172"/>
    </row>
    <row r="198" spans="2:8">
      <c r="B198" s="192" t="s">
        <v>1547</v>
      </c>
      <c r="C198" s="172"/>
      <c r="D198" s="172"/>
      <c r="E198" s="172"/>
      <c r="F198" s="172"/>
      <c r="G198" s="172"/>
      <c r="H198" s="172"/>
    </row>
    <row r="199" spans="2:8">
      <c r="B199" s="172" t="s">
        <v>1315</v>
      </c>
      <c r="C199" s="172"/>
      <c r="D199" s="172"/>
      <c r="E199" s="172"/>
      <c r="F199" s="172"/>
      <c r="G199" s="172"/>
      <c r="H199" s="172"/>
    </row>
    <row r="200" spans="2:8">
      <c r="B200" s="172" t="s">
        <v>1316</v>
      </c>
      <c r="C200" s="172"/>
      <c r="D200" s="172"/>
      <c r="E200" s="172"/>
      <c r="F200" s="172"/>
      <c r="G200" s="172"/>
      <c r="H200" s="172"/>
    </row>
    <row r="201" spans="2:8">
      <c r="B201" s="172"/>
      <c r="C201" s="172"/>
      <c r="D201" s="172"/>
      <c r="E201" s="172"/>
      <c r="F201" s="172"/>
      <c r="G201" s="172"/>
      <c r="H201" s="172"/>
    </row>
    <row r="202" spans="2:8">
      <c r="B202" s="172"/>
      <c r="C202" s="172"/>
      <c r="D202" s="172"/>
      <c r="E202" s="172"/>
      <c r="F202" s="172"/>
      <c r="G202" s="172"/>
      <c r="H202" s="172"/>
    </row>
    <row r="203" spans="2:8">
      <c r="B203" s="173" t="s">
        <v>1324</v>
      </c>
      <c r="C203" s="174"/>
      <c r="D203" s="174"/>
      <c r="E203" s="174"/>
      <c r="F203" s="174"/>
      <c r="G203" s="175"/>
      <c r="H203" s="175"/>
    </row>
    <row r="204" spans="2:8">
      <c r="B204" s="172"/>
      <c r="C204" s="172"/>
      <c r="D204" s="172"/>
      <c r="E204" s="172"/>
      <c r="F204" s="172"/>
      <c r="G204" s="172"/>
      <c r="H204" s="172"/>
    </row>
    <row r="205" spans="2:8">
      <c r="B205" s="174" t="s">
        <v>1309</v>
      </c>
      <c r="C205" s="174"/>
      <c r="D205" s="174"/>
      <c r="E205" s="174"/>
      <c r="F205" s="174"/>
      <c r="G205" s="174"/>
      <c r="H205" s="174"/>
    </row>
    <row r="206" spans="2:8">
      <c r="B206" s="172"/>
      <c r="C206" s="172"/>
      <c r="D206" s="172"/>
      <c r="E206" s="172"/>
      <c r="F206" s="172"/>
      <c r="G206" s="172"/>
      <c r="H206" s="172"/>
    </row>
    <row r="207" spans="2:8">
      <c r="B207" s="172"/>
      <c r="C207" s="172"/>
      <c r="D207" s="172"/>
      <c r="E207" s="172"/>
      <c r="F207" s="172"/>
      <c r="G207" s="172"/>
      <c r="H207" s="172"/>
    </row>
    <row r="208" spans="2:8" ht="13.5" thickBot="1">
      <c r="B208" s="172"/>
      <c r="C208" s="172"/>
      <c r="D208" s="176" t="s">
        <v>4</v>
      </c>
      <c r="E208" s="176" t="s">
        <v>5</v>
      </c>
      <c r="F208" s="176" t="s">
        <v>6</v>
      </c>
      <c r="G208" s="176" t="s">
        <v>7</v>
      </c>
      <c r="H208" s="176" t="s">
        <v>8</v>
      </c>
    </row>
    <row r="209" spans="2:8" ht="51">
      <c r="B209" s="177" t="s">
        <v>0</v>
      </c>
      <c r="C209" s="177" t="s">
        <v>1</v>
      </c>
      <c r="D209" s="178" t="str">
        <f>D88</f>
        <v>Projected 30-year U.S. Treasury bond yield (2021 - 2025)</v>
      </c>
      <c r="E209" s="179" t="s">
        <v>1311</v>
      </c>
      <c r="F209" s="179" t="s">
        <v>1312</v>
      </c>
      <c r="G209" s="179" t="s">
        <v>1313</v>
      </c>
      <c r="H209" s="180" t="s">
        <v>1314</v>
      </c>
    </row>
    <row r="210" spans="2:8">
      <c r="B210" s="193" t="str">
        <f>B170</f>
        <v>ALLETE, Inc.</v>
      </c>
      <c r="C210" s="193" t="str">
        <f>C170</f>
        <v>ALE</v>
      </c>
      <c r="D210" s="71">
        <f>D89</f>
        <v>3.5999999999999997E-2</v>
      </c>
      <c r="E210" s="182">
        <f>E170</f>
        <v>0.70205567462437013</v>
      </c>
      <c r="F210" s="194">
        <f>F170</f>
        <v>0.13856912315153791</v>
      </c>
      <c r="G210" s="184">
        <f t="shared" ref="G210:G232" si="29">F210-D210</f>
        <v>0.10256912315153791</v>
      </c>
      <c r="H210" s="185">
        <f>IFERROR(G210*E210+D210, "")</f>
        <v>0.10800923494978304</v>
      </c>
    </row>
    <row r="211" spans="2:8">
      <c r="B211" s="193" t="str">
        <f t="shared" ref="B211:C226" si="30">B171</f>
        <v>Alliant Energy Corporation</v>
      </c>
      <c r="C211" s="193" t="str">
        <f t="shared" si="30"/>
        <v>LNT</v>
      </c>
      <c r="D211" s="71">
        <f t="shared" ref="D211:D232" si="31">D90</f>
        <v>3.5999999999999997E-2</v>
      </c>
      <c r="E211" s="182">
        <f t="shared" ref="E211:F226" si="32">E171</f>
        <v>0.69388302902011856</v>
      </c>
      <c r="F211" s="194">
        <f t="shared" si="32"/>
        <v>0.13856912315153791</v>
      </c>
      <c r="G211" s="184">
        <f t="shared" si="29"/>
        <v>0.10256912315153791</v>
      </c>
      <c r="H211" s="185">
        <f t="shared" ref="H211:H232" si="33">IFERROR(G211*E211+D211, "")</f>
        <v>0.10717097385632668</v>
      </c>
    </row>
    <row r="212" spans="2:8">
      <c r="B212" s="193" t="str">
        <f t="shared" si="30"/>
        <v>Ameren Corporation</v>
      </c>
      <c r="C212" s="193" t="str">
        <f t="shared" si="30"/>
        <v>AEE</v>
      </c>
      <c r="D212" s="71">
        <f t="shared" si="31"/>
        <v>3.5999999999999997E-2</v>
      </c>
      <c r="E212" s="182">
        <f t="shared" si="32"/>
        <v>0.65188414695356778</v>
      </c>
      <c r="F212" s="194">
        <f t="shared" si="32"/>
        <v>0.13856912315153791</v>
      </c>
      <c r="G212" s="184">
        <f t="shared" si="29"/>
        <v>0.10256912315153791</v>
      </c>
      <c r="H212" s="185">
        <f t="shared" si="33"/>
        <v>0.10286318534941571</v>
      </c>
    </row>
    <row r="213" spans="2:8">
      <c r="B213" s="193" t="str">
        <f t="shared" si="30"/>
        <v>American Electric Power Company, Inc.</v>
      </c>
      <c r="C213" s="193" t="str">
        <f t="shared" si="30"/>
        <v>AEP</v>
      </c>
      <c r="D213" s="71">
        <f t="shared" si="31"/>
        <v>3.5999999999999997E-2</v>
      </c>
      <c r="E213" s="182">
        <f t="shared" si="32"/>
        <v>0.63100535046058071</v>
      </c>
      <c r="F213" s="194">
        <f t="shared" si="32"/>
        <v>0.13856912315153791</v>
      </c>
      <c r="G213" s="184">
        <f t="shared" si="29"/>
        <v>0.10256912315153791</v>
      </c>
      <c r="H213" s="185">
        <f t="shared" si="33"/>
        <v>0.10072166550067063</v>
      </c>
    </row>
    <row r="214" spans="2:8">
      <c r="B214" s="193" t="str">
        <f t="shared" si="30"/>
        <v>Avista Corporation</v>
      </c>
      <c r="C214" s="193" t="str">
        <f t="shared" si="30"/>
        <v>AVA</v>
      </c>
      <c r="D214" s="71">
        <f t="shared" si="31"/>
        <v>3.5999999999999997E-2</v>
      </c>
      <c r="E214" s="182">
        <f t="shared" si="32"/>
        <v>0.70337463442464276</v>
      </c>
      <c r="F214" s="194">
        <f t="shared" si="32"/>
        <v>0.13856912315153791</v>
      </c>
      <c r="G214" s="184">
        <f t="shared" si="29"/>
        <v>0.10256912315153791</v>
      </c>
      <c r="H214" s="185">
        <f t="shared" si="33"/>
        <v>0.10814451949996914</v>
      </c>
    </row>
    <row r="215" spans="2:8">
      <c r="B215" s="193" t="str">
        <f t="shared" si="30"/>
        <v>CenterPoint Energy, Inc.</v>
      </c>
      <c r="C215" s="193" t="str">
        <f t="shared" si="30"/>
        <v>CNP</v>
      </c>
      <c r="D215" s="71">
        <f t="shared" si="31"/>
        <v>3.5999999999999997E-2</v>
      </c>
      <c r="E215" s="182">
        <f t="shared" si="32"/>
        <v>0.72859689376478332</v>
      </c>
      <c r="F215" s="194">
        <f t="shared" si="32"/>
        <v>0.13856912315153791</v>
      </c>
      <c r="G215" s="184">
        <f t="shared" si="29"/>
        <v>0.10256912315153791</v>
      </c>
      <c r="H215" s="185">
        <f t="shared" si="33"/>
        <v>0.11073154452438805</v>
      </c>
    </row>
    <row r="216" spans="2:8">
      <c r="B216" s="193" t="str">
        <f t="shared" si="30"/>
        <v>CMS Energy Corporation</v>
      </c>
      <c r="C216" s="193" t="str">
        <f t="shared" si="30"/>
        <v>CMS</v>
      </c>
      <c r="D216" s="71">
        <f t="shared" si="31"/>
        <v>3.5999999999999997E-2</v>
      </c>
      <c r="E216" s="182">
        <f t="shared" si="32"/>
        <v>0.6501323471848105</v>
      </c>
      <c r="F216" s="194">
        <f t="shared" si="32"/>
        <v>0.13856912315153791</v>
      </c>
      <c r="G216" s="184">
        <f t="shared" si="29"/>
        <v>0.10256912315153791</v>
      </c>
      <c r="H216" s="185">
        <f t="shared" si="33"/>
        <v>0.10268350478319721</v>
      </c>
    </row>
    <row r="217" spans="2:8">
      <c r="B217" s="193" t="str">
        <f t="shared" si="30"/>
        <v>Dominion Resources, Inc.</v>
      </c>
      <c r="C217" s="193" t="str">
        <f t="shared" si="30"/>
        <v>D</v>
      </c>
      <c r="D217" s="71">
        <f t="shared" si="31"/>
        <v>3.5999999999999997E-2</v>
      </c>
      <c r="E217" s="182">
        <f t="shared" si="32"/>
        <v>0.60308309728320153</v>
      </c>
      <c r="F217" s="194">
        <f t="shared" si="32"/>
        <v>0.13856912315153791</v>
      </c>
      <c r="G217" s="184">
        <f t="shared" si="29"/>
        <v>0.10256912315153791</v>
      </c>
      <c r="H217" s="185">
        <f t="shared" si="33"/>
        <v>9.7857704475851612E-2</v>
      </c>
    </row>
    <row r="218" spans="2:8">
      <c r="B218" s="193" t="str">
        <f t="shared" si="30"/>
        <v>DTE Energy Company</v>
      </c>
      <c r="C218" s="193" t="str">
        <f t="shared" si="30"/>
        <v>DTE</v>
      </c>
      <c r="D218" s="71">
        <f t="shared" si="31"/>
        <v>3.5999999999999997E-2</v>
      </c>
      <c r="E218" s="182">
        <f t="shared" si="32"/>
        <v>0.66479636248361407</v>
      </c>
      <c r="F218" s="194">
        <f t="shared" si="32"/>
        <v>0.13856912315153791</v>
      </c>
      <c r="G218" s="184">
        <f t="shared" si="29"/>
        <v>0.10256912315153791</v>
      </c>
      <c r="H218" s="185">
        <f t="shared" si="33"/>
        <v>0.10418757997427625</v>
      </c>
    </row>
    <row r="219" spans="2:8">
      <c r="B219" s="193" t="str">
        <f t="shared" si="30"/>
        <v>Duke Energy Corporation</v>
      </c>
      <c r="C219" s="193" t="str">
        <f t="shared" si="30"/>
        <v>DUK</v>
      </c>
      <c r="D219" s="71">
        <f t="shared" si="31"/>
        <v>3.5999999999999997E-2</v>
      </c>
      <c r="E219" s="182">
        <f t="shared" si="32"/>
        <v>0.53373287284546755</v>
      </c>
      <c r="F219" s="194">
        <f t="shared" si="32"/>
        <v>0.13856912315153791</v>
      </c>
      <c r="G219" s="184">
        <f t="shared" si="29"/>
        <v>0.10256912315153791</v>
      </c>
      <c r="H219" s="185">
        <f t="shared" si="33"/>
        <v>9.0744512764910884E-2</v>
      </c>
    </row>
    <row r="220" spans="2:8">
      <c r="B220" s="193" t="str">
        <f t="shared" si="30"/>
        <v>Entergy Corporation</v>
      </c>
      <c r="C220" s="193" t="str">
        <f t="shared" si="30"/>
        <v>ETR</v>
      </c>
      <c r="D220" s="71">
        <f t="shared" si="31"/>
        <v>3.5999999999999997E-2</v>
      </c>
      <c r="E220" s="182">
        <f t="shared" si="32"/>
        <v>0.64698162863294539</v>
      </c>
      <c r="F220" s="194">
        <f t="shared" si="32"/>
        <v>0.13856912315153791</v>
      </c>
      <c r="G220" s="184">
        <f t="shared" si="29"/>
        <v>0.10256912315153791</v>
      </c>
      <c r="H220" s="185">
        <f t="shared" si="33"/>
        <v>0.10236033834403513</v>
      </c>
    </row>
    <row r="221" spans="2:8">
      <c r="B221" s="193" t="str">
        <f t="shared" si="30"/>
        <v xml:space="preserve">Evergy, Inc. </v>
      </c>
      <c r="C221" s="193" t="str">
        <f t="shared" si="30"/>
        <v>EVRG</v>
      </c>
      <c r="D221" s="71">
        <f t="shared" si="31"/>
        <v>3.5999999999999997E-2</v>
      </c>
      <c r="E221" s="182">
        <f t="shared" si="32"/>
        <v>0.63271739036222052</v>
      </c>
      <c r="F221" s="194">
        <f t="shared" si="32"/>
        <v>0.13856912315153791</v>
      </c>
      <c r="G221" s="184">
        <f t="shared" si="29"/>
        <v>0.10256912315153791</v>
      </c>
      <c r="H221" s="185">
        <f t="shared" si="33"/>
        <v>0.10089726793218229</v>
      </c>
    </row>
    <row r="222" spans="2:8">
      <c r="B222" s="193" t="str">
        <f t="shared" si="30"/>
        <v>FirstEnergy Corporation</v>
      </c>
      <c r="C222" s="193" t="str">
        <f t="shared" si="30"/>
        <v>FE</v>
      </c>
      <c r="D222" s="71">
        <f t="shared" si="31"/>
        <v>3.5999999999999997E-2</v>
      </c>
      <c r="E222" s="182">
        <f t="shared" si="32"/>
        <v>0.68172052271488082</v>
      </c>
      <c r="F222" s="194">
        <f t="shared" si="32"/>
        <v>0.13856912315153791</v>
      </c>
      <c r="G222" s="184">
        <f t="shared" si="29"/>
        <v>0.10256912315153791</v>
      </c>
      <c r="H222" s="185">
        <f t="shared" si="33"/>
        <v>0.1059234762492734</v>
      </c>
    </row>
    <row r="223" spans="2:8">
      <c r="B223" s="193" t="str">
        <f t="shared" si="30"/>
        <v>IDACORP, Inc.</v>
      </c>
      <c r="C223" s="193" t="str">
        <f t="shared" si="30"/>
        <v>IDA</v>
      </c>
      <c r="D223" s="71">
        <f t="shared" si="31"/>
        <v>3.5999999999999997E-2</v>
      </c>
      <c r="E223" s="182">
        <f t="shared" si="32"/>
        <v>0.7314223961323828</v>
      </c>
      <c r="F223" s="194">
        <f t="shared" si="32"/>
        <v>0.13856912315153791</v>
      </c>
      <c r="G223" s="184">
        <f t="shared" si="29"/>
        <v>0.10256912315153791</v>
      </c>
      <c r="H223" s="185">
        <f t="shared" si="33"/>
        <v>0.1110213538246953</v>
      </c>
    </row>
    <row r="224" spans="2:8">
      <c r="B224" s="193" t="str">
        <f t="shared" si="30"/>
        <v>NextEra Energy, Inc.</v>
      </c>
      <c r="C224" s="193" t="str">
        <f t="shared" si="30"/>
        <v>NEE</v>
      </c>
      <c r="D224" s="71">
        <f t="shared" si="31"/>
        <v>3.5999999999999997E-2</v>
      </c>
      <c r="E224" s="182">
        <f t="shared" si="32"/>
        <v>0.64329450305452873</v>
      </c>
      <c r="F224" s="194">
        <f t="shared" si="32"/>
        <v>0.13856912315153791</v>
      </c>
      <c r="G224" s="184">
        <f t="shared" si="29"/>
        <v>0.10256912315153791</v>
      </c>
      <c r="H224" s="185">
        <f t="shared" si="33"/>
        <v>0.10198215310650732</v>
      </c>
    </row>
    <row r="225" spans="2:8">
      <c r="B225" s="193" t="str">
        <f t="shared" si="30"/>
        <v>NorthWestern Corporation</v>
      </c>
      <c r="C225" s="193" t="str">
        <f t="shared" si="30"/>
        <v>NWE</v>
      </c>
      <c r="D225" s="71">
        <f t="shared" si="31"/>
        <v>3.5999999999999997E-2</v>
      </c>
      <c r="E225" s="182">
        <f t="shared" si="32"/>
        <v>0.70336413982981782</v>
      </c>
      <c r="F225" s="194">
        <f t="shared" si="32"/>
        <v>0.13856912315153791</v>
      </c>
      <c r="G225" s="184">
        <f t="shared" si="29"/>
        <v>0.10256912315153791</v>
      </c>
      <c r="H225" s="185">
        <f t="shared" si="33"/>
        <v>0.10814344307858012</v>
      </c>
    </row>
    <row r="226" spans="2:8">
      <c r="B226" s="193" t="str">
        <f t="shared" si="30"/>
        <v>OGE Energy Corporation</v>
      </c>
      <c r="C226" s="193" t="str">
        <f t="shared" si="30"/>
        <v>OGE</v>
      </c>
      <c r="D226" s="71">
        <f t="shared" si="31"/>
        <v>3.5999999999999997E-2</v>
      </c>
      <c r="E226" s="182">
        <f t="shared" si="32"/>
        <v>0.74229104023963466</v>
      </c>
      <c r="F226" s="194">
        <f t="shared" si="32"/>
        <v>0.13856912315153791</v>
      </c>
      <c r="G226" s="184">
        <f t="shared" si="29"/>
        <v>0.10256912315153791</v>
      </c>
      <c r="H226" s="185">
        <f t="shared" si="33"/>
        <v>0.11213614112062226</v>
      </c>
    </row>
    <row r="227" spans="2:8">
      <c r="B227" s="193" t="str">
        <f t="shared" ref="B227:C232" si="34">B187</f>
        <v>Pinnacle West Capital Corporation</v>
      </c>
      <c r="C227" s="193" t="str">
        <f t="shared" si="34"/>
        <v>PNW</v>
      </c>
      <c r="D227" s="71">
        <f t="shared" si="31"/>
        <v>3.5999999999999997E-2</v>
      </c>
      <c r="E227" s="182">
        <f t="shared" ref="E227:F232" si="35">E187</f>
        <v>0.66239464673060888</v>
      </c>
      <c r="F227" s="194">
        <f t="shared" si="35"/>
        <v>0.13856912315153791</v>
      </c>
      <c r="G227" s="184">
        <f t="shared" si="29"/>
        <v>0.10256912315153791</v>
      </c>
      <c r="H227" s="185">
        <f t="shared" si="33"/>
        <v>0.10394123809543127</v>
      </c>
    </row>
    <row r="228" spans="2:8">
      <c r="B228" s="193" t="str">
        <f t="shared" si="34"/>
        <v>PNM Resources, Inc.</v>
      </c>
      <c r="C228" s="193" t="str">
        <f t="shared" si="34"/>
        <v>PNM</v>
      </c>
      <c r="D228" s="71">
        <f t="shared" si="31"/>
        <v>3.5999999999999997E-2</v>
      </c>
      <c r="E228" s="182">
        <f t="shared" si="35"/>
        <v>0.75010181072913529</v>
      </c>
      <c r="F228" s="194">
        <f t="shared" si="35"/>
        <v>0.13856912315153791</v>
      </c>
      <c r="G228" s="184">
        <f t="shared" si="29"/>
        <v>0.10256912315153791</v>
      </c>
      <c r="H228" s="185">
        <f t="shared" si="33"/>
        <v>0.11293728500086825</v>
      </c>
    </row>
    <row r="229" spans="2:8">
      <c r="B229" s="193" t="str">
        <f t="shared" si="34"/>
        <v>Portland General Electric Company</v>
      </c>
      <c r="C229" s="193" t="str">
        <f t="shared" si="34"/>
        <v>POR</v>
      </c>
      <c r="D229" s="71">
        <f t="shared" si="31"/>
        <v>3.5999999999999997E-2</v>
      </c>
      <c r="E229" s="182">
        <f t="shared" si="35"/>
        <v>0.67598641501126266</v>
      </c>
      <c r="F229" s="194">
        <f t="shared" si="35"/>
        <v>0.13856912315153791</v>
      </c>
      <c r="G229" s="184">
        <f t="shared" si="29"/>
        <v>0.10256912315153791</v>
      </c>
      <c r="H229" s="185">
        <f t="shared" si="33"/>
        <v>0.10533533385005681</v>
      </c>
    </row>
    <row r="230" spans="2:8">
      <c r="B230" s="193" t="str">
        <f t="shared" si="34"/>
        <v>PPL Corporation</v>
      </c>
      <c r="C230" s="193" t="str">
        <f t="shared" si="34"/>
        <v>PPL</v>
      </c>
      <c r="D230" s="71">
        <f t="shared" si="31"/>
        <v>3.5999999999999997E-2</v>
      </c>
      <c r="E230" s="182">
        <f t="shared" si="35"/>
        <v>0.62999230648666282</v>
      </c>
      <c r="F230" s="194">
        <f t="shared" si="35"/>
        <v>0.13856912315153791</v>
      </c>
      <c r="G230" s="184">
        <f t="shared" si="29"/>
        <v>0.10256912315153791</v>
      </c>
      <c r="H230" s="185">
        <f t="shared" si="33"/>
        <v>0.10061775846855192</v>
      </c>
    </row>
    <row r="231" spans="2:8">
      <c r="B231" s="193" t="str">
        <f t="shared" si="34"/>
        <v>Southern Company</v>
      </c>
      <c r="C231" s="193" t="str">
        <f t="shared" si="34"/>
        <v>SO</v>
      </c>
      <c r="D231" s="71">
        <f t="shared" si="31"/>
        <v>3.5999999999999997E-2</v>
      </c>
      <c r="E231" s="182">
        <f t="shared" si="35"/>
        <v>0.53087969562978254</v>
      </c>
      <c r="F231" s="194">
        <f t="shared" si="35"/>
        <v>0.13856912315153791</v>
      </c>
      <c r="G231" s="184">
        <f t="shared" si="29"/>
        <v>0.10256912315153791</v>
      </c>
      <c r="H231" s="185">
        <f t="shared" si="33"/>
        <v>9.0451864879702124E-2</v>
      </c>
    </row>
    <row r="232" spans="2:8">
      <c r="B232" s="193" t="str">
        <f t="shared" si="34"/>
        <v>Xcel Energy Inc.</v>
      </c>
      <c r="C232" s="193" t="str">
        <f t="shared" si="34"/>
        <v>XEL</v>
      </c>
      <c r="D232" s="71">
        <f t="shared" si="31"/>
        <v>3.5999999999999997E-2</v>
      </c>
      <c r="E232" s="182">
        <f t="shared" si="35"/>
        <v>0.57927780876949897</v>
      </c>
      <c r="F232" s="194">
        <f t="shared" si="35"/>
        <v>0.13856912315153791</v>
      </c>
      <c r="G232" s="184">
        <f t="shared" si="29"/>
        <v>0.10256912315153791</v>
      </c>
      <c r="H232" s="185">
        <f t="shared" si="33"/>
        <v>9.5416016906631762E-2</v>
      </c>
    </row>
    <row r="233" spans="2:8" ht="13.5" thickBot="1">
      <c r="B233" s="186" t="s">
        <v>1258</v>
      </c>
      <c r="C233" s="186"/>
      <c r="D233" s="186"/>
      <c r="E233" s="186"/>
      <c r="F233" s="187"/>
      <c r="G233" s="187"/>
      <c r="H233" s="187">
        <f>AVERAGEIF(H210:H232, "&gt;0")</f>
        <v>0.10366426506677943</v>
      </c>
    </row>
    <row r="234" spans="2:8">
      <c r="B234" s="189"/>
      <c r="C234" s="172"/>
      <c r="D234" s="172"/>
      <c r="E234" s="172"/>
      <c r="F234" s="190"/>
      <c r="G234" s="190"/>
      <c r="H234" s="190"/>
    </row>
    <row r="235" spans="2:8">
      <c r="B235" s="191" t="s">
        <v>23</v>
      </c>
      <c r="C235" s="172"/>
      <c r="D235" s="172"/>
      <c r="E235" s="172"/>
      <c r="F235" s="172"/>
      <c r="G235" s="172"/>
      <c r="H235" s="172"/>
    </row>
    <row r="236" spans="2:8">
      <c r="B236" s="172" t="str">
        <f>B115</f>
        <v>[1] Source: Blue Chip Financial Forecasts, Vol. 38, No. 6, June 1, 2019, at 14</v>
      </c>
      <c r="C236" s="172"/>
      <c r="D236" s="172"/>
      <c r="E236" s="172"/>
      <c r="F236" s="172"/>
      <c r="G236" s="172"/>
      <c r="H236" s="172"/>
    </row>
    <row r="237" spans="2:8">
      <c r="B237" s="172" t="s">
        <v>1297</v>
      </c>
      <c r="C237" s="172"/>
      <c r="D237" s="172"/>
      <c r="E237" s="172"/>
      <c r="F237" s="172"/>
      <c r="G237" s="172"/>
      <c r="H237" s="172"/>
    </row>
    <row r="238" spans="2:8">
      <c r="B238" s="192" t="s">
        <v>1547</v>
      </c>
      <c r="C238" s="172"/>
      <c r="D238" s="172"/>
      <c r="E238" s="172"/>
      <c r="F238" s="172"/>
      <c r="G238" s="172"/>
      <c r="H238" s="172"/>
    </row>
    <row r="239" spans="2:8">
      <c r="B239" s="172" t="s">
        <v>1315</v>
      </c>
      <c r="C239" s="172"/>
      <c r="D239" s="172"/>
      <c r="E239" s="172"/>
      <c r="F239" s="172"/>
      <c r="G239" s="172"/>
      <c r="H239" s="172"/>
    </row>
    <row r="240" spans="2:8">
      <c r="B240" s="172" t="s">
        <v>1316</v>
      </c>
      <c r="C240" s="172"/>
      <c r="D240" s="172"/>
      <c r="E240" s="172"/>
      <c r="F240" s="172"/>
      <c r="G240" s="172"/>
      <c r="H240" s="172"/>
    </row>
  </sheetData>
  <conditionalFormatting sqref="B9:C31">
    <cfRule type="expression" dxfId="8" priority="3">
      <formula>"(blank)"</formula>
    </cfRule>
  </conditionalFormatting>
  <conditionalFormatting sqref="B9:C31">
    <cfRule type="expression" dxfId="7" priority="4">
      <formula>#REF!</formula>
    </cfRule>
  </conditionalFormatting>
  <conditionalFormatting sqref="B49:C71">
    <cfRule type="expression" dxfId="6" priority="1">
      <formula>"(blank)"</formula>
    </cfRule>
  </conditionalFormatting>
  <conditionalFormatting sqref="B49:C71">
    <cfRule type="expression" dxfId="5" priority="2">
      <formula>#REF!</formula>
    </cfRule>
  </conditionalFormatting>
  <printOptions horizontalCentered="1"/>
  <pageMargins left="0.7" right="0.7" top="1" bottom="0.75" header="0.3" footer="0.3"/>
  <pageSetup scale="59" firstPageNumber="4" orientation="portrait" useFirstPageNumber="1" r:id="rId1"/>
  <headerFooter>
    <oddHeader>&amp;RDocket No. UE-19____
PacifiCorp
Exhibit No. AEB-8
Page &amp;P of 13</oddHeader>
  </headerFooter>
  <rowBreaks count="2" manualBreakCount="2">
    <brk id="80" min="1" max="7" man="1"/>
    <brk id="161"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547"/>
  <sheetViews>
    <sheetView zoomScaleNormal="100" zoomScaleSheetLayoutView="85" zoomScalePageLayoutView="90" workbookViewId="0"/>
  </sheetViews>
  <sheetFormatPr defaultColWidth="9.140625" defaultRowHeight="12.75"/>
  <cols>
    <col min="1" max="1" width="49.85546875" style="197" customWidth="1"/>
    <col min="2" max="2" width="13.7109375" style="197" customWidth="1"/>
    <col min="3" max="3" width="8.42578125" style="197" bestFit="1" customWidth="1"/>
    <col min="4" max="4" width="12.28515625" style="197" bestFit="1" customWidth="1"/>
    <col min="5" max="5" width="12.42578125" style="197" bestFit="1" customWidth="1"/>
    <col min="6" max="6" width="10.28515625" style="197" bestFit="1" customWidth="1"/>
    <col min="7" max="7" width="13" style="197" bestFit="1" customWidth="1"/>
    <col min="8" max="16384" width="9.140625" style="197"/>
  </cols>
  <sheetData>
    <row r="2" spans="1:9">
      <c r="A2" s="394" t="s">
        <v>1530</v>
      </c>
      <c r="B2" s="394"/>
      <c r="C2" s="394"/>
      <c r="D2" s="394"/>
      <c r="E2" s="394"/>
      <c r="F2" s="394"/>
      <c r="G2" s="394"/>
    </row>
    <row r="4" spans="1:9">
      <c r="A4" s="126" t="s">
        <v>1531</v>
      </c>
      <c r="B4" s="347">
        <v>1.9824389797565099E-2</v>
      </c>
      <c r="C4" s="345"/>
      <c r="D4" s="346"/>
    </row>
    <row r="5" spans="1:9">
      <c r="A5" s="126"/>
      <c r="B5" s="126"/>
      <c r="C5" s="126"/>
      <c r="D5" s="126"/>
    </row>
    <row r="6" spans="1:9">
      <c r="A6" s="126" t="s">
        <v>1532</v>
      </c>
      <c r="B6" s="198">
        <f>11.7579264765561/100</f>
        <v>0.11757926476556101</v>
      </c>
      <c r="C6" s="199"/>
      <c r="D6" s="200"/>
      <c r="F6" s="356"/>
    </row>
    <row r="7" spans="1:9">
      <c r="A7" s="126"/>
      <c r="B7" s="126"/>
      <c r="C7" s="126"/>
      <c r="D7" s="126"/>
    </row>
    <row r="8" spans="1:9">
      <c r="A8" s="126" t="s">
        <v>1325</v>
      </c>
      <c r="B8" s="202">
        <f>B6*(1+0.5*B4)+B4</f>
        <v>0.13856912315153791</v>
      </c>
      <c r="C8" s="199"/>
      <c r="D8" s="200"/>
    </row>
    <row r="11" spans="1:9">
      <c r="A11" s="394" t="s">
        <v>203</v>
      </c>
      <c r="B11" s="394"/>
      <c r="C11" s="394"/>
      <c r="D11" s="394"/>
      <c r="E11" s="394"/>
      <c r="F11" s="394"/>
      <c r="G11" s="394"/>
    </row>
    <row r="12" spans="1:9" s="126" customFormat="1"/>
    <row r="13" spans="1:9" s="126" customFormat="1"/>
    <row r="14" spans="1:9" s="126" customFormat="1">
      <c r="A14" s="126" t="s">
        <v>1533</v>
      </c>
      <c r="B14" s="198">
        <f>SUM(E29:E533)/100</f>
        <v>1.9704973936189692E-2</v>
      </c>
      <c r="C14" s="199"/>
      <c r="D14" s="200"/>
    </row>
    <row r="15" spans="1:9" s="126" customFormat="1"/>
    <row r="16" spans="1:9" s="126" customFormat="1">
      <c r="A16" s="126" t="s">
        <v>1534</v>
      </c>
      <c r="B16" s="198">
        <f>SUM(G29:G533)/100</f>
        <v>0.11744680252995</v>
      </c>
      <c r="C16" s="199"/>
      <c r="D16" s="200"/>
      <c r="I16" s="201"/>
    </row>
    <row r="17" spans="1:10" s="126" customFormat="1">
      <c r="I17" s="201"/>
    </row>
    <row r="18" spans="1:10" s="126" customFormat="1">
      <c r="A18" s="126" t="s">
        <v>1535</v>
      </c>
      <c r="B18" s="202">
        <f>B14*(1+0.5*B16)+B16</f>
        <v>0.13830891955751043</v>
      </c>
      <c r="C18" s="199"/>
      <c r="D18" s="200"/>
      <c r="I18" s="201"/>
    </row>
    <row r="19" spans="1:10" s="126" customFormat="1"/>
    <row r="20" spans="1:10" s="126" customFormat="1"/>
    <row r="21" spans="1:10" s="126" customFormat="1"/>
    <row r="22" spans="1:10">
      <c r="A22" s="203" t="s">
        <v>204</v>
      </c>
      <c r="B22" s="203"/>
      <c r="C22" s="203"/>
      <c r="D22" s="203"/>
      <c r="E22" s="203"/>
      <c r="F22" s="203"/>
      <c r="G22" s="203"/>
    </row>
    <row r="24" spans="1:10" ht="13.5" thickBot="1">
      <c r="C24" s="327" t="s">
        <v>1180</v>
      </c>
      <c r="D24" s="327" t="s">
        <v>1181</v>
      </c>
      <c r="E24" s="204" t="s">
        <v>205</v>
      </c>
      <c r="F24" s="204" t="s">
        <v>1496</v>
      </c>
      <c r="G24" s="204" t="s">
        <v>1497</v>
      </c>
    </row>
    <row r="25" spans="1:10">
      <c r="A25" s="205"/>
      <c r="B25" s="205"/>
      <c r="C25" s="205"/>
      <c r="D25" s="205"/>
      <c r="E25" s="205"/>
      <c r="F25" s="205"/>
      <c r="G25" s="206" t="s">
        <v>206</v>
      </c>
    </row>
    <row r="26" spans="1:10">
      <c r="C26" s="204" t="s">
        <v>207</v>
      </c>
      <c r="D26" s="204" t="s">
        <v>208</v>
      </c>
      <c r="E26" s="204" t="s">
        <v>209</v>
      </c>
      <c r="F26" s="204" t="s">
        <v>210</v>
      </c>
      <c r="G26" s="204" t="s">
        <v>210</v>
      </c>
    </row>
    <row r="27" spans="1:10">
      <c r="A27" s="207" t="s">
        <v>211</v>
      </c>
      <c r="B27" s="207" t="s">
        <v>1</v>
      </c>
      <c r="C27" s="207" t="s">
        <v>212</v>
      </c>
      <c r="D27" s="207" t="s">
        <v>16</v>
      </c>
      <c r="E27" s="207" t="s">
        <v>16</v>
      </c>
      <c r="F27" s="207" t="s">
        <v>213</v>
      </c>
      <c r="G27" s="207" t="s">
        <v>213</v>
      </c>
      <c r="I27" s="208"/>
      <c r="J27" s="208"/>
    </row>
    <row r="28" spans="1:10" s="126" customFormat="1"/>
    <row r="29" spans="1:10">
      <c r="A29" s="126" t="s">
        <v>214</v>
      </c>
      <c r="B29" s="209" t="s">
        <v>215</v>
      </c>
      <c r="C29" s="210">
        <v>1.1660072522303101E-3</v>
      </c>
      <c r="D29" s="211">
        <v>4.6943000000000001</v>
      </c>
      <c r="E29" s="210">
        <f>IFERROR($D29*$C29,"n/a")</f>
        <v>5.4735878441447448E-3</v>
      </c>
      <c r="F29" s="212">
        <v>7.1</v>
      </c>
      <c r="G29" s="210">
        <f>IFERROR($F29*$C29,"n/a")</f>
        <v>8.2786514908352021E-3</v>
      </c>
    </row>
    <row r="30" spans="1:10">
      <c r="A30" s="126" t="s">
        <v>216</v>
      </c>
      <c r="B30" s="209" t="s">
        <v>217</v>
      </c>
      <c r="C30" s="210">
        <v>3.8148635254104347E-3</v>
      </c>
      <c r="D30" s="211">
        <v>1.4541999999999999</v>
      </c>
      <c r="E30" s="210">
        <f t="shared" ref="E30:E94" si="0">IFERROR($D30*$C30,"n/a")</f>
        <v>5.5475745386518536E-3</v>
      </c>
      <c r="F30" s="212">
        <v>9.3550000000000004</v>
      </c>
      <c r="G30" s="210">
        <f>IFERROR($F30*$C30,"n/a")</f>
        <v>3.5688048280214615E-2</v>
      </c>
    </row>
    <row r="31" spans="1:10">
      <c r="A31" s="126" t="s">
        <v>218</v>
      </c>
      <c r="B31" s="209" t="s">
        <v>219</v>
      </c>
      <c r="C31" s="210">
        <v>9.7043241389552556E-3</v>
      </c>
      <c r="D31" s="211">
        <v>4.0754999999999999</v>
      </c>
      <c r="E31" s="210">
        <f t="shared" si="0"/>
        <v>3.9549973028312146E-2</v>
      </c>
      <c r="F31" s="212">
        <v>2.5640000000000001</v>
      </c>
      <c r="G31" s="210">
        <f t="shared" ref="G31:G94" si="1">IFERROR($F31*$C31,"n/a")</f>
        <v>2.4881887092281275E-2</v>
      </c>
    </row>
    <row r="32" spans="1:10">
      <c r="A32" s="126" t="s">
        <v>220</v>
      </c>
      <c r="B32" s="209" t="s">
        <v>221</v>
      </c>
      <c r="C32" s="210">
        <v>4.2570610247666969E-3</v>
      </c>
      <c r="D32" s="211">
        <v>3.8395999999999999</v>
      </c>
      <c r="E32" s="210">
        <f t="shared" si="0"/>
        <v>1.634541151069421E-2</v>
      </c>
      <c r="F32" s="212">
        <v>13.481999999999999</v>
      </c>
      <c r="G32" s="210">
        <f t="shared" si="1"/>
        <v>5.7393696735904602E-2</v>
      </c>
    </row>
    <row r="33" spans="1:7">
      <c r="A33" s="126" t="s">
        <v>222</v>
      </c>
      <c r="B33" s="209" t="s">
        <v>223</v>
      </c>
      <c r="C33" s="210">
        <v>8.3227195608060432E-3</v>
      </c>
      <c r="D33" s="211">
        <v>2.1604999999999999</v>
      </c>
      <c r="E33" s="210">
        <f t="shared" si="0"/>
        <v>1.7981235611121454E-2</v>
      </c>
      <c r="F33" s="212">
        <v>7.93</v>
      </c>
      <c r="G33" s="210">
        <f t="shared" si="1"/>
        <v>6.5999166117191921E-2</v>
      </c>
    </row>
    <row r="34" spans="1:7">
      <c r="A34" s="126" t="s">
        <v>224</v>
      </c>
      <c r="B34" s="209" t="s">
        <v>225</v>
      </c>
      <c r="C34" s="210">
        <v>2.7624166376596154E-3</v>
      </c>
      <c r="D34" s="211">
        <v>3.2618</v>
      </c>
      <c r="E34" s="210">
        <f t="shared" si="0"/>
        <v>9.010450588718133E-3</v>
      </c>
      <c r="F34" s="212">
        <v>13.15</v>
      </c>
      <c r="G34" s="210">
        <f t="shared" si="1"/>
        <v>3.6325778785223944E-2</v>
      </c>
    </row>
    <row r="35" spans="1:7">
      <c r="A35" s="126" t="s">
        <v>226</v>
      </c>
      <c r="B35" s="209" t="s">
        <v>227</v>
      </c>
      <c r="C35" s="210">
        <v>1.4628786046229912E-2</v>
      </c>
      <c r="D35" s="211">
        <v>3.0589</v>
      </c>
      <c r="E35" s="210">
        <f t="shared" si="0"/>
        <v>4.4747993636812679E-2</v>
      </c>
      <c r="F35" s="212">
        <v>4.6500000000000004</v>
      </c>
      <c r="G35" s="210">
        <f t="shared" si="1"/>
        <v>6.8023855114969098E-2</v>
      </c>
    </row>
    <row r="36" spans="1:7">
      <c r="A36" s="126" t="s">
        <v>228</v>
      </c>
      <c r="B36" s="209" t="s">
        <v>229</v>
      </c>
      <c r="C36" s="210">
        <v>8.7525931521908497E-3</v>
      </c>
      <c r="D36" s="211">
        <v>4.0134999999999996</v>
      </c>
      <c r="E36" s="210">
        <f t="shared" si="0"/>
        <v>3.5128532616317973E-2</v>
      </c>
      <c r="F36" s="212">
        <v>1.597</v>
      </c>
      <c r="G36" s="210">
        <f t="shared" si="1"/>
        <v>1.3977891264048787E-2</v>
      </c>
    </row>
    <row r="37" spans="1:7">
      <c r="A37" s="126" t="s">
        <v>230</v>
      </c>
      <c r="B37" s="209" t="s">
        <v>231</v>
      </c>
      <c r="C37" s="210">
        <v>9.0493787380445459E-3</v>
      </c>
      <c r="D37" s="211">
        <v>2.9390000000000001</v>
      </c>
      <c r="E37" s="210">
        <f t="shared" si="0"/>
        <v>2.659612411111292E-2</v>
      </c>
      <c r="F37" s="212">
        <v>6.96</v>
      </c>
      <c r="G37" s="210">
        <f t="shared" si="1"/>
        <v>6.2983676016790044E-2</v>
      </c>
    </row>
    <row r="38" spans="1:7">
      <c r="A38" s="126" t="s">
        <v>232</v>
      </c>
      <c r="B38" s="209" t="s">
        <v>233</v>
      </c>
      <c r="C38" s="210">
        <v>4.3528362259158994E-3</v>
      </c>
      <c r="D38" s="211">
        <v>5.6524000000000001</v>
      </c>
      <c r="E38" s="210">
        <f t="shared" si="0"/>
        <v>2.4603971483367029E-2</v>
      </c>
      <c r="F38" s="212">
        <v>6.05</v>
      </c>
      <c r="G38" s="210">
        <f t="shared" si="1"/>
        <v>2.6334659166791192E-2</v>
      </c>
    </row>
    <row r="39" spans="1:7">
      <c r="A39" s="126" t="s">
        <v>234</v>
      </c>
      <c r="B39" s="209" t="s">
        <v>235</v>
      </c>
      <c r="C39" s="210">
        <v>9.1259140962301772E-3</v>
      </c>
      <c r="D39" s="211">
        <v>1.3505</v>
      </c>
      <c r="E39" s="210">
        <f t="shared" si="0"/>
        <v>1.2324546986958855E-2</v>
      </c>
      <c r="F39" s="212">
        <v>2.85</v>
      </c>
      <c r="G39" s="210">
        <f t="shared" si="1"/>
        <v>2.6008855174256006E-2</v>
      </c>
    </row>
    <row r="40" spans="1:7">
      <c r="A40" s="126" t="s">
        <v>236</v>
      </c>
      <c r="B40" s="209" t="s">
        <v>237</v>
      </c>
      <c r="C40" s="210">
        <v>9.6508697416231883E-4</v>
      </c>
      <c r="D40" s="211" t="s">
        <v>1193</v>
      </c>
      <c r="E40" s="210" t="str">
        <f t="shared" si="0"/>
        <v>n/a</v>
      </c>
      <c r="F40" s="212">
        <v>15.58</v>
      </c>
      <c r="G40" s="210">
        <f t="shared" si="1"/>
        <v>1.5036055057448927E-2</v>
      </c>
    </row>
    <row r="41" spans="1:7">
      <c r="A41" s="126" t="s">
        <v>238</v>
      </c>
      <c r="B41" s="209" t="s">
        <v>239</v>
      </c>
      <c r="C41" s="210">
        <v>5.8754054896752227E-4</v>
      </c>
      <c r="D41" s="211">
        <v>3.0817000000000001</v>
      </c>
      <c r="E41" s="210">
        <f t="shared" si="0"/>
        <v>1.8106237097532134E-3</v>
      </c>
      <c r="F41" s="212">
        <v>4.72</v>
      </c>
      <c r="G41" s="210">
        <f t="shared" si="1"/>
        <v>2.7731913911267047E-3</v>
      </c>
    </row>
    <row r="42" spans="1:7">
      <c r="A42" s="126" t="s">
        <v>240</v>
      </c>
      <c r="B42" s="209" t="s">
        <v>241</v>
      </c>
      <c r="C42" s="210">
        <v>1.1613960019668633E-2</v>
      </c>
      <c r="D42" s="211">
        <v>4.9284999999999997</v>
      </c>
      <c r="E42" s="210">
        <f t="shared" si="0"/>
        <v>5.7239401956936851E-2</v>
      </c>
      <c r="F42" s="212">
        <v>8.52</v>
      </c>
      <c r="G42" s="210">
        <f t="shared" si="1"/>
        <v>9.8950939367576748E-2</v>
      </c>
    </row>
    <row r="43" spans="1:7">
      <c r="A43" s="126" t="s">
        <v>242</v>
      </c>
      <c r="B43" s="209" t="s">
        <v>243</v>
      </c>
      <c r="C43" s="210">
        <v>1.7855140886455655E-3</v>
      </c>
      <c r="D43" s="211">
        <v>3.5156000000000001</v>
      </c>
      <c r="E43" s="210">
        <f t="shared" si="0"/>
        <v>6.2771533300423499E-3</v>
      </c>
      <c r="F43" s="212">
        <v>2.2029999999999998</v>
      </c>
      <c r="G43" s="210">
        <f t="shared" si="1"/>
        <v>3.9334875372861802E-3</v>
      </c>
    </row>
    <row r="44" spans="1:7">
      <c r="A44" s="126" t="s">
        <v>244</v>
      </c>
      <c r="B44" s="209" t="s">
        <v>245</v>
      </c>
      <c r="C44" s="210">
        <v>3.0329572388562518E-3</v>
      </c>
      <c r="D44" s="211">
        <v>0.44740000000000002</v>
      </c>
      <c r="E44" s="210">
        <f t="shared" si="0"/>
        <v>1.3569450686642872E-3</v>
      </c>
      <c r="F44" s="212">
        <v>5.7</v>
      </c>
      <c r="G44" s="210">
        <f t="shared" si="1"/>
        <v>1.7287856261480637E-2</v>
      </c>
    </row>
    <row r="45" spans="1:7">
      <c r="A45" s="126" t="s">
        <v>246</v>
      </c>
      <c r="B45" s="209" t="s">
        <v>247</v>
      </c>
      <c r="C45" s="210">
        <v>1.0899443953628529E-3</v>
      </c>
      <c r="D45" s="211">
        <v>3.3868999999999998</v>
      </c>
      <c r="E45" s="210">
        <f t="shared" si="0"/>
        <v>3.6915326726544464E-3</v>
      </c>
      <c r="F45" s="212">
        <v>1.6600000000000001</v>
      </c>
      <c r="G45" s="210">
        <f t="shared" si="1"/>
        <v>1.8093076963023361E-3</v>
      </c>
    </row>
    <row r="46" spans="1:7">
      <c r="A46" s="126" t="s">
        <v>248</v>
      </c>
      <c r="B46" s="209" t="s">
        <v>249</v>
      </c>
      <c r="C46" s="210">
        <v>9.8778045622553295E-3</v>
      </c>
      <c r="D46" s="211">
        <v>2.3445999999999998</v>
      </c>
      <c r="E46" s="210">
        <f t="shared" si="0"/>
        <v>2.3159500576663845E-2</v>
      </c>
      <c r="F46" s="212">
        <v>9.3729999999999993</v>
      </c>
      <c r="G46" s="210">
        <f t="shared" si="1"/>
        <v>9.2584662162019202E-2</v>
      </c>
    </row>
    <row r="47" spans="1:7">
      <c r="A47" s="126" t="s">
        <v>250</v>
      </c>
      <c r="B47" s="209" t="s">
        <v>251</v>
      </c>
      <c r="C47" s="210">
        <v>5.0079132319404158E-3</v>
      </c>
      <c r="D47" s="211">
        <v>4.4561000000000002</v>
      </c>
      <c r="E47" s="210">
        <f t="shared" si="0"/>
        <v>2.2315762152849687E-2</v>
      </c>
      <c r="F47" s="212">
        <v>1.923</v>
      </c>
      <c r="G47" s="210">
        <f t="shared" si="1"/>
        <v>9.6302171450214202E-3</v>
      </c>
    </row>
    <row r="48" spans="1:7">
      <c r="A48" s="126" t="s">
        <v>252</v>
      </c>
      <c r="B48" s="209" t="s">
        <v>253</v>
      </c>
      <c r="C48" s="210">
        <v>5.3075818530834873E-4</v>
      </c>
      <c r="D48" s="211">
        <v>0.73640000000000005</v>
      </c>
      <c r="E48" s="210">
        <f>IFERROR($D48*$C48,"n/a")</f>
        <v>3.9085032766106802E-4</v>
      </c>
      <c r="F48" s="212">
        <v>13.81</v>
      </c>
      <c r="G48" s="210">
        <f t="shared" si="1"/>
        <v>7.3297705391082964E-3</v>
      </c>
    </row>
    <row r="49" spans="1:7">
      <c r="A49" s="126" t="s">
        <v>254</v>
      </c>
      <c r="B49" s="209" t="s">
        <v>255</v>
      </c>
      <c r="C49" s="210">
        <v>1.3273763146653251E-2</v>
      </c>
      <c r="D49" s="211">
        <v>2.9371</v>
      </c>
      <c r="E49" s="210">
        <f t="shared" si="0"/>
        <v>3.8986369738035265E-2</v>
      </c>
      <c r="F49" s="212">
        <v>6.093</v>
      </c>
      <c r="G49" s="210">
        <f t="shared" si="1"/>
        <v>8.0877038852558258E-2</v>
      </c>
    </row>
    <row r="50" spans="1:7">
      <c r="A50" s="126" t="s">
        <v>256</v>
      </c>
      <c r="B50" s="209" t="s">
        <v>257</v>
      </c>
      <c r="C50" s="210">
        <v>6.3388173324297036E-3</v>
      </c>
      <c r="D50" s="211">
        <v>2.3287</v>
      </c>
      <c r="E50" s="210">
        <f t="shared" si="0"/>
        <v>1.4761203922029051E-2</v>
      </c>
      <c r="F50" s="212">
        <v>8.6679999999999993</v>
      </c>
      <c r="G50" s="210">
        <f t="shared" si="1"/>
        <v>5.4944868637500664E-2</v>
      </c>
    </row>
    <row r="51" spans="1:7">
      <c r="A51" s="126" t="s">
        <v>258</v>
      </c>
      <c r="B51" s="209" t="s">
        <v>259</v>
      </c>
      <c r="C51" s="210">
        <v>8.3786241452336752E-3</v>
      </c>
      <c r="D51" s="211">
        <v>2.6133999999999999</v>
      </c>
      <c r="E51" s="210">
        <f t="shared" si="0"/>
        <v>2.1896696341153685E-2</v>
      </c>
      <c r="F51" s="212">
        <v>11.515000000000001</v>
      </c>
      <c r="G51" s="210">
        <f t="shared" si="1"/>
        <v>9.6479857032365779E-2</v>
      </c>
    </row>
    <row r="52" spans="1:7">
      <c r="A52" s="126" t="s">
        <v>260</v>
      </c>
      <c r="B52" s="209" t="s">
        <v>261</v>
      </c>
      <c r="C52" s="210">
        <v>3.6765505664933741E-3</v>
      </c>
      <c r="D52" s="211">
        <v>3.5036</v>
      </c>
      <c r="E52" s="210">
        <f t="shared" si="0"/>
        <v>1.2881162564766185E-2</v>
      </c>
      <c r="F52" s="212">
        <v>6.95</v>
      </c>
      <c r="G52" s="210">
        <f t="shared" si="1"/>
        <v>2.555202643712895E-2</v>
      </c>
    </row>
    <row r="53" spans="1:7">
      <c r="A53" s="126" t="s">
        <v>262</v>
      </c>
      <c r="B53" s="209" t="s">
        <v>263</v>
      </c>
      <c r="C53" s="210">
        <v>8.7243257466225574E-4</v>
      </c>
      <c r="D53" s="211">
        <v>1.6099000000000001</v>
      </c>
      <c r="E53" s="210">
        <f t="shared" si="0"/>
        <v>1.4045292019487657E-3</v>
      </c>
      <c r="F53" s="212">
        <v>8.7530000000000001</v>
      </c>
      <c r="G53" s="210">
        <f t="shared" si="1"/>
        <v>7.6364023260187246E-3</v>
      </c>
    </row>
    <row r="54" spans="1:7">
      <c r="A54" s="126" t="s">
        <v>264</v>
      </c>
      <c r="B54" s="209" t="s">
        <v>265</v>
      </c>
      <c r="C54" s="210">
        <v>1.0555214349501494E-2</v>
      </c>
      <c r="D54" s="211">
        <v>2.4683000000000002</v>
      </c>
      <c r="E54" s="210">
        <f t="shared" si="0"/>
        <v>2.6053435578874538E-2</v>
      </c>
      <c r="F54" s="212">
        <v>8.8000000000000007</v>
      </c>
      <c r="G54" s="210">
        <f t="shared" si="1"/>
        <v>9.2885886275613158E-2</v>
      </c>
    </row>
    <row r="55" spans="1:7">
      <c r="A55" s="126" t="s">
        <v>266</v>
      </c>
      <c r="B55" s="209" t="s">
        <v>267</v>
      </c>
      <c r="C55" s="210">
        <v>5.8544562593912072E-4</v>
      </c>
      <c r="D55" s="211">
        <v>3.1034000000000002</v>
      </c>
      <c r="E55" s="210">
        <f t="shared" si="0"/>
        <v>1.8168719555394673E-3</v>
      </c>
      <c r="F55" s="212">
        <v>32.286999999999999</v>
      </c>
      <c r="G55" s="210">
        <f t="shared" si="1"/>
        <v>1.8902282924696388E-2</v>
      </c>
    </row>
    <row r="56" spans="1:7">
      <c r="A56" s="126" t="s">
        <v>268</v>
      </c>
      <c r="B56" s="209" t="s">
        <v>269</v>
      </c>
      <c r="C56" s="210">
        <v>7.7254689994642398E-3</v>
      </c>
      <c r="D56" s="211">
        <v>4.0077999999999996</v>
      </c>
      <c r="E56" s="210">
        <f t="shared" si="0"/>
        <v>3.0962134656052777E-2</v>
      </c>
      <c r="F56" s="212">
        <v>3.875</v>
      </c>
      <c r="G56" s="210">
        <f t="shared" si="1"/>
        <v>2.9936192372923928E-2</v>
      </c>
    </row>
    <row r="57" spans="1:7">
      <c r="A57" s="126" t="s">
        <v>270</v>
      </c>
      <c r="B57" s="209" t="s">
        <v>271</v>
      </c>
      <c r="C57" s="210">
        <v>1.2100628527932995E-2</v>
      </c>
      <c r="D57" s="211">
        <v>2.3988</v>
      </c>
      <c r="E57" s="210">
        <f t="shared" si="0"/>
        <v>2.9026987712805669E-2</v>
      </c>
      <c r="F57" s="212">
        <v>7.4169999999999998</v>
      </c>
      <c r="G57" s="210">
        <f t="shared" si="1"/>
        <v>8.9750361791679015E-2</v>
      </c>
    </row>
    <row r="58" spans="1:7">
      <c r="A58" s="126" t="s">
        <v>272</v>
      </c>
      <c r="B58" s="209" t="s">
        <v>273</v>
      </c>
      <c r="C58" s="210">
        <v>1.0748563947592594E-2</v>
      </c>
      <c r="D58" s="211">
        <v>5.3910999999999998</v>
      </c>
      <c r="E58" s="210">
        <f t="shared" si="0"/>
        <v>5.7946583097866433E-2</v>
      </c>
      <c r="F58" s="212">
        <v>5.6150000000000002</v>
      </c>
      <c r="G58" s="210">
        <f t="shared" si="1"/>
        <v>6.0353186565732415E-2</v>
      </c>
    </row>
    <row r="59" spans="1:7">
      <c r="A59" s="126" t="s">
        <v>274</v>
      </c>
      <c r="B59" s="209" t="s">
        <v>275</v>
      </c>
      <c r="C59" s="210">
        <v>1.5050800566331201E-3</v>
      </c>
      <c r="D59" s="211">
        <v>2.2059000000000002</v>
      </c>
      <c r="E59" s="210">
        <f t="shared" si="0"/>
        <v>3.3200560969269999E-3</v>
      </c>
      <c r="F59" s="212">
        <v>12.382999999999999</v>
      </c>
      <c r="G59" s="210">
        <f t="shared" si="1"/>
        <v>1.8637406341287924E-2</v>
      </c>
    </row>
    <row r="60" spans="1:7">
      <c r="A60" s="126" t="s">
        <v>276</v>
      </c>
      <c r="B60" s="209" t="s">
        <v>277</v>
      </c>
      <c r="C60" s="210">
        <v>4.5795891803488307E-3</v>
      </c>
      <c r="D60" s="211">
        <v>2.1535000000000002</v>
      </c>
      <c r="E60" s="210">
        <f t="shared" si="0"/>
        <v>9.8621452998812077E-3</v>
      </c>
      <c r="F60" s="212">
        <v>9.75</v>
      </c>
      <c r="G60" s="210">
        <f t="shared" si="1"/>
        <v>4.4650994508401098E-2</v>
      </c>
    </row>
    <row r="61" spans="1:7">
      <c r="A61" s="126" t="s">
        <v>278</v>
      </c>
      <c r="B61" s="209" t="s">
        <v>279</v>
      </c>
      <c r="C61" s="210">
        <v>1.6044786901112703E-3</v>
      </c>
      <c r="D61" s="211">
        <v>1.9332</v>
      </c>
      <c r="E61" s="210">
        <f t="shared" si="0"/>
        <v>3.1017782037231077E-3</v>
      </c>
      <c r="F61" s="212">
        <v>9.7200000000000006</v>
      </c>
      <c r="G61" s="210">
        <f t="shared" si="1"/>
        <v>1.5595532867881548E-2</v>
      </c>
    </row>
    <row r="62" spans="1:7">
      <c r="A62" s="126" t="s">
        <v>280</v>
      </c>
      <c r="B62" s="209" t="s">
        <v>281</v>
      </c>
      <c r="C62" s="210">
        <v>1.3122322453431314E-2</v>
      </c>
      <c r="D62" s="211">
        <v>1.7863</v>
      </c>
      <c r="E62" s="210">
        <f t="shared" si="0"/>
        <v>2.3440404598564356E-2</v>
      </c>
      <c r="F62" s="212">
        <v>7.9729999999999999</v>
      </c>
      <c r="G62" s="210">
        <f t="shared" si="1"/>
        <v>0.10462427692120786</v>
      </c>
    </row>
    <row r="63" spans="1:7">
      <c r="A63" s="126" t="s">
        <v>282</v>
      </c>
      <c r="B63" s="209" t="s">
        <v>283</v>
      </c>
      <c r="C63" s="210">
        <v>8.1542200300398805E-3</v>
      </c>
      <c r="D63" s="211">
        <v>2.8334000000000001</v>
      </c>
      <c r="E63" s="210">
        <f t="shared" si="0"/>
        <v>2.3104167033114999E-2</v>
      </c>
      <c r="F63" s="212">
        <v>6.48</v>
      </c>
      <c r="G63" s="210">
        <f t="shared" si="1"/>
        <v>5.2839345794658432E-2</v>
      </c>
    </row>
    <row r="64" spans="1:7">
      <c r="A64" s="126" t="s">
        <v>284</v>
      </c>
      <c r="B64" s="209" t="s">
        <v>285</v>
      </c>
      <c r="C64" s="210">
        <v>8.8740950927625201E-3</v>
      </c>
      <c r="D64" s="211">
        <v>2.4451999999999998</v>
      </c>
      <c r="E64" s="210">
        <f t="shared" si="0"/>
        <v>2.1698937320822911E-2</v>
      </c>
      <c r="F64" s="212">
        <v>5.9829999999999997</v>
      </c>
      <c r="G64" s="210">
        <f t="shared" si="1"/>
        <v>5.3093710939998158E-2</v>
      </c>
    </row>
    <row r="65" spans="1:7">
      <c r="A65" s="126" t="s">
        <v>286</v>
      </c>
      <c r="B65" s="209" t="s">
        <v>287</v>
      </c>
      <c r="C65" s="210">
        <v>2.0802023024033374E-3</v>
      </c>
      <c r="D65" s="211">
        <v>4.0555000000000003</v>
      </c>
      <c r="E65" s="210">
        <f t="shared" si="0"/>
        <v>8.4362604373967361E-3</v>
      </c>
      <c r="F65" s="212">
        <v>10.455</v>
      </c>
      <c r="G65" s="210">
        <f t="shared" si="1"/>
        <v>2.1748515071626891E-2</v>
      </c>
    </row>
    <row r="66" spans="1:7">
      <c r="A66" s="126" t="s">
        <v>288</v>
      </c>
      <c r="B66" s="209" t="s">
        <v>289</v>
      </c>
      <c r="C66" s="210">
        <v>4.1266823245556743E-2</v>
      </c>
      <c r="D66" s="211">
        <v>1.4673</v>
      </c>
      <c r="E66" s="210">
        <f t="shared" si="0"/>
        <v>6.0550809748205411E-2</v>
      </c>
      <c r="F66" s="212">
        <v>10.506</v>
      </c>
      <c r="G66" s="210">
        <f t="shared" si="1"/>
        <v>0.43354924501781916</v>
      </c>
    </row>
    <row r="67" spans="1:7">
      <c r="A67" s="126" t="s">
        <v>290</v>
      </c>
      <c r="B67" s="209" t="s">
        <v>291</v>
      </c>
      <c r="C67" s="210">
        <v>1.5883325531690074E-3</v>
      </c>
      <c r="D67" s="211">
        <v>0.80530000000000002</v>
      </c>
      <c r="E67" s="210">
        <f t="shared" si="0"/>
        <v>1.2790842050670016E-3</v>
      </c>
      <c r="F67" s="212">
        <v>10.676</v>
      </c>
      <c r="G67" s="210">
        <f t="shared" si="1"/>
        <v>1.6957038337632322E-2</v>
      </c>
    </row>
    <row r="68" spans="1:7">
      <c r="A68" s="126" t="s">
        <v>374</v>
      </c>
      <c r="B68" s="209" t="s">
        <v>375</v>
      </c>
      <c r="C68" s="210">
        <v>2.2281565820155822E-3</v>
      </c>
      <c r="D68" s="211">
        <v>2.64E-2</v>
      </c>
      <c r="E68" s="210">
        <f t="shared" si="0"/>
        <v>5.8823333765211374E-5</v>
      </c>
      <c r="F68" s="212">
        <v>11.24</v>
      </c>
      <c r="G68" s="210">
        <f t="shared" si="1"/>
        <v>2.5044479981855144E-2</v>
      </c>
    </row>
    <row r="69" spans="1:7">
      <c r="A69" s="126" t="s">
        <v>292</v>
      </c>
      <c r="B69" s="209" t="s">
        <v>293</v>
      </c>
      <c r="C69" s="210">
        <v>1.8137491257047772E-3</v>
      </c>
      <c r="D69" s="211">
        <v>4.8520000000000003</v>
      </c>
      <c r="E69" s="210">
        <f t="shared" si="0"/>
        <v>8.80031075791958E-3</v>
      </c>
      <c r="F69" s="212">
        <v>11.9</v>
      </c>
      <c r="G69" s="210">
        <f t="shared" si="1"/>
        <v>2.1583614595886851E-2</v>
      </c>
    </row>
    <row r="70" spans="1:7">
      <c r="A70" s="126" t="s">
        <v>294</v>
      </c>
      <c r="B70" s="209" t="s">
        <v>295</v>
      </c>
      <c r="C70" s="210">
        <v>6.066518624573536E-3</v>
      </c>
      <c r="D70" s="211">
        <v>2.9531000000000001</v>
      </c>
      <c r="E70" s="210">
        <f t="shared" si="0"/>
        <v>1.791503615022811E-2</v>
      </c>
      <c r="F70" s="212">
        <v>11.645</v>
      </c>
      <c r="G70" s="210">
        <f t="shared" si="1"/>
        <v>7.0644609383158821E-2</v>
      </c>
    </row>
    <row r="71" spans="1:7">
      <c r="A71" s="126" t="s">
        <v>296</v>
      </c>
      <c r="B71" s="209" t="s">
        <v>297</v>
      </c>
      <c r="C71" s="210">
        <v>1.8836002069726665E-3</v>
      </c>
      <c r="D71" s="211">
        <v>2.298</v>
      </c>
      <c r="E71" s="210">
        <f t="shared" si="0"/>
        <v>4.3285132756231874E-3</v>
      </c>
      <c r="F71" s="212">
        <v>11</v>
      </c>
      <c r="G71" s="210">
        <f t="shared" si="1"/>
        <v>2.071960227669933E-2</v>
      </c>
    </row>
    <row r="72" spans="1:7">
      <c r="A72" s="126" t="s">
        <v>298</v>
      </c>
      <c r="B72" s="209" t="s">
        <v>299</v>
      </c>
      <c r="C72" s="210">
        <v>4.7325607258125778E-3</v>
      </c>
      <c r="D72" s="211">
        <v>2.1276999999999999</v>
      </c>
      <c r="E72" s="210">
        <f t="shared" si="0"/>
        <v>1.0069469456311422E-2</v>
      </c>
      <c r="F72" s="212">
        <v>7.7030000000000003</v>
      </c>
      <c r="G72" s="210">
        <f t="shared" si="1"/>
        <v>3.6454915270934286E-2</v>
      </c>
    </row>
    <row r="73" spans="1:7">
      <c r="A73" s="126" t="s">
        <v>300</v>
      </c>
      <c r="B73" s="209" t="s">
        <v>301</v>
      </c>
      <c r="C73" s="210">
        <v>2.9701795804505824E-3</v>
      </c>
      <c r="D73" s="211">
        <v>8.2151999999999994</v>
      </c>
      <c r="E73" s="210">
        <f t="shared" si="0"/>
        <v>2.4400619289317624E-2</v>
      </c>
      <c r="F73" s="212">
        <v>7.1</v>
      </c>
      <c r="G73" s="210">
        <f t="shared" si="1"/>
        <v>2.1088275021199133E-2</v>
      </c>
    </row>
    <row r="74" spans="1:7">
      <c r="A74" s="126" t="s">
        <v>302</v>
      </c>
      <c r="B74" s="209" t="s">
        <v>303</v>
      </c>
      <c r="C74" s="210">
        <v>1.5962156327003164E-3</v>
      </c>
      <c r="D74" s="211">
        <v>1.3287</v>
      </c>
      <c r="E74" s="210">
        <f t="shared" si="0"/>
        <v>2.1208917111689104E-3</v>
      </c>
      <c r="F74" s="212">
        <v>10.199999999999999</v>
      </c>
      <c r="G74" s="210">
        <f t="shared" si="1"/>
        <v>1.6281399453543226E-2</v>
      </c>
    </row>
    <row r="75" spans="1:7">
      <c r="A75" s="126" t="s">
        <v>304</v>
      </c>
      <c r="B75" s="209" t="s">
        <v>305</v>
      </c>
      <c r="C75" s="210">
        <v>1.4583969134912434E-4</v>
      </c>
      <c r="D75" s="211" t="s">
        <v>1193</v>
      </c>
      <c r="E75" s="210" t="str">
        <f t="shared" si="0"/>
        <v>n/a</v>
      </c>
      <c r="F75" s="212">
        <v>30.966000000000001</v>
      </c>
      <c r="G75" s="210">
        <f t="shared" si="1"/>
        <v>4.5160718823169842E-3</v>
      </c>
    </row>
    <row r="76" spans="1:7">
      <c r="A76" s="126" t="s">
        <v>306</v>
      </c>
      <c r="B76" s="209" t="s">
        <v>307</v>
      </c>
      <c r="C76" s="210">
        <v>6.3863912060941653E-4</v>
      </c>
      <c r="D76" s="211">
        <v>4.7824</v>
      </c>
      <c r="E76" s="210">
        <f t="shared" si="0"/>
        <v>3.0542277304024738E-3</v>
      </c>
      <c r="F76" s="212">
        <v>4.55</v>
      </c>
      <c r="G76" s="210">
        <f t="shared" si="1"/>
        <v>2.9058079987728451E-3</v>
      </c>
    </row>
    <row r="77" spans="1:7">
      <c r="A77" s="126" t="s">
        <v>308</v>
      </c>
      <c r="B77" s="209" t="s">
        <v>309</v>
      </c>
      <c r="C77" s="210">
        <v>7.6993890372529519E-4</v>
      </c>
      <c r="D77" s="211">
        <v>2.9664000000000001</v>
      </c>
      <c r="E77" s="210">
        <f t="shared" si="0"/>
        <v>2.2839467640107156E-3</v>
      </c>
      <c r="F77" s="212">
        <v>6.0670000000000002</v>
      </c>
      <c r="G77" s="210">
        <f t="shared" si="1"/>
        <v>4.6712193289013661E-3</v>
      </c>
    </row>
    <row r="78" spans="1:7">
      <c r="A78" s="126" t="s">
        <v>310</v>
      </c>
      <c r="B78" s="209" t="s">
        <v>311</v>
      </c>
      <c r="C78" s="210">
        <v>5.7486297449841012E-3</v>
      </c>
      <c r="D78" s="211">
        <v>1.5298</v>
      </c>
      <c r="E78" s="210">
        <f t="shared" si="0"/>
        <v>8.794253783876679E-3</v>
      </c>
      <c r="F78" s="212">
        <v>9.58</v>
      </c>
      <c r="G78" s="210">
        <f t="shared" si="1"/>
        <v>5.5071872956947689E-2</v>
      </c>
    </row>
    <row r="79" spans="1:7">
      <c r="A79" s="126" t="s">
        <v>312</v>
      </c>
      <c r="B79" s="209" t="s">
        <v>313</v>
      </c>
      <c r="C79" s="210">
        <v>1.5058592573982414E-3</v>
      </c>
      <c r="D79" s="211">
        <v>2.0642</v>
      </c>
      <c r="E79" s="210">
        <f t="shared" si="0"/>
        <v>3.10839467912145E-3</v>
      </c>
      <c r="F79" s="212">
        <v>4.5199999999999996</v>
      </c>
      <c r="G79" s="210">
        <f t="shared" si="1"/>
        <v>6.8064838434400508E-3</v>
      </c>
    </row>
    <row r="80" spans="1:7">
      <c r="A80" s="126" t="s">
        <v>314</v>
      </c>
      <c r="B80" s="209" t="s">
        <v>315</v>
      </c>
      <c r="C80" s="210">
        <v>1.9004748536472383E-3</v>
      </c>
      <c r="D80" s="211">
        <v>2.0914000000000001</v>
      </c>
      <c r="E80" s="210">
        <f t="shared" si="0"/>
        <v>3.9746531089178347E-3</v>
      </c>
      <c r="F80" s="212">
        <v>12.71</v>
      </c>
      <c r="G80" s="210">
        <f t="shared" si="1"/>
        <v>2.4155035389856399E-2</v>
      </c>
    </row>
    <row r="81" spans="1:7">
      <c r="A81" s="126" t="s">
        <v>316</v>
      </c>
      <c r="B81" s="209" t="s">
        <v>317</v>
      </c>
      <c r="C81" s="210">
        <v>8.8250955220408212E-4</v>
      </c>
      <c r="D81" s="211">
        <v>2.8801000000000001</v>
      </c>
      <c r="E81" s="210">
        <f t="shared" si="0"/>
        <v>2.5417157613029772E-3</v>
      </c>
      <c r="F81" s="212">
        <v>11</v>
      </c>
      <c r="G81" s="210">
        <f t="shared" si="1"/>
        <v>9.707605074244903E-3</v>
      </c>
    </row>
    <row r="82" spans="1:7">
      <c r="A82" s="126" t="s">
        <v>318</v>
      </c>
      <c r="B82" s="209" t="s">
        <v>319</v>
      </c>
      <c r="C82" s="210">
        <v>1.7984573230317975E-3</v>
      </c>
      <c r="D82" s="211">
        <v>2.8605</v>
      </c>
      <c r="E82" s="210">
        <f t="shared" si="0"/>
        <v>5.1444871725324567E-3</v>
      </c>
      <c r="F82" s="212">
        <v>5.7759999999999998</v>
      </c>
      <c r="G82" s="210">
        <f t="shared" si="1"/>
        <v>1.0387889497831662E-2</v>
      </c>
    </row>
    <row r="83" spans="1:7">
      <c r="A83" s="126" t="s">
        <v>320</v>
      </c>
      <c r="B83" s="209" t="s">
        <v>321</v>
      </c>
      <c r="C83" s="210">
        <v>7.1586674699292575E-4</v>
      </c>
      <c r="D83" s="211">
        <v>1.6534</v>
      </c>
      <c r="E83" s="210">
        <f t="shared" si="0"/>
        <v>1.1836140794781035E-3</v>
      </c>
      <c r="F83" s="212">
        <v>-5.43</v>
      </c>
      <c r="G83" s="210">
        <f t="shared" si="1"/>
        <v>-3.8871564361715868E-3</v>
      </c>
    </row>
    <row r="84" spans="1:7">
      <c r="A84" s="126" t="s">
        <v>322</v>
      </c>
      <c r="B84" s="209" t="s">
        <v>323</v>
      </c>
      <c r="C84" s="210">
        <v>1.7746773590446685E-3</v>
      </c>
      <c r="D84" s="211">
        <v>0.90920000000000001</v>
      </c>
      <c r="E84" s="210">
        <f t="shared" si="0"/>
        <v>1.6135366548434126E-3</v>
      </c>
      <c r="F84" s="212">
        <v>10.895</v>
      </c>
      <c r="G84" s="210">
        <f t="shared" si="1"/>
        <v>1.9335109826791663E-2</v>
      </c>
    </row>
    <row r="85" spans="1:7">
      <c r="A85" s="126" t="s">
        <v>324</v>
      </c>
      <c r="B85" s="209" t="s">
        <v>325</v>
      </c>
      <c r="C85" s="210">
        <v>3.7414561582477127E-4</v>
      </c>
      <c r="D85" s="211">
        <v>3.9062999999999999</v>
      </c>
      <c r="E85" s="210">
        <f t="shared" si="0"/>
        <v>1.4615250190963039E-3</v>
      </c>
      <c r="F85" s="212">
        <v>-8.57</v>
      </c>
      <c r="G85" s="210">
        <f t="shared" si="1"/>
        <v>-3.2064279276182899E-3</v>
      </c>
    </row>
    <row r="86" spans="1:7">
      <c r="A86" s="126" t="s">
        <v>326</v>
      </c>
      <c r="B86" s="209" t="s">
        <v>327</v>
      </c>
      <c r="C86" s="210">
        <v>8.8924172977262593E-4</v>
      </c>
      <c r="D86" s="211">
        <v>3.4087999999999998</v>
      </c>
      <c r="E86" s="210">
        <f t="shared" si="0"/>
        <v>3.0312472084489273E-3</v>
      </c>
      <c r="F86" s="212">
        <v>0.1</v>
      </c>
      <c r="G86" s="210">
        <f t="shared" si="1"/>
        <v>8.8924172977262604E-5</v>
      </c>
    </row>
    <row r="87" spans="1:7">
      <c r="A87" s="126" t="s">
        <v>328</v>
      </c>
      <c r="B87" s="209" t="s">
        <v>329</v>
      </c>
      <c r="C87" s="210">
        <v>2.72148517740791E-3</v>
      </c>
      <c r="D87" s="211">
        <v>1.9576</v>
      </c>
      <c r="E87" s="210">
        <f t="shared" si="0"/>
        <v>5.3275793832937247E-3</v>
      </c>
      <c r="F87" s="212">
        <v>12.55</v>
      </c>
      <c r="G87" s="210">
        <f t="shared" si="1"/>
        <v>3.4154638976469275E-2</v>
      </c>
    </row>
    <row r="88" spans="1:7">
      <c r="A88" s="126" t="s">
        <v>330</v>
      </c>
      <c r="B88" s="209" t="s">
        <v>331</v>
      </c>
      <c r="C88" s="210">
        <v>1.0051610193732958E-3</v>
      </c>
      <c r="D88" s="211">
        <v>0.63239999999999996</v>
      </c>
      <c r="E88" s="210">
        <f t="shared" si="0"/>
        <v>6.356638286516722E-4</v>
      </c>
      <c r="F88" s="212">
        <v>18.472999999999999</v>
      </c>
      <c r="G88" s="210">
        <f t="shared" si="1"/>
        <v>1.8568339510882891E-2</v>
      </c>
    </row>
    <row r="89" spans="1:7">
      <c r="A89" s="126" t="s">
        <v>332</v>
      </c>
      <c r="B89" s="209" t="s">
        <v>333</v>
      </c>
      <c r="C89" s="210">
        <v>1.0342312619294812E-3</v>
      </c>
      <c r="D89" s="211" t="s">
        <v>1193</v>
      </c>
      <c r="E89" s="210" t="str">
        <f t="shared" si="0"/>
        <v>n/a</v>
      </c>
      <c r="F89" s="212">
        <v>11.257999999999999</v>
      </c>
      <c r="G89" s="210">
        <f t="shared" si="1"/>
        <v>1.1643375546802098E-2</v>
      </c>
    </row>
    <row r="90" spans="1:7">
      <c r="A90" s="126" t="s">
        <v>334</v>
      </c>
      <c r="B90" s="209" t="s">
        <v>335</v>
      </c>
      <c r="C90" s="210">
        <v>3.7170621278986057E-4</v>
      </c>
      <c r="D90" s="211">
        <v>2.0428000000000002</v>
      </c>
      <c r="E90" s="210">
        <f t="shared" si="0"/>
        <v>7.5932145148712728E-4</v>
      </c>
      <c r="F90" s="212">
        <v>4.95</v>
      </c>
      <c r="G90" s="210">
        <f t="shared" si="1"/>
        <v>1.8399457533098099E-3</v>
      </c>
    </row>
    <row r="91" spans="1:7">
      <c r="A91" s="126" t="s">
        <v>336</v>
      </c>
      <c r="B91" s="209" t="s">
        <v>337</v>
      </c>
      <c r="C91" s="210">
        <v>7.1696285515166879E-4</v>
      </c>
      <c r="D91" s="211">
        <v>1.2490999999999999</v>
      </c>
      <c r="E91" s="210">
        <f t="shared" si="0"/>
        <v>8.9555830236994936E-4</v>
      </c>
      <c r="F91" s="212">
        <v>11.433</v>
      </c>
      <c r="G91" s="210">
        <f t="shared" si="1"/>
        <v>8.1970363229490299E-3</v>
      </c>
    </row>
    <row r="92" spans="1:7">
      <c r="A92" s="126" t="s">
        <v>338</v>
      </c>
      <c r="B92" s="209" t="s">
        <v>339</v>
      </c>
      <c r="C92" s="210">
        <v>9.3970870206153145E-4</v>
      </c>
      <c r="D92" s="211">
        <v>0.82410000000000005</v>
      </c>
      <c r="E92" s="210">
        <f t="shared" si="0"/>
        <v>7.7441394136890812E-4</v>
      </c>
      <c r="F92" s="212">
        <v>6.7</v>
      </c>
      <c r="G92" s="210">
        <f t="shared" si="1"/>
        <v>6.2960483038122612E-3</v>
      </c>
    </row>
    <row r="93" spans="1:7">
      <c r="A93" s="126" t="s">
        <v>340</v>
      </c>
      <c r="B93" s="209" t="s">
        <v>341</v>
      </c>
      <c r="C93" s="210">
        <v>1.6567261107753607E-3</v>
      </c>
      <c r="D93" s="211">
        <v>2.7427999999999999</v>
      </c>
      <c r="E93" s="210">
        <f t="shared" si="0"/>
        <v>4.5440683766346593E-3</v>
      </c>
      <c r="F93" s="212">
        <v>6.4669999999999996</v>
      </c>
      <c r="G93" s="210">
        <f t="shared" si="1"/>
        <v>1.0714047758384257E-2</v>
      </c>
    </row>
    <row r="94" spans="1:7">
      <c r="A94" s="126" t="s">
        <v>342</v>
      </c>
      <c r="B94" s="209" t="s">
        <v>343</v>
      </c>
      <c r="C94" s="210">
        <v>1.7360519637072398E-3</v>
      </c>
      <c r="D94" s="211">
        <v>1.0061</v>
      </c>
      <c r="E94" s="210">
        <f t="shared" si="0"/>
        <v>1.7466418806858541E-3</v>
      </c>
      <c r="F94" s="212">
        <v>11.96</v>
      </c>
      <c r="G94" s="210">
        <f t="shared" si="1"/>
        <v>2.076318148593859E-2</v>
      </c>
    </row>
    <row r="95" spans="1:7">
      <c r="A95" s="126" t="s">
        <v>344</v>
      </c>
      <c r="B95" s="209" t="s">
        <v>345</v>
      </c>
      <c r="C95" s="210">
        <v>2.6546167420028453E-3</v>
      </c>
      <c r="D95" s="211">
        <v>1.2176</v>
      </c>
      <c r="E95" s="210">
        <f t="shared" ref="E95:E158" si="2">IFERROR($D95*$C95,"n/a")</f>
        <v>3.2322613450626644E-3</v>
      </c>
      <c r="F95" s="212">
        <v>12.19</v>
      </c>
      <c r="G95" s="210">
        <f t="shared" ref="G95:G158" si="3">IFERROR($F95*$C95,"n/a")</f>
        <v>3.2359778085014682E-2</v>
      </c>
    </row>
    <row r="96" spans="1:7">
      <c r="A96" s="126" t="s">
        <v>346</v>
      </c>
      <c r="B96" s="209" t="s">
        <v>347</v>
      </c>
      <c r="C96" s="210">
        <v>1.1210525498432064E-2</v>
      </c>
      <c r="D96" s="211" t="s">
        <v>1193</v>
      </c>
      <c r="E96" s="210" t="str">
        <f t="shared" si="2"/>
        <v>n/a</v>
      </c>
      <c r="F96" s="212">
        <v>61.8</v>
      </c>
      <c r="G96" s="210">
        <f t="shared" si="3"/>
        <v>0.69281047580310151</v>
      </c>
    </row>
    <row r="97" spans="1:7">
      <c r="A97" s="126" t="s">
        <v>348</v>
      </c>
      <c r="B97" s="209" t="s">
        <v>349</v>
      </c>
      <c r="C97" s="210">
        <v>7.0688257175742877E-4</v>
      </c>
      <c r="D97" s="211">
        <v>2.899</v>
      </c>
      <c r="E97" s="210">
        <f t="shared" si="2"/>
        <v>2.0492525755247859E-3</v>
      </c>
      <c r="F97" s="212">
        <v>6.6020000000000003</v>
      </c>
      <c r="G97" s="210">
        <f t="shared" si="3"/>
        <v>4.666838738742545E-3</v>
      </c>
    </row>
    <row r="98" spans="1:7">
      <c r="A98" s="126" t="s">
        <v>350</v>
      </c>
      <c r="B98" s="209" t="s">
        <v>351</v>
      </c>
      <c r="C98" s="210">
        <v>1.8430229833459876E-4</v>
      </c>
      <c r="D98" s="211">
        <v>4.4030000000000005</v>
      </c>
      <c r="E98" s="210">
        <f t="shared" si="2"/>
        <v>8.1148301956723845E-4</v>
      </c>
      <c r="F98" s="212">
        <v>10</v>
      </c>
      <c r="G98" s="210">
        <f t="shared" si="3"/>
        <v>1.8430229833459877E-3</v>
      </c>
    </row>
    <row r="99" spans="1:7">
      <c r="A99" s="126" t="s">
        <v>352</v>
      </c>
      <c r="B99" s="209" t="s">
        <v>353</v>
      </c>
      <c r="C99" s="210">
        <v>2.2033860623474561E-3</v>
      </c>
      <c r="D99" s="211" t="s">
        <v>1193</v>
      </c>
      <c r="E99" s="210" t="str">
        <f t="shared" si="2"/>
        <v>n/a</v>
      </c>
      <c r="F99" s="212">
        <v>8.8800000000000008</v>
      </c>
      <c r="G99" s="210">
        <f t="shared" si="3"/>
        <v>1.9566068233645411E-2</v>
      </c>
    </row>
    <row r="100" spans="1:7">
      <c r="A100" s="126" t="s">
        <v>354</v>
      </c>
      <c r="B100" s="209" t="s">
        <v>355</v>
      </c>
      <c r="C100" s="210">
        <v>3.2245956408156091E-3</v>
      </c>
      <c r="D100" s="211">
        <v>3.2341000000000002</v>
      </c>
      <c r="E100" s="210">
        <f t="shared" si="2"/>
        <v>1.0428664761961762E-2</v>
      </c>
      <c r="F100" s="212">
        <v>7.96</v>
      </c>
      <c r="G100" s="210">
        <f t="shared" si="3"/>
        <v>2.5667781300892249E-2</v>
      </c>
    </row>
    <row r="101" spans="1:7">
      <c r="A101" s="126" t="s">
        <v>356</v>
      </c>
      <c r="B101" s="209" t="s">
        <v>357</v>
      </c>
      <c r="C101" s="210">
        <v>2.9773816504972793E-4</v>
      </c>
      <c r="D101" s="211">
        <v>1.6088</v>
      </c>
      <c r="E101" s="210">
        <f t="shared" si="2"/>
        <v>4.7900115993200227E-4</v>
      </c>
      <c r="F101" s="212">
        <v>9.61</v>
      </c>
      <c r="G101" s="210">
        <f t="shared" si="3"/>
        <v>2.8612637661278853E-3</v>
      </c>
    </row>
    <row r="102" spans="1:7">
      <c r="A102" s="126" t="s">
        <v>358</v>
      </c>
      <c r="B102" s="209" t="s">
        <v>359</v>
      </c>
      <c r="C102" s="210">
        <v>7.5289894615922161E-4</v>
      </c>
      <c r="D102" s="211">
        <v>1.0577000000000001</v>
      </c>
      <c r="E102" s="210">
        <f t="shared" si="2"/>
        <v>7.9634121535260879E-4</v>
      </c>
      <c r="F102" s="212">
        <v>6.44</v>
      </c>
      <c r="G102" s="210">
        <f t="shared" si="3"/>
        <v>4.8486692132653879E-3</v>
      </c>
    </row>
    <row r="103" spans="1:7">
      <c r="A103" s="126" t="s">
        <v>360</v>
      </c>
      <c r="B103" s="209" t="s">
        <v>361</v>
      </c>
      <c r="C103" s="210">
        <v>2.8576846688017975E-4</v>
      </c>
      <c r="D103" s="211">
        <v>2.0489000000000002</v>
      </c>
      <c r="E103" s="210">
        <f t="shared" si="2"/>
        <v>5.8551101179080036E-4</v>
      </c>
      <c r="F103" s="212">
        <v>34.520000000000003</v>
      </c>
      <c r="G103" s="210">
        <f t="shared" si="3"/>
        <v>9.8647274767038051E-3</v>
      </c>
    </row>
    <row r="104" spans="1:7">
      <c r="A104" s="126" t="s">
        <v>362</v>
      </c>
      <c r="B104" s="209" t="s">
        <v>363</v>
      </c>
      <c r="C104" s="210">
        <v>5.4935671272946418E-4</v>
      </c>
      <c r="D104" s="211">
        <v>2.9838</v>
      </c>
      <c r="E104" s="210">
        <f t="shared" si="2"/>
        <v>1.6391705594421752E-3</v>
      </c>
      <c r="F104" s="212">
        <v>7.0430000000000001</v>
      </c>
      <c r="G104" s="210">
        <f t="shared" si="3"/>
        <v>3.8691193277536162E-3</v>
      </c>
    </row>
    <row r="105" spans="1:7">
      <c r="A105" s="126" t="s">
        <v>364</v>
      </c>
      <c r="B105" s="209" t="s">
        <v>365</v>
      </c>
      <c r="C105" s="210">
        <v>5.1661956456337419E-4</v>
      </c>
      <c r="D105" s="211">
        <v>1.0826</v>
      </c>
      <c r="E105" s="210">
        <f t="shared" si="2"/>
        <v>5.5929234059630894E-4</v>
      </c>
      <c r="F105" s="212">
        <v>12.733000000000001</v>
      </c>
      <c r="G105" s="210">
        <f t="shared" si="3"/>
        <v>6.5781169155854436E-3</v>
      </c>
    </row>
    <row r="106" spans="1:7">
      <c r="A106" s="126" t="s">
        <v>366</v>
      </c>
      <c r="B106" s="209" t="s">
        <v>367</v>
      </c>
      <c r="C106" s="210">
        <v>1.0382906912533379E-3</v>
      </c>
      <c r="D106" s="211">
        <v>0.64439999999999997</v>
      </c>
      <c r="E106" s="210">
        <f t="shared" si="2"/>
        <v>6.6907452144365092E-4</v>
      </c>
      <c r="F106" s="212">
        <v>12.28</v>
      </c>
      <c r="G106" s="210">
        <f t="shared" si="3"/>
        <v>1.2750209688590988E-2</v>
      </c>
    </row>
    <row r="107" spans="1:7">
      <c r="A107" s="126" t="s">
        <v>368</v>
      </c>
      <c r="B107" s="209" t="s">
        <v>369</v>
      </c>
      <c r="C107" s="210">
        <v>8.954729167591209E-4</v>
      </c>
      <c r="D107" s="211">
        <v>4.5755999999999997</v>
      </c>
      <c r="E107" s="210">
        <f t="shared" si="2"/>
        <v>4.0973258779230335E-3</v>
      </c>
      <c r="F107" s="212">
        <v>8.4700000000000006</v>
      </c>
      <c r="G107" s="210">
        <f t="shared" si="3"/>
        <v>7.5846556049497544E-3</v>
      </c>
    </row>
    <row r="108" spans="1:7">
      <c r="A108" s="126" t="s">
        <v>370</v>
      </c>
      <c r="B108" s="209" t="s">
        <v>371</v>
      </c>
      <c r="C108" s="210">
        <v>3.3947107642810201E-4</v>
      </c>
      <c r="D108" s="211" t="s">
        <v>1193</v>
      </c>
      <c r="E108" s="210" t="str">
        <f t="shared" si="2"/>
        <v>n/a</v>
      </c>
      <c r="F108" s="212">
        <v>10.763</v>
      </c>
      <c r="G108" s="210">
        <f t="shared" si="3"/>
        <v>3.6537271955956619E-3</v>
      </c>
    </row>
    <row r="109" spans="1:7">
      <c r="A109" s="126" t="s">
        <v>372</v>
      </c>
      <c r="B109" s="209" t="s">
        <v>373</v>
      </c>
      <c r="C109" s="210">
        <v>5.2918506838096804E-4</v>
      </c>
      <c r="D109" s="211">
        <v>8.0128000000000004</v>
      </c>
      <c r="E109" s="210">
        <f t="shared" si="2"/>
        <v>4.2402541159230209E-3</v>
      </c>
      <c r="F109" s="212">
        <v>5.0570000000000004</v>
      </c>
      <c r="G109" s="210">
        <f t="shared" si="3"/>
        <v>2.6760888908025555E-3</v>
      </c>
    </row>
    <row r="110" spans="1:7">
      <c r="A110" s="126" t="s">
        <v>376</v>
      </c>
      <c r="B110" s="209" t="s">
        <v>377</v>
      </c>
      <c r="C110" s="210">
        <v>5.5189465108055951E-4</v>
      </c>
      <c r="D110" s="211">
        <v>2.8258999999999999</v>
      </c>
      <c r="E110" s="210">
        <f t="shared" si="2"/>
        <v>1.5595990944885531E-3</v>
      </c>
      <c r="F110" s="212">
        <v>6.37</v>
      </c>
      <c r="G110" s="210">
        <f t="shared" si="3"/>
        <v>3.5155689273831644E-3</v>
      </c>
    </row>
    <row r="111" spans="1:7">
      <c r="A111" s="126" t="s">
        <v>378</v>
      </c>
      <c r="B111" s="209" t="s">
        <v>379</v>
      </c>
      <c r="C111" s="210">
        <v>7.4073303958456797E-4</v>
      </c>
      <c r="D111" s="211">
        <v>2.7919</v>
      </c>
      <c r="E111" s="210">
        <f t="shared" si="2"/>
        <v>2.0680525732161554E-3</v>
      </c>
      <c r="F111" s="212">
        <v>3.91</v>
      </c>
      <c r="G111" s="210">
        <f t="shared" si="3"/>
        <v>2.8962661847756607E-3</v>
      </c>
    </row>
    <row r="112" spans="1:7">
      <c r="A112" s="126" t="s">
        <v>380</v>
      </c>
      <c r="B112" s="209" t="s">
        <v>381</v>
      </c>
      <c r="C112" s="210">
        <v>7.0549388749652296E-4</v>
      </c>
      <c r="D112" s="211">
        <v>2.3925000000000001</v>
      </c>
      <c r="E112" s="210">
        <f t="shared" si="2"/>
        <v>1.6878941258354312E-3</v>
      </c>
      <c r="F112" s="212">
        <v>7.2030000000000003</v>
      </c>
      <c r="G112" s="210">
        <f t="shared" si="3"/>
        <v>5.0816724716374554E-3</v>
      </c>
    </row>
    <row r="113" spans="1:7">
      <c r="A113" s="126" t="s">
        <v>544</v>
      </c>
      <c r="B113" s="209" t="s">
        <v>545</v>
      </c>
      <c r="C113" s="210">
        <v>3.0811788465637794E-4</v>
      </c>
      <c r="D113" s="211">
        <v>4.9145000000000003</v>
      </c>
      <c r="E113" s="210">
        <f t="shared" si="2"/>
        <v>1.5142453441437695E-3</v>
      </c>
      <c r="F113" s="212">
        <v>-3.42</v>
      </c>
      <c r="G113" s="210">
        <f t="shared" si="3"/>
        <v>-1.0537631655248125E-3</v>
      </c>
    </row>
    <row r="114" spans="1:7">
      <c r="A114" s="126" t="s">
        <v>382</v>
      </c>
      <c r="B114" s="209" t="s">
        <v>383</v>
      </c>
      <c r="C114" s="210">
        <v>2.4518672748398349E-3</v>
      </c>
      <c r="D114" s="211">
        <v>2.3397999999999999</v>
      </c>
      <c r="E114" s="210">
        <f t="shared" si="2"/>
        <v>5.7368790496702456E-3</v>
      </c>
      <c r="F114" s="212">
        <v>4.5199999999999996</v>
      </c>
      <c r="G114" s="210">
        <f t="shared" si="3"/>
        <v>1.1082440082276053E-2</v>
      </c>
    </row>
    <row r="115" spans="1:7">
      <c r="A115" s="126" t="s">
        <v>384</v>
      </c>
      <c r="B115" s="209" t="s">
        <v>385</v>
      </c>
      <c r="C115" s="210">
        <v>3.831559292193211E-4</v>
      </c>
      <c r="D115" s="211">
        <v>4.0612000000000004</v>
      </c>
      <c r="E115" s="210">
        <f t="shared" si="2"/>
        <v>1.5560728597455069E-3</v>
      </c>
      <c r="F115" s="212">
        <v>12.93</v>
      </c>
      <c r="G115" s="210">
        <f t="shared" si="3"/>
        <v>4.9542061648058218E-3</v>
      </c>
    </row>
    <row r="116" spans="1:7">
      <c r="A116" s="126" t="s">
        <v>386</v>
      </c>
      <c r="B116" s="209" t="s">
        <v>387</v>
      </c>
      <c r="C116" s="210">
        <v>2.8043455836759232E-4</v>
      </c>
      <c r="D116" s="211" t="s">
        <v>1193</v>
      </c>
      <c r="E116" s="210" t="str">
        <f t="shared" si="2"/>
        <v>n/a</v>
      </c>
      <c r="F116" s="212">
        <v>6.125</v>
      </c>
      <c r="G116" s="210">
        <f t="shared" si="3"/>
        <v>1.7176616700015029E-3</v>
      </c>
    </row>
    <row r="117" spans="1:7">
      <c r="A117" s="126" t="s">
        <v>388</v>
      </c>
      <c r="B117" s="209" t="s">
        <v>389</v>
      </c>
      <c r="C117" s="210">
        <v>5.8035047857420109E-4</v>
      </c>
      <c r="D117" s="211">
        <v>2.7705000000000002</v>
      </c>
      <c r="E117" s="210">
        <f t="shared" si="2"/>
        <v>1.6078610008898242E-3</v>
      </c>
      <c r="F117" s="212">
        <v>7.6</v>
      </c>
      <c r="G117" s="210">
        <f t="shared" si="3"/>
        <v>4.410663637163928E-3</v>
      </c>
    </row>
    <row r="118" spans="1:7">
      <c r="A118" s="126" t="s">
        <v>390</v>
      </c>
      <c r="B118" s="209" t="s">
        <v>391</v>
      </c>
      <c r="C118" s="210">
        <v>1.2197772706124374E-3</v>
      </c>
      <c r="D118" s="211">
        <v>3.1333000000000002</v>
      </c>
      <c r="E118" s="210">
        <f t="shared" si="2"/>
        <v>3.8219281220099504E-3</v>
      </c>
      <c r="F118" s="212">
        <v>3.88</v>
      </c>
      <c r="G118" s="210">
        <f t="shared" si="3"/>
        <v>4.7327358099762571E-3</v>
      </c>
    </row>
    <row r="119" spans="1:7">
      <c r="A119" s="126" t="s">
        <v>392</v>
      </c>
      <c r="B119" s="209" t="s">
        <v>393</v>
      </c>
      <c r="C119" s="210">
        <v>2.6191765447957098E-4</v>
      </c>
      <c r="D119" s="211">
        <v>4.1589999999999998</v>
      </c>
      <c r="E119" s="210">
        <f t="shared" si="2"/>
        <v>1.0893155249805356E-3</v>
      </c>
      <c r="F119" s="212">
        <v>6.7969999999999997</v>
      </c>
      <c r="G119" s="210">
        <f t="shared" si="3"/>
        <v>1.7802542974976439E-3</v>
      </c>
    </row>
    <row r="120" spans="1:7">
      <c r="A120" s="126" t="s">
        <v>394</v>
      </c>
      <c r="B120" s="209" t="s">
        <v>395</v>
      </c>
      <c r="C120" s="210">
        <v>8.6573752884475184E-4</v>
      </c>
      <c r="D120" s="211">
        <v>2.8050000000000002</v>
      </c>
      <c r="E120" s="210">
        <f t="shared" si="2"/>
        <v>2.4283937684095292E-3</v>
      </c>
      <c r="F120" s="212">
        <v>9.34</v>
      </c>
      <c r="G120" s="210">
        <f t="shared" si="3"/>
        <v>8.0859885194099826E-3</v>
      </c>
    </row>
    <row r="121" spans="1:7">
      <c r="A121" s="126" t="s">
        <v>396</v>
      </c>
      <c r="B121" s="209" t="s">
        <v>397</v>
      </c>
      <c r="C121" s="210">
        <v>9.9778309772623197E-4</v>
      </c>
      <c r="D121" s="211">
        <v>3.2237</v>
      </c>
      <c r="E121" s="210">
        <f t="shared" si="2"/>
        <v>3.216553372140054E-3</v>
      </c>
      <c r="F121" s="212">
        <v>6.6950000000000003</v>
      </c>
      <c r="G121" s="210">
        <f t="shared" si="3"/>
        <v>6.6801578392771234E-3</v>
      </c>
    </row>
    <row r="122" spans="1:7">
      <c r="A122" s="126" t="s">
        <v>398</v>
      </c>
      <c r="B122" s="209" t="s">
        <v>399</v>
      </c>
      <c r="C122" s="210">
        <v>4.0277232385594816E-3</v>
      </c>
      <c r="D122" s="211">
        <v>0.4708</v>
      </c>
      <c r="E122" s="210">
        <f t="shared" si="2"/>
        <v>1.896252100713804E-3</v>
      </c>
      <c r="F122" s="212">
        <v>14.95</v>
      </c>
      <c r="G122" s="210">
        <f t="shared" si="3"/>
        <v>6.0214462416464248E-2</v>
      </c>
    </row>
    <row r="123" spans="1:7">
      <c r="A123" s="126" t="s">
        <v>400</v>
      </c>
      <c r="B123" s="209" t="s">
        <v>401</v>
      </c>
      <c r="C123" s="210">
        <v>2.1234355930149526E-3</v>
      </c>
      <c r="D123" s="211">
        <v>2.4693999999999998</v>
      </c>
      <c r="E123" s="210">
        <f t="shared" si="2"/>
        <v>5.2436118533911238E-3</v>
      </c>
      <c r="F123" s="212">
        <v>8.2249999999999996</v>
      </c>
      <c r="G123" s="210">
        <f t="shared" si="3"/>
        <v>1.7465257752547984E-2</v>
      </c>
    </row>
    <row r="124" spans="1:7">
      <c r="A124" s="126" t="s">
        <v>402</v>
      </c>
      <c r="B124" s="209" t="s">
        <v>403</v>
      </c>
      <c r="C124" s="210">
        <v>2.0647107732203202E-3</v>
      </c>
      <c r="D124" s="211">
        <v>1.8022</v>
      </c>
      <c r="E124" s="210">
        <f t="shared" si="2"/>
        <v>3.7210217554976611E-3</v>
      </c>
      <c r="F124" s="212">
        <v>6.5049999999999999</v>
      </c>
      <c r="G124" s="210">
        <f t="shared" si="3"/>
        <v>1.3430943579798182E-2</v>
      </c>
    </row>
    <row r="125" spans="1:7">
      <c r="A125" s="126" t="s">
        <v>404</v>
      </c>
      <c r="B125" s="209" t="s">
        <v>405</v>
      </c>
      <c r="C125" s="210">
        <v>2.530955106397934E-3</v>
      </c>
      <c r="D125" s="211">
        <v>4.5286</v>
      </c>
      <c r="E125" s="210">
        <f t="shared" si="2"/>
        <v>1.1461683294833684E-2</v>
      </c>
      <c r="F125" s="212">
        <v>4.5280000000000005</v>
      </c>
      <c r="G125" s="210">
        <f t="shared" si="3"/>
        <v>1.1460164721769845E-2</v>
      </c>
    </row>
    <row r="126" spans="1:7">
      <c r="A126" s="126" t="s">
        <v>406</v>
      </c>
      <c r="B126" s="209" t="s">
        <v>407</v>
      </c>
      <c r="C126" s="210">
        <v>5.6288929733274665E-4</v>
      </c>
      <c r="D126" s="211">
        <v>1.9687000000000001</v>
      </c>
      <c r="E126" s="210">
        <f t="shared" si="2"/>
        <v>1.1081601596589785E-3</v>
      </c>
      <c r="F126" s="212">
        <v>10.967000000000001</v>
      </c>
      <c r="G126" s="210">
        <f t="shared" si="3"/>
        <v>6.1732069238482328E-3</v>
      </c>
    </row>
    <row r="127" spans="1:7">
      <c r="A127" s="126" t="s">
        <v>1101</v>
      </c>
      <c r="B127" s="209" t="s">
        <v>1102</v>
      </c>
      <c r="C127" s="210">
        <v>4.9795791845236683E-4</v>
      </c>
      <c r="D127" s="211">
        <v>2.633</v>
      </c>
      <c r="E127" s="210">
        <f t="shared" si="2"/>
        <v>1.3111231992850819E-3</v>
      </c>
      <c r="F127" s="212">
        <v>5.63</v>
      </c>
      <c r="G127" s="210">
        <f t="shared" si="3"/>
        <v>2.8035030808868252E-3</v>
      </c>
    </row>
    <row r="128" spans="1:7">
      <c r="A128" s="126" t="s">
        <v>408</v>
      </c>
      <c r="B128" s="209" t="s">
        <v>409</v>
      </c>
      <c r="C128" s="210">
        <v>2.7151097990442507E-3</v>
      </c>
      <c r="D128" s="211">
        <v>3.9432999999999998</v>
      </c>
      <c r="E128" s="210">
        <f t="shared" si="2"/>
        <v>1.0706492470571193E-2</v>
      </c>
      <c r="F128" s="212">
        <v>5.008</v>
      </c>
      <c r="G128" s="210">
        <f t="shared" si="3"/>
        <v>1.3597269873613607E-2</v>
      </c>
    </row>
    <row r="129" spans="1:7">
      <c r="A129" s="126" t="s">
        <v>410</v>
      </c>
      <c r="B129" s="209" t="s">
        <v>411</v>
      </c>
      <c r="C129" s="210">
        <v>4.5263183627857568E-4</v>
      </c>
      <c r="D129" s="211">
        <v>3.3673999999999999</v>
      </c>
      <c r="E129" s="210">
        <f t="shared" si="2"/>
        <v>1.5241924454844756E-3</v>
      </c>
      <c r="F129" s="212">
        <v>4.617</v>
      </c>
      <c r="G129" s="210">
        <f t="shared" si="3"/>
        <v>2.0898011880981838E-3</v>
      </c>
    </row>
    <row r="130" spans="1:7">
      <c r="A130" s="126" t="s">
        <v>412</v>
      </c>
      <c r="B130" s="209" t="s">
        <v>413</v>
      </c>
      <c r="C130" s="210">
        <v>1.3575997629404577E-3</v>
      </c>
      <c r="D130" s="211">
        <v>3.4154999999999998</v>
      </c>
      <c r="E130" s="210">
        <f t="shared" si="2"/>
        <v>4.6368819903231332E-3</v>
      </c>
      <c r="F130" s="212">
        <v>8.6</v>
      </c>
      <c r="G130" s="210">
        <f t="shared" si="3"/>
        <v>1.1675357961287935E-2</v>
      </c>
    </row>
    <row r="131" spans="1:7">
      <c r="A131" s="126" t="s">
        <v>414</v>
      </c>
      <c r="B131" s="209" t="s">
        <v>415</v>
      </c>
      <c r="C131" s="210">
        <v>2.215294544713703E-3</v>
      </c>
      <c r="D131" s="211">
        <v>0.92910000000000004</v>
      </c>
      <c r="E131" s="210">
        <f t="shared" si="2"/>
        <v>2.0582301614935016E-3</v>
      </c>
      <c r="F131" s="212">
        <v>13.132999999999999</v>
      </c>
      <c r="G131" s="210">
        <f t="shared" si="3"/>
        <v>2.9093463255725059E-2</v>
      </c>
    </row>
    <row r="132" spans="1:7">
      <c r="A132" s="126" t="s">
        <v>416</v>
      </c>
      <c r="B132" s="209" t="s">
        <v>417</v>
      </c>
      <c r="C132" s="210">
        <v>3.6776219985475004E-4</v>
      </c>
      <c r="D132" s="211">
        <v>0.32879999999999998</v>
      </c>
      <c r="E132" s="210">
        <f t="shared" si="2"/>
        <v>1.2092021131224181E-4</v>
      </c>
      <c r="F132" s="212">
        <v>16.84</v>
      </c>
      <c r="G132" s="210">
        <f t="shared" si="3"/>
        <v>6.1931154455539903E-3</v>
      </c>
    </row>
    <row r="133" spans="1:7">
      <c r="A133" s="126" t="s">
        <v>418</v>
      </c>
      <c r="B133" s="209" t="s">
        <v>419</v>
      </c>
      <c r="C133" s="210">
        <v>1.5987222338718768E-3</v>
      </c>
      <c r="D133" s="211">
        <v>2.9314999999999998</v>
      </c>
      <c r="E133" s="210">
        <f t="shared" si="2"/>
        <v>4.6866542285954067E-3</v>
      </c>
      <c r="F133" s="212">
        <v>8.0630000000000006</v>
      </c>
      <c r="G133" s="210">
        <f t="shared" si="3"/>
        <v>1.2890497371708944E-2</v>
      </c>
    </row>
    <row r="134" spans="1:7">
      <c r="A134" s="126" t="s">
        <v>420</v>
      </c>
      <c r="B134" s="209" t="s">
        <v>421</v>
      </c>
      <c r="C134" s="210">
        <v>1.6753490861101982E-3</v>
      </c>
      <c r="D134" s="211">
        <v>1.5493999999999999</v>
      </c>
      <c r="E134" s="210">
        <f t="shared" si="2"/>
        <v>2.5957858740191411E-3</v>
      </c>
      <c r="F134" s="212">
        <v>6.5</v>
      </c>
      <c r="G134" s="210">
        <f t="shared" si="3"/>
        <v>1.0889769059716288E-2</v>
      </c>
    </row>
    <row r="135" spans="1:7">
      <c r="A135" s="126" t="s">
        <v>422</v>
      </c>
      <c r="B135" s="209" t="s">
        <v>423</v>
      </c>
      <c r="C135" s="210">
        <v>9.0711473765625378E-4</v>
      </c>
      <c r="D135" s="211">
        <v>3.1015999999999999</v>
      </c>
      <c r="E135" s="210">
        <f t="shared" si="2"/>
        <v>2.8135070703146367E-3</v>
      </c>
      <c r="F135" s="212">
        <v>7.8E-2</v>
      </c>
      <c r="G135" s="210">
        <f t="shared" si="3"/>
        <v>7.075494953718779E-5</v>
      </c>
    </row>
    <row r="136" spans="1:7">
      <c r="A136" s="126" t="s">
        <v>424</v>
      </c>
      <c r="B136" s="209" t="s">
        <v>425</v>
      </c>
      <c r="C136" s="210">
        <v>6.6104423056980214E-4</v>
      </c>
      <c r="D136" s="211">
        <v>1.109</v>
      </c>
      <c r="E136" s="210">
        <f t="shared" si="2"/>
        <v>7.3309805170191061E-4</v>
      </c>
      <c r="F136" s="212">
        <v>8.7349999999999994</v>
      </c>
      <c r="G136" s="210">
        <f t="shared" si="3"/>
        <v>5.7742213540272211E-3</v>
      </c>
    </row>
    <row r="137" spans="1:7">
      <c r="A137" s="126" t="s">
        <v>426</v>
      </c>
      <c r="B137" s="209" t="s">
        <v>427</v>
      </c>
      <c r="C137" s="210">
        <v>1.1375644615507026E-3</v>
      </c>
      <c r="D137" s="211" t="s">
        <v>1193</v>
      </c>
      <c r="E137" s="210" t="str">
        <f t="shared" si="2"/>
        <v>n/a</v>
      </c>
      <c r="F137" s="212">
        <v>17.75</v>
      </c>
      <c r="G137" s="210">
        <f t="shared" si="3"/>
        <v>2.019176919252497E-2</v>
      </c>
    </row>
    <row r="138" spans="1:7">
      <c r="A138" s="126" t="s">
        <v>428</v>
      </c>
      <c r="B138" s="209" t="s">
        <v>429</v>
      </c>
      <c r="C138" s="210">
        <v>5.0103605034794072E-4</v>
      </c>
      <c r="D138" s="211" t="s">
        <v>1193</v>
      </c>
      <c r="E138" s="210" t="str">
        <f t="shared" si="2"/>
        <v>n/a</v>
      </c>
      <c r="F138" s="212">
        <v>13.08</v>
      </c>
      <c r="G138" s="210">
        <f t="shared" si="3"/>
        <v>6.5535515385510643E-3</v>
      </c>
    </row>
    <row r="139" spans="1:7">
      <c r="A139" s="126" t="s">
        <v>430</v>
      </c>
      <c r="B139" s="209" t="s">
        <v>431</v>
      </c>
      <c r="C139" s="210">
        <v>1.4764638439836229E-3</v>
      </c>
      <c r="D139" s="211">
        <v>1.7861</v>
      </c>
      <c r="E139" s="210">
        <f t="shared" si="2"/>
        <v>2.637112071739149E-3</v>
      </c>
      <c r="F139" s="212">
        <v>20.72</v>
      </c>
      <c r="G139" s="210">
        <f t="shared" si="3"/>
        <v>3.0592330847340664E-2</v>
      </c>
    </row>
    <row r="140" spans="1:7">
      <c r="A140" s="126" t="s">
        <v>432</v>
      </c>
      <c r="B140" s="209" t="s">
        <v>433</v>
      </c>
      <c r="C140" s="210">
        <v>1.8661657773233679E-4</v>
      </c>
      <c r="D140" s="211">
        <v>9.7169000000000008</v>
      </c>
      <c r="E140" s="210">
        <f t="shared" si="2"/>
        <v>1.8133346241673435E-3</v>
      </c>
      <c r="F140" s="212">
        <v>3.5</v>
      </c>
      <c r="G140" s="210">
        <f t="shared" si="3"/>
        <v>6.531580220631788E-4</v>
      </c>
    </row>
    <row r="141" spans="1:7">
      <c r="A141" s="126" t="s">
        <v>434</v>
      </c>
      <c r="B141" s="209" t="s">
        <v>435</v>
      </c>
      <c r="C141" s="210">
        <v>4.4457827249218111E-4</v>
      </c>
      <c r="D141" s="211">
        <v>1.8248</v>
      </c>
      <c r="E141" s="210">
        <f t="shared" si="2"/>
        <v>8.1126643164373209E-4</v>
      </c>
      <c r="F141" s="212">
        <v>9</v>
      </c>
      <c r="G141" s="210">
        <f t="shared" si="3"/>
        <v>4.0012044524296297E-3</v>
      </c>
    </row>
    <row r="142" spans="1:7">
      <c r="A142" s="126" t="s">
        <v>436</v>
      </c>
      <c r="B142" s="209" t="s">
        <v>24</v>
      </c>
      <c r="C142" s="210">
        <v>1.395500348581239E-3</v>
      </c>
      <c r="D142" s="211">
        <v>6.5502000000000002</v>
      </c>
      <c r="E142" s="210">
        <f t="shared" si="2"/>
        <v>9.1408063832768317E-3</v>
      </c>
      <c r="F142" s="212">
        <v>2.5830000000000002</v>
      </c>
      <c r="G142" s="210">
        <f t="shared" si="3"/>
        <v>3.6045774003853406E-3</v>
      </c>
    </row>
    <row r="143" spans="1:7">
      <c r="A143" s="126" t="s">
        <v>437</v>
      </c>
      <c r="B143" s="209" t="s">
        <v>438</v>
      </c>
      <c r="C143" s="210">
        <v>4.4267515689454806E-3</v>
      </c>
      <c r="D143" s="211">
        <v>2.1459999999999999</v>
      </c>
      <c r="E143" s="210">
        <f t="shared" si="2"/>
        <v>9.4998088669570012E-3</v>
      </c>
      <c r="F143" s="212">
        <v>5.4580000000000002</v>
      </c>
      <c r="G143" s="210">
        <f t="shared" si="3"/>
        <v>2.4161210063304434E-2</v>
      </c>
    </row>
    <row r="144" spans="1:7">
      <c r="A144" s="126" t="s">
        <v>439</v>
      </c>
      <c r="B144" s="209" t="s">
        <v>440</v>
      </c>
      <c r="C144" s="210">
        <v>5.6506711468816764E-4</v>
      </c>
      <c r="D144" s="211">
        <v>3.6036000000000001</v>
      </c>
      <c r="E144" s="210">
        <f t="shared" si="2"/>
        <v>2.0362758544902812E-3</v>
      </c>
      <c r="F144" s="212">
        <v>10</v>
      </c>
      <c r="G144" s="210">
        <f t="shared" si="3"/>
        <v>5.6506711468816764E-3</v>
      </c>
    </row>
    <row r="145" spans="1:7">
      <c r="A145" s="126" t="s">
        <v>441</v>
      </c>
      <c r="B145" s="209" t="s">
        <v>442</v>
      </c>
      <c r="C145" s="210">
        <v>5.3976775154293403E-4</v>
      </c>
      <c r="D145" s="211">
        <v>2.0899000000000001</v>
      </c>
      <c r="E145" s="210">
        <f t="shared" si="2"/>
        <v>1.1280606239495779E-3</v>
      </c>
      <c r="F145" s="212">
        <v>3.81</v>
      </c>
      <c r="G145" s="210">
        <f t="shared" si="3"/>
        <v>2.0565151333785787E-3</v>
      </c>
    </row>
    <row r="146" spans="1:7">
      <c r="A146" s="126" t="s">
        <v>443</v>
      </c>
      <c r="B146" s="209" t="s">
        <v>444</v>
      </c>
      <c r="C146" s="210">
        <v>2.5360209566954386E-4</v>
      </c>
      <c r="D146" s="211">
        <v>5.5876000000000001</v>
      </c>
      <c r="E146" s="210">
        <f t="shared" si="2"/>
        <v>1.4170270697631434E-3</v>
      </c>
      <c r="F146" s="212">
        <v>5.0330000000000004</v>
      </c>
      <c r="G146" s="210">
        <f t="shared" si="3"/>
        <v>1.2763793475048144E-3</v>
      </c>
    </row>
    <row r="147" spans="1:7">
      <c r="A147" s="126" t="s">
        <v>445</v>
      </c>
      <c r="B147" s="209" t="s">
        <v>446</v>
      </c>
      <c r="C147" s="210">
        <v>2.0517923883171356E-3</v>
      </c>
      <c r="D147" s="211">
        <v>2.2328000000000001</v>
      </c>
      <c r="E147" s="210">
        <f t="shared" si="2"/>
        <v>4.5812420446345002E-3</v>
      </c>
      <c r="F147" s="212">
        <v>8.5350000000000001</v>
      </c>
      <c r="G147" s="210">
        <f t="shared" si="3"/>
        <v>1.7512048034286753E-2</v>
      </c>
    </row>
    <row r="148" spans="1:7">
      <c r="A148" s="126" t="s">
        <v>447</v>
      </c>
      <c r="B148" s="209" t="s">
        <v>448</v>
      </c>
      <c r="C148" s="210">
        <v>1.2950590249944059E-3</v>
      </c>
      <c r="D148" s="211">
        <v>3.5558999999999998</v>
      </c>
      <c r="E148" s="210">
        <f t="shared" si="2"/>
        <v>4.6051003869776079E-3</v>
      </c>
      <c r="F148" s="212">
        <v>6.5</v>
      </c>
      <c r="G148" s="210">
        <f t="shared" si="3"/>
        <v>8.4178836624636388E-3</v>
      </c>
    </row>
    <row r="149" spans="1:7">
      <c r="A149" s="126" t="s">
        <v>449</v>
      </c>
      <c r="B149" s="209" t="s">
        <v>450</v>
      </c>
      <c r="C149" s="210">
        <v>5.6553665146841865E-4</v>
      </c>
      <c r="D149" s="211">
        <v>3.0626000000000002</v>
      </c>
      <c r="E149" s="210">
        <f t="shared" si="2"/>
        <v>1.7320125487871791E-3</v>
      </c>
      <c r="F149" s="212">
        <v>4.7699999999999996</v>
      </c>
      <c r="G149" s="210">
        <f t="shared" si="3"/>
        <v>2.6976098275043568E-3</v>
      </c>
    </row>
    <row r="150" spans="1:7">
      <c r="A150" s="126" t="s">
        <v>1326</v>
      </c>
      <c r="B150" s="209" t="s">
        <v>21</v>
      </c>
      <c r="C150" s="210">
        <v>5.2331954272511892E-4</v>
      </c>
      <c r="D150" s="211">
        <v>1.8439000000000001</v>
      </c>
      <c r="E150" s="210">
        <f t="shared" si="2"/>
        <v>9.6494890483084684E-4</v>
      </c>
      <c r="F150" s="212">
        <v>7.5</v>
      </c>
      <c r="G150" s="210">
        <f t="shared" si="3"/>
        <v>3.9248965704383916E-3</v>
      </c>
    </row>
    <row r="151" spans="1:7">
      <c r="A151" s="126" t="s">
        <v>451</v>
      </c>
      <c r="B151" s="209" t="s">
        <v>452</v>
      </c>
      <c r="C151" s="210">
        <v>6.3037336728048428E-4</v>
      </c>
      <c r="D151" s="211">
        <v>1.9384000000000001</v>
      </c>
      <c r="E151" s="210">
        <f t="shared" si="2"/>
        <v>1.2219157351364908E-3</v>
      </c>
      <c r="F151" s="212">
        <v>10.9</v>
      </c>
      <c r="G151" s="210">
        <f t="shared" si="3"/>
        <v>6.8710697033572792E-3</v>
      </c>
    </row>
    <row r="152" spans="1:7">
      <c r="A152" s="126" t="s">
        <v>453</v>
      </c>
      <c r="B152" s="209" t="s">
        <v>454</v>
      </c>
      <c r="C152" s="210">
        <v>6.4186243089523994E-4</v>
      </c>
      <c r="D152" s="211">
        <v>3.8195999999999999</v>
      </c>
      <c r="E152" s="210">
        <f t="shared" si="2"/>
        <v>2.4516577410474585E-3</v>
      </c>
      <c r="F152" s="212">
        <v>5.55</v>
      </c>
      <c r="G152" s="210">
        <f t="shared" si="3"/>
        <v>3.5623364914685817E-3</v>
      </c>
    </row>
    <row r="153" spans="1:7">
      <c r="A153" s="126" t="s">
        <v>455</v>
      </c>
      <c r="B153" s="209" t="s">
        <v>456</v>
      </c>
      <c r="C153" s="210">
        <v>2.1915850178522064E-4</v>
      </c>
      <c r="D153" s="211">
        <v>4.1700999999999997</v>
      </c>
      <c r="E153" s="210">
        <f t="shared" si="2"/>
        <v>9.1391286829454847E-4</v>
      </c>
      <c r="F153" s="212">
        <v>5.9</v>
      </c>
      <c r="G153" s="210">
        <f t="shared" si="3"/>
        <v>1.2930351605328018E-3</v>
      </c>
    </row>
    <row r="154" spans="1:7">
      <c r="A154" s="126" t="s">
        <v>1327</v>
      </c>
      <c r="B154" s="209" t="s">
        <v>1328</v>
      </c>
      <c r="C154" s="210">
        <v>1.8052367481664687E-3</v>
      </c>
      <c r="D154" s="211">
        <v>1.4379</v>
      </c>
      <c r="E154" s="210">
        <f t="shared" si="2"/>
        <v>2.5957499201885652E-3</v>
      </c>
      <c r="F154" s="212" t="s">
        <v>1193</v>
      </c>
      <c r="G154" s="210" t="str">
        <f t="shared" si="3"/>
        <v>n/a</v>
      </c>
    </row>
    <row r="155" spans="1:7">
      <c r="A155" s="126" t="s">
        <v>457</v>
      </c>
      <c r="B155" s="209" t="s">
        <v>458</v>
      </c>
      <c r="C155" s="210">
        <v>6.8022847697944136E-4</v>
      </c>
      <c r="D155" s="211">
        <v>4.1538000000000004</v>
      </c>
      <c r="E155" s="210">
        <f t="shared" si="2"/>
        <v>2.8255330476772036E-3</v>
      </c>
      <c r="F155" s="212">
        <v>2.94</v>
      </c>
      <c r="G155" s="210">
        <f t="shared" si="3"/>
        <v>1.9998717223195578E-3</v>
      </c>
    </row>
    <row r="156" spans="1:7">
      <c r="A156" s="126" t="s">
        <v>459</v>
      </c>
      <c r="B156" s="209" t="s">
        <v>460</v>
      </c>
      <c r="C156" s="210">
        <v>1.7046366659156071E-4</v>
      </c>
      <c r="D156" s="211">
        <v>7.0876000000000001</v>
      </c>
      <c r="E156" s="210">
        <f t="shared" si="2"/>
        <v>1.2081782833343456E-3</v>
      </c>
      <c r="F156" s="212">
        <v>6.5649999999999995</v>
      </c>
      <c r="G156" s="210">
        <f t="shared" si="3"/>
        <v>1.119093971173596E-3</v>
      </c>
    </row>
    <row r="157" spans="1:7">
      <c r="A157" s="126" t="s">
        <v>461</v>
      </c>
      <c r="B157" s="209" t="s">
        <v>462</v>
      </c>
      <c r="C157" s="210">
        <v>8.9426505104076145E-4</v>
      </c>
      <c r="D157" s="211">
        <v>0.40839999999999999</v>
      </c>
      <c r="E157" s="210">
        <f t="shared" si="2"/>
        <v>3.6521784684504698E-4</v>
      </c>
      <c r="F157" s="212">
        <v>9.23</v>
      </c>
      <c r="G157" s="210">
        <f t="shared" si="3"/>
        <v>8.2540664211062289E-3</v>
      </c>
    </row>
    <row r="158" spans="1:7">
      <c r="A158" s="126" t="s">
        <v>463</v>
      </c>
      <c r="B158" s="209" t="s">
        <v>464</v>
      </c>
      <c r="C158" s="210">
        <v>8.9752825352658859E-4</v>
      </c>
      <c r="D158" s="211">
        <v>1.9950000000000001</v>
      </c>
      <c r="E158" s="210">
        <f t="shared" si="2"/>
        <v>1.7905688657855444E-3</v>
      </c>
      <c r="F158" s="212">
        <v>7.0670000000000002</v>
      </c>
      <c r="G158" s="210">
        <f t="shared" si="3"/>
        <v>6.3428321676724016E-3</v>
      </c>
    </row>
    <row r="159" spans="1:7">
      <c r="A159" s="126" t="s">
        <v>465</v>
      </c>
      <c r="B159" s="209" t="s">
        <v>466</v>
      </c>
      <c r="C159" s="210">
        <v>8.7920239634231481E-4</v>
      </c>
      <c r="D159" s="211">
        <v>2.5813999999999999</v>
      </c>
      <c r="E159" s="210">
        <f t="shared" ref="E159:E222" si="4">IFERROR($D159*$C159,"n/a")</f>
        <v>2.2695730659180514E-3</v>
      </c>
      <c r="F159" s="212">
        <v>6.5670000000000002</v>
      </c>
      <c r="G159" s="210">
        <f t="shared" ref="G159:G222" si="5">IFERROR($F159*$C159,"n/a")</f>
        <v>5.7737221367799817E-3</v>
      </c>
    </row>
    <row r="160" spans="1:7">
      <c r="A160" s="126" t="s">
        <v>467</v>
      </c>
      <c r="B160" s="209" t="s">
        <v>468</v>
      </c>
      <c r="C160" s="210">
        <v>9.0772969851098801E-4</v>
      </c>
      <c r="D160" s="211">
        <v>1.9209000000000001</v>
      </c>
      <c r="E160" s="210">
        <f t="shared" si="4"/>
        <v>1.743657977869757E-3</v>
      </c>
      <c r="F160" s="212">
        <v>5.7</v>
      </c>
      <c r="G160" s="210">
        <f t="shared" si="5"/>
        <v>5.1740592815126317E-3</v>
      </c>
    </row>
    <row r="161" spans="1:7">
      <c r="A161" s="126" t="s">
        <v>469</v>
      </c>
      <c r="B161" s="209" t="s">
        <v>470</v>
      </c>
      <c r="C161" s="210">
        <v>6.4788681434404095E-4</v>
      </c>
      <c r="D161" s="211">
        <v>1.9203000000000001</v>
      </c>
      <c r="E161" s="210">
        <f t="shared" si="4"/>
        <v>1.244137049584862E-3</v>
      </c>
      <c r="F161" s="212">
        <v>9.83</v>
      </c>
      <c r="G161" s="210">
        <f t="shared" si="5"/>
        <v>6.3687273850019229E-3</v>
      </c>
    </row>
    <row r="162" spans="1:7">
      <c r="A162" s="126" t="s">
        <v>471</v>
      </c>
      <c r="B162" s="209" t="s">
        <v>472</v>
      </c>
      <c r="C162" s="210">
        <v>3.1013666780823727E-3</v>
      </c>
      <c r="D162" s="211">
        <v>2.0607000000000002</v>
      </c>
      <c r="E162" s="210">
        <f t="shared" si="4"/>
        <v>6.3909863135243458E-3</v>
      </c>
      <c r="F162" s="212">
        <v>8.5449999999999999</v>
      </c>
      <c r="G162" s="210">
        <f t="shared" si="5"/>
        <v>2.6501178264213873E-2</v>
      </c>
    </row>
    <row r="163" spans="1:7">
      <c r="A163" s="126" t="s">
        <v>473</v>
      </c>
      <c r="B163" s="209" t="s">
        <v>474</v>
      </c>
      <c r="C163" s="210">
        <v>5.8799555539129199E-4</v>
      </c>
      <c r="D163" s="211">
        <v>3.8105000000000002</v>
      </c>
      <c r="E163" s="210">
        <f t="shared" si="4"/>
        <v>2.2405570638185184E-3</v>
      </c>
      <c r="F163" s="212">
        <v>5.8979999999999997</v>
      </c>
      <c r="G163" s="210">
        <f t="shared" si="5"/>
        <v>3.4679977856978401E-3</v>
      </c>
    </row>
    <row r="164" spans="1:7">
      <c r="A164" s="126" t="s">
        <v>475</v>
      </c>
      <c r="B164" s="209" t="s">
        <v>476</v>
      </c>
      <c r="C164" s="210">
        <v>1.34264119400043E-3</v>
      </c>
      <c r="D164" s="211">
        <v>0.86050000000000004</v>
      </c>
      <c r="E164" s="210">
        <f t="shared" si="4"/>
        <v>1.15534274743737E-3</v>
      </c>
      <c r="F164" s="212">
        <v>12.83</v>
      </c>
      <c r="G164" s="210">
        <f t="shared" si="5"/>
        <v>1.7226086519025515E-2</v>
      </c>
    </row>
    <row r="165" spans="1:7">
      <c r="A165" s="126" t="s">
        <v>477</v>
      </c>
      <c r="B165" s="209" t="s">
        <v>478</v>
      </c>
      <c r="C165" s="210">
        <v>9.676527082635646E-4</v>
      </c>
      <c r="D165" s="211">
        <v>1.3473999999999999</v>
      </c>
      <c r="E165" s="210">
        <f t="shared" si="4"/>
        <v>1.3038152591143268E-3</v>
      </c>
      <c r="F165" s="212">
        <v>14.4</v>
      </c>
      <c r="G165" s="210">
        <f t="shared" si="5"/>
        <v>1.3934198998995331E-2</v>
      </c>
    </row>
    <row r="166" spans="1:7">
      <c r="A166" s="126" t="s">
        <v>479</v>
      </c>
      <c r="B166" s="209" t="s">
        <v>480</v>
      </c>
      <c r="C166" s="210">
        <v>1.9678479983295761E-3</v>
      </c>
      <c r="D166" s="211">
        <v>2.7349999999999999</v>
      </c>
      <c r="E166" s="210">
        <f t="shared" si="4"/>
        <v>5.3820642754313901E-3</v>
      </c>
      <c r="F166" s="212">
        <v>6.52</v>
      </c>
      <c r="G166" s="210">
        <f t="shared" si="5"/>
        <v>1.2830368949108835E-2</v>
      </c>
    </row>
    <row r="167" spans="1:7">
      <c r="A167" s="126" t="s">
        <v>1357</v>
      </c>
      <c r="B167" s="209" t="s">
        <v>1358</v>
      </c>
      <c r="C167" s="210">
        <v>6.9330678132691135E-4</v>
      </c>
      <c r="D167" s="211">
        <v>0.95750000000000002</v>
      </c>
      <c r="E167" s="210">
        <f t="shared" si="4"/>
        <v>6.6384124312051762E-4</v>
      </c>
      <c r="F167" s="212">
        <v>13.55</v>
      </c>
      <c r="G167" s="210">
        <f t="shared" si="5"/>
        <v>9.3943068869796493E-3</v>
      </c>
    </row>
    <row r="168" spans="1:7">
      <c r="A168" s="126" t="s">
        <v>481</v>
      </c>
      <c r="B168" s="209" t="s">
        <v>482</v>
      </c>
      <c r="C168" s="210">
        <v>1.1570756409811677E-3</v>
      </c>
      <c r="D168" s="211">
        <v>1.7206000000000001</v>
      </c>
      <c r="E168" s="210">
        <f t="shared" si="4"/>
        <v>1.9908643478721974E-3</v>
      </c>
      <c r="F168" s="212">
        <v>9.48</v>
      </c>
      <c r="G168" s="210">
        <f t="shared" si="5"/>
        <v>1.0969077076501471E-2</v>
      </c>
    </row>
    <row r="169" spans="1:7">
      <c r="A169" s="126" t="s">
        <v>483</v>
      </c>
      <c r="B169" s="209" t="s">
        <v>484</v>
      </c>
      <c r="C169" s="210">
        <v>3.2454140454112762E-4</v>
      </c>
      <c r="D169" s="211">
        <v>4.3598999999999997</v>
      </c>
      <c r="E169" s="210">
        <f t="shared" si="4"/>
        <v>1.4149680696588622E-3</v>
      </c>
      <c r="F169" s="212">
        <v>5.85</v>
      </c>
      <c r="G169" s="210">
        <f t="shared" si="5"/>
        <v>1.8985672165655965E-3</v>
      </c>
    </row>
    <row r="170" spans="1:7">
      <c r="A170" s="126" t="s">
        <v>485</v>
      </c>
      <c r="B170" s="209" t="s">
        <v>486</v>
      </c>
      <c r="C170" s="210">
        <v>5.0925928514350763E-4</v>
      </c>
      <c r="D170" s="211">
        <v>2.4451999999999998</v>
      </c>
      <c r="E170" s="210">
        <f t="shared" si="4"/>
        <v>1.2452408040329048E-3</v>
      </c>
      <c r="F170" s="212">
        <v>12.65</v>
      </c>
      <c r="G170" s="210">
        <f t="shared" si="5"/>
        <v>6.4421299570653718E-3</v>
      </c>
    </row>
    <row r="171" spans="1:7">
      <c r="A171" s="126" t="s">
        <v>487</v>
      </c>
      <c r="B171" s="209" t="s">
        <v>488</v>
      </c>
      <c r="C171" s="210">
        <v>4.8196354322709701E-4</v>
      </c>
      <c r="D171" s="211">
        <v>0.74319999999999997</v>
      </c>
      <c r="E171" s="210">
        <f t="shared" si="4"/>
        <v>3.581953053263785E-4</v>
      </c>
      <c r="F171" s="212">
        <v>15.615</v>
      </c>
      <c r="G171" s="210">
        <f t="shared" si="5"/>
        <v>7.52586072749112E-3</v>
      </c>
    </row>
    <row r="172" spans="1:7">
      <c r="A172" s="126" t="s">
        <v>489</v>
      </c>
      <c r="B172" s="209" t="s">
        <v>490</v>
      </c>
      <c r="C172" s="210">
        <v>2.1531730342586316E-4</v>
      </c>
      <c r="D172" s="211">
        <v>3.9163999999999999</v>
      </c>
      <c r="E172" s="210">
        <f t="shared" si="4"/>
        <v>8.4326868713705048E-4</v>
      </c>
      <c r="F172" s="212">
        <v>5.0780000000000003</v>
      </c>
      <c r="G172" s="210">
        <f t="shared" si="5"/>
        <v>1.0933812667965333E-3</v>
      </c>
    </row>
    <row r="173" spans="1:7">
      <c r="A173" s="126" t="s">
        <v>491</v>
      </c>
      <c r="B173" s="209" t="s">
        <v>492</v>
      </c>
      <c r="C173" s="210">
        <v>8.5210714170183674E-4</v>
      </c>
      <c r="D173" s="211">
        <v>3.5430999999999999</v>
      </c>
      <c r="E173" s="210">
        <f t="shared" si="4"/>
        <v>3.0191008137637775E-3</v>
      </c>
      <c r="F173" s="212">
        <v>2.09</v>
      </c>
      <c r="G173" s="210">
        <f t="shared" si="5"/>
        <v>1.7809039261568386E-3</v>
      </c>
    </row>
    <row r="174" spans="1:7">
      <c r="A174" s="126" t="s">
        <v>493</v>
      </c>
      <c r="B174" s="209" t="s">
        <v>494</v>
      </c>
      <c r="C174" s="210">
        <v>5.5279861084391122E-4</v>
      </c>
      <c r="D174" s="211">
        <v>1.7359</v>
      </c>
      <c r="E174" s="210">
        <f t="shared" si="4"/>
        <v>9.5960310856394544E-4</v>
      </c>
      <c r="F174" s="212">
        <v>7.8</v>
      </c>
      <c r="G174" s="210">
        <f t="shared" si="5"/>
        <v>4.311829164582507E-3</v>
      </c>
    </row>
    <row r="175" spans="1:7">
      <c r="A175" s="126" t="s">
        <v>495</v>
      </c>
      <c r="B175" s="209" t="s">
        <v>496</v>
      </c>
      <c r="C175" s="210">
        <v>2.9560299217971616E-4</v>
      </c>
      <c r="D175" s="211">
        <v>1.5030000000000001</v>
      </c>
      <c r="E175" s="210">
        <f t="shared" si="4"/>
        <v>4.4429129724611344E-4</v>
      </c>
      <c r="F175" s="212">
        <v>-1.6</v>
      </c>
      <c r="G175" s="210">
        <f t="shared" si="5"/>
        <v>-4.7296478748754586E-4</v>
      </c>
    </row>
    <row r="176" spans="1:7">
      <c r="A176" s="126" t="s">
        <v>497</v>
      </c>
      <c r="B176" s="209" t="s">
        <v>498</v>
      </c>
      <c r="C176" s="210">
        <v>1.9003410684745969E-3</v>
      </c>
      <c r="D176" s="211">
        <v>2.9003999999999999</v>
      </c>
      <c r="E176" s="210">
        <f t="shared" si="4"/>
        <v>5.5117492350037203E-3</v>
      </c>
      <c r="F176" s="212">
        <v>4.7830000000000004</v>
      </c>
      <c r="G176" s="210">
        <f t="shared" si="5"/>
        <v>9.0893313305139972E-3</v>
      </c>
    </row>
    <row r="177" spans="1:7">
      <c r="A177" s="126" t="s">
        <v>499</v>
      </c>
      <c r="B177" s="209" t="s">
        <v>500</v>
      </c>
      <c r="C177" s="210">
        <v>3.427105295675622E-4</v>
      </c>
      <c r="D177" s="211">
        <v>5.3639999999999999</v>
      </c>
      <c r="E177" s="210">
        <f t="shared" si="4"/>
        <v>1.8382992806004036E-3</v>
      </c>
      <c r="F177" s="212">
        <v>3.9929999999999999</v>
      </c>
      <c r="G177" s="210">
        <f t="shared" si="5"/>
        <v>1.3684431445632758E-3</v>
      </c>
    </row>
    <row r="178" spans="1:7">
      <c r="A178" s="126" t="s">
        <v>501</v>
      </c>
      <c r="B178" s="209" t="s">
        <v>502</v>
      </c>
      <c r="C178" s="210">
        <v>3.071926354989258E-4</v>
      </c>
      <c r="D178" s="211">
        <v>5.3967000000000001</v>
      </c>
      <c r="E178" s="210">
        <f t="shared" si="4"/>
        <v>1.6578264959970529E-3</v>
      </c>
      <c r="F178" s="212">
        <v>6.1669999999999998</v>
      </c>
      <c r="G178" s="210">
        <f t="shared" si="5"/>
        <v>1.8944569831218754E-3</v>
      </c>
    </row>
    <row r="179" spans="1:7">
      <c r="A179" s="126" t="s">
        <v>503</v>
      </c>
      <c r="B179" s="209" t="s">
        <v>504</v>
      </c>
      <c r="C179" s="210">
        <v>7.0220950916780531E-3</v>
      </c>
      <c r="D179" s="211">
        <v>1.7444999999999999</v>
      </c>
      <c r="E179" s="210">
        <f t="shared" si="4"/>
        <v>1.2250044887432364E-2</v>
      </c>
      <c r="F179" s="212">
        <v>8.3829999999999991</v>
      </c>
      <c r="G179" s="210">
        <f t="shared" si="5"/>
        <v>5.8866223153537116E-2</v>
      </c>
    </row>
    <row r="180" spans="1:7">
      <c r="A180" s="126" t="s">
        <v>505</v>
      </c>
      <c r="B180" s="209" t="s">
        <v>506</v>
      </c>
      <c r="C180" s="210">
        <v>8.0336370767876268E-4</v>
      </c>
      <c r="D180" s="211">
        <v>2.4824999999999999</v>
      </c>
      <c r="E180" s="210">
        <f t="shared" si="4"/>
        <v>1.9943504043125281E-3</v>
      </c>
      <c r="F180" s="212">
        <v>4.75</v>
      </c>
      <c r="G180" s="210">
        <f t="shared" si="5"/>
        <v>3.8159776114741225E-3</v>
      </c>
    </row>
    <row r="181" spans="1:7">
      <c r="A181" s="126" t="s">
        <v>507</v>
      </c>
      <c r="B181" s="209" t="s">
        <v>508</v>
      </c>
      <c r="C181" s="210">
        <v>2.0923518184964157E-4</v>
      </c>
      <c r="D181" s="211">
        <v>3.9081999999999999</v>
      </c>
      <c r="E181" s="210">
        <f t="shared" si="4"/>
        <v>8.1773293770476914E-4</v>
      </c>
      <c r="F181" s="212" t="s">
        <v>1193</v>
      </c>
      <c r="G181" s="210" t="str">
        <f t="shared" si="5"/>
        <v>n/a</v>
      </c>
    </row>
    <row r="182" spans="1:7">
      <c r="A182" s="126" t="s">
        <v>509</v>
      </c>
      <c r="B182" s="209" t="s">
        <v>510</v>
      </c>
      <c r="C182" s="210">
        <v>6.1747241429568325E-4</v>
      </c>
      <c r="D182" s="211">
        <v>0.28649999999999998</v>
      </c>
      <c r="E182" s="210">
        <f t="shared" si="4"/>
        <v>1.7690584669571323E-4</v>
      </c>
      <c r="F182" s="212">
        <v>9.4149999999999991</v>
      </c>
      <c r="G182" s="210">
        <f t="shared" si="5"/>
        <v>5.8135027805938577E-3</v>
      </c>
    </row>
    <row r="183" spans="1:7">
      <c r="A183" s="126" t="s">
        <v>511</v>
      </c>
      <c r="B183" s="209" t="s">
        <v>512</v>
      </c>
      <c r="C183" s="210">
        <v>4.1970164751790884E-3</v>
      </c>
      <c r="D183" s="211">
        <v>2.3071000000000002</v>
      </c>
      <c r="E183" s="210">
        <f t="shared" si="4"/>
        <v>9.6829367098856759E-3</v>
      </c>
      <c r="F183" s="212">
        <v>9.9250000000000007</v>
      </c>
      <c r="G183" s="210">
        <f t="shared" si="5"/>
        <v>4.1655388516152456E-2</v>
      </c>
    </row>
    <row r="184" spans="1:7">
      <c r="A184" s="126" t="s">
        <v>513</v>
      </c>
      <c r="B184" s="209" t="s">
        <v>514</v>
      </c>
      <c r="C184" s="210">
        <v>2.1048449706395603E-4</v>
      </c>
      <c r="D184" s="211">
        <v>6.1256000000000004</v>
      </c>
      <c r="E184" s="210">
        <f t="shared" si="4"/>
        <v>1.2893438352149691E-3</v>
      </c>
      <c r="F184" s="212">
        <v>9.2249999999999996</v>
      </c>
      <c r="G184" s="210">
        <f t="shared" si="5"/>
        <v>1.9417194854149944E-3</v>
      </c>
    </row>
    <row r="185" spans="1:7">
      <c r="A185" s="126" t="s">
        <v>515</v>
      </c>
      <c r="B185" s="209" t="s">
        <v>516</v>
      </c>
      <c r="C185" s="210">
        <v>3.548252306497282E-3</v>
      </c>
      <c r="D185" s="211" t="s">
        <v>1193</v>
      </c>
      <c r="E185" s="210" t="str">
        <f t="shared" si="4"/>
        <v>n/a</v>
      </c>
      <c r="F185" s="212">
        <v>29.71</v>
      </c>
      <c r="G185" s="210">
        <f t="shared" si="5"/>
        <v>0.10541857602603424</v>
      </c>
    </row>
    <row r="186" spans="1:7">
      <c r="A186" s="126" t="s">
        <v>517</v>
      </c>
      <c r="B186" s="209" t="s">
        <v>518</v>
      </c>
      <c r="C186" s="210">
        <v>4.694295561873233E-4</v>
      </c>
      <c r="D186" s="211">
        <v>2.4535999999999998</v>
      </c>
      <c r="E186" s="210">
        <f t="shared" si="4"/>
        <v>1.1517923590612163E-3</v>
      </c>
      <c r="F186" s="212">
        <v>9</v>
      </c>
      <c r="G186" s="210">
        <f t="shared" si="5"/>
        <v>4.2248660056859099E-3</v>
      </c>
    </row>
    <row r="187" spans="1:7">
      <c r="A187" s="126" t="s">
        <v>519</v>
      </c>
      <c r="B187" s="209" t="s">
        <v>520</v>
      </c>
      <c r="C187" s="210">
        <v>6.051343561563245E-4</v>
      </c>
      <c r="D187" s="211">
        <v>0.48559999999999998</v>
      </c>
      <c r="E187" s="210">
        <f t="shared" si="4"/>
        <v>2.9385324334951118E-4</v>
      </c>
      <c r="F187" s="212" t="s">
        <v>1193</v>
      </c>
      <c r="G187" s="210" t="str">
        <f t="shared" si="5"/>
        <v>n/a</v>
      </c>
    </row>
    <row r="188" spans="1:7">
      <c r="A188" s="126" t="s">
        <v>521</v>
      </c>
      <c r="B188" s="209" t="s">
        <v>197</v>
      </c>
      <c r="C188" s="210">
        <v>3.2991278977340874E-3</v>
      </c>
      <c r="D188" s="211">
        <v>2.0007000000000001</v>
      </c>
      <c r="E188" s="210">
        <f t="shared" si="4"/>
        <v>6.6005651849965893E-3</v>
      </c>
      <c r="F188" s="212">
        <v>14.56</v>
      </c>
      <c r="G188" s="210">
        <f t="shared" si="5"/>
        <v>4.8035302191008315E-2</v>
      </c>
    </row>
    <row r="189" spans="1:7">
      <c r="A189" s="126" t="s">
        <v>522</v>
      </c>
      <c r="B189" s="209" t="s">
        <v>523</v>
      </c>
      <c r="C189" s="210">
        <v>4.9059254730449999E-4</v>
      </c>
      <c r="D189" s="211">
        <v>4.6269999999999998</v>
      </c>
      <c r="E189" s="210">
        <f t="shared" si="4"/>
        <v>2.2699717163779214E-3</v>
      </c>
      <c r="F189" s="212">
        <v>19.823</v>
      </c>
      <c r="G189" s="210">
        <f t="shared" si="5"/>
        <v>9.7250160652171038E-3</v>
      </c>
    </row>
    <row r="190" spans="1:7">
      <c r="A190" s="126" t="s">
        <v>1329</v>
      </c>
      <c r="B190" s="209" t="s">
        <v>674</v>
      </c>
      <c r="C190" s="210">
        <v>2.5729220910977464E-4</v>
      </c>
      <c r="D190" s="211">
        <v>3.3433999999999999</v>
      </c>
      <c r="E190" s="210">
        <f t="shared" si="4"/>
        <v>8.6023077193762051E-4</v>
      </c>
      <c r="F190" s="212">
        <v>6.2</v>
      </c>
      <c r="G190" s="210">
        <f t="shared" si="5"/>
        <v>1.5952116964806028E-3</v>
      </c>
    </row>
    <row r="191" spans="1:7">
      <c r="A191" s="126" t="s">
        <v>1330</v>
      </c>
      <c r="B191" s="209" t="s">
        <v>1331</v>
      </c>
      <c r="C191" s="210">
        <v>4.8319738188963693E-4</v>
      </c>
      <c r="D191" s="211">
        <v>1.2203999999999999</v>
      </c>
      <c r="E191" s="210">
        <f t="shared" si="4"/>
        <v>5.8969408485811292E-4</v>
      </c>
      <c r="F191" s="212">
        <v>11.2</v>
      </c>
      <c r="G191" s="210">
        <f t="shared" si="5"/>
        <v>5.411810677163933E-3</v>
      </c>
    </row>
    <row r="192" spans="1:7">
      <c r="A192" s="126" t="s">
        <v>524</v>
      </c>
      <c r="B192" s="209" t="s">
        <v>525</v>
      </c>
      <c r="C192" s="210">
        <v>1.9692219380377774E-3</v>
      </c>
      <c r="D192" s="211">
        <v>1.8191000000000002</v>
      </c>
      <c r="E192" s="210">
        <f t="shared" si="4"/>
        <v>3.582211627484521E-3</v>
      </c>
      <c r="F192" s="212">
        <v>12.577</v>
      </c>
      <c r="G192" s="210">
        <f t="shared" si="5"/>
        <v>2.4766904314701126E-2</v>
      </c>
    </row>
    <row r="193" spans="1:7">
      <c r="A193" s="126" t="s">
        <v>526</v>
      </c>
      <c r="B193" s="209" t="s">
        <v>527</v>
      </c>
      <c r="C193" s="210">
        <v>4.6899744426873321E-4</v>
      </c>
      <c r="D193" s="211">
        <v>1.2955999999999999</v>
      </c>
      <c r="E193" s="210">
        <f t="shared" si="4"/>
        <v>6.0763308879457066E-4</v>
      </c>
      <c r="F193" s="212">
        <v>9.1880000000000006</v>
      </c>
      <c r="G193" s="210">
        <f t="shared" si="5"/>
        <v>4.309148517941121E-3</v>
      </c>
    </row>
    <row r="194" spans="1:7">
      <c r="A194" s="126" t="s">
        <v>528</v>
      </c>
      <c r="B194" s="209" t="s">
        <v>529</v>
      </c>
      <c r="C194" s="210">
        <v>2.3456070142474947E-3</v>
      </c>
      <c r="D194" s="211">
        <v>0.93069999999999997</v>
      </c>
      <c r="E194" s="210">
        <f t="shared" si="4"/>
        <v>2.1830564481601432E-3</v>
      </c>
      <c r="F194" s="212">
        <v>10.467000000000001</v>
      </c>
      <c r="G194" s="210">
        <f t="shared" si="5"/>
        <v>2.4551468618128527E-2</v>
      </c>
    </row>
    <row r="195" spans="1:7">
      <c r="A195" s="126" t="s">
        <v>530</v>
      </c>
      <c r="B195" s="209" t="s">
        <v>531</v>
      </c>
      <c r="C195" s="210">
        <v>5.6652019146506945E-3</v>
      </c>
      <c r="D195" s="211">
        <v>1.9885999999999999</v>
      </c>
      <c r="E195" s="210">
        <f t="shared" si="4"/>
        <v>1.1265820527474371E-2</v>
      </c>
      <c r="F195" s="212">
        <v>7.2620000000000005</v>
      </c>
      <c r="G195" s="210">
        <f t="shared" si="5"/>
        <v>4.1140696304193348E-2</v>
      </c>
    </row>
    <row r="196" spans="1:7">
      <c r="A196" s="126" t="s">
        <v>532</v>
      </c>
      <c r="B196" s="209" t="s">
        <v>533</v>
      </c>
      <c r="C196" s="210">
        <v>3.1885438593569925E-3</v>
      </c>
      <c r="D196" s="211">
        <v>3.1711</v>
      </c>
      <c r="E196" s="210">
        <f t="shared" si="4"/>
        <v>1.0111191432406959E-2</v>
      </c>
      <c r="F196" s="212">
        <v>6.2270000000000003</v>
      </c>
      <c r="G196" s="210">
        <f t="shared" si="5"/>
        <v>1.9855062612215993E-2</v>
      </c>
    </row>
    <row r="197" spans="1:7">
      <c r="A197" s="126" t="s">
        <v>1332</v>
      </c>
      <c r="B197" s="209" t="s">
        <v>1333</v>
      </c>
      <c r="C197" s="210">
        <v>2.0665589942911698E-3</v>
      </c>
      <c r="D197" s="211">
        <v>1.6827999999999999</v>
      </c>
      <c r="E197" s="210">
        <f t="shared" si="4"/>
        <v>3.4776054755931802E-3</v>
      </c>
      <c r="F197" s="212">
        <v>6.55</v>
      </c>
      <c r="G197" s="210">
        <f t="shared" si="5"/>
        <v>1.3535961412607161E-2</v>
      </c>
    </row>
    <row r="198" spans="1:7">
      <c r="A198" s="126" t="s">
        <v>534</v>
      </c>
      <c r="B198" s="209" t="s">
        <v>535</v>
      </c>
      <c r="C198" s="210">
        <v>1.8386649862568391E-3</v>
      </c>
      <c r="D198" s="211" t="s">
        <v>1193</v>
      </c>
      <c r="E198" s="210" t="str">
        <f t="shared" si="4"/>
        <v>n/a</v>
      </c>
      <c r="F198" s="212">
        <v>4.0149999999999997</v>
      </c>
      <c r="G198" s="210">
        <f t="shared" si="5"/>
        <v>7.3822399198212084E-3</v>
      </c>
    </row>
    <row r="199" spans="1:7">
      <c r="A199" s="126" t="s">
        <v>536</v>
      </c>
      <c r="B199" s="209" t="s">
        <v>537</v>
      </c>
      <c r="C199" s="210">
        <v>1.103355764340994E-3</v>
      </c>
      <c r="D199" s="211">
        <v>1.3378999999999999</v>
      </c>
      <c r="E199" s="210">
        <f t="shared" si="4"/>
        <v>1.4761796771118158E-3</v>
      </c>
      <c r="F199" s="212">
        <v>7.05</v>
      </c>
      <c r="G199" s="210">
        <f t="shared" si="5"/>
        <v>7.7786581386040075E-3</v>
      </c>
    </row>
    <row r="200" spans="1:7">
      <c r="A200" s="126" t="s">
        <v>538</v>
      </c>
      <c r="B200" s="209" t="s">
        <v>539</v>
      </c>
      <c r="C200" s="210">
        <v>4.9888588529728645E-4</v>
      </c>
      <c r="D200" s="211">
        <v>1.2532000000000001</v>
      </c>
      <c r="E200" s="210">
        <f t="shared" si="4"/>
        <v>6.252037914545594E-4</v>
      </c>
      <c r="F200" s="212">
        <v>10</v>
      </c>
      <c r="G200" s="210">
        <f t="shared" si="5"/>
        <v>4.9888588529728647E-3</v>
      </c>
    </row>
    <row r="201" spans="1:7">
      <c r="A201" s="126" t="s">
        <v>540</v>
      </c>
      <c r="B201" s="209" t="s">
        <v>541</v>
      </c>
      <c r="C201" s="210">
        <v>3.9666763727131397E-4</v>
      </c>
      <c r="D201" s="211" t="s">
        <v>1193</v>
      </c>
      <c r="E201" s="210" t="str">
        <f t="shared" si="4"/>
        <v>n/a</v>
      </c>
      <c r="F201" s="212">
        <v>-5.7169999999999996</v>
      </c>
      <c r="G201" s="210">
        <f t="shared" si="5"/>
        <v>-2.2677488822801018E-3</v>
      </c>
    </row>
    <row r="202" spans="1:7">
      <c r="A202" s="126" t="s">
        <v>542</v>
      </c>
      <c r="B202" s="209" t="s">
        <v>543</v>
      </c>
      <c r="C202" s="210">
        <v>6.3806372502360899E-4</v>
      </c>
      <c r="D202" s="211" t="s">
        <v>1193</v>
      </c>
      <c r="E202" s="210" t="str">
        <f t="shared" si="4"/>
        <v>n/a</v>
      </c>
      <c r="F202" s="212">
        <v>7.36</v>
      </c>
      <c r="G202" s="210">
        <f t="shared" si="5"/>
        <v>4.6961490161737621E-3</v>
      </c>
    </row>
    <row r="203" spans="1:7">
      <c r="A203" s="126" t="s">
        <v>1334</v>
      </c>
      <c r="B203" s="209" t="s">
        <v>546</v>
      </c>
      <c r="C203" s="210">
        <v>1.2086101757975154E-3</v>
      </c>
      <c r="D203" s="211">
        <v>1.4767999999999999</v>
      </c>
      <c r="E203" s="210">
        <f t="shared" si="4"/>
        <v>1.7848755076177705E-3</v>
      </c>
      <c r="F203" s="212">
        <v>5.75</v>
      </c>
      <c r="G203" s="210">
        <f t="shared" si="5"/>
        <v>6.9495085108357132E-3</v>
      </c>
    </row>
    <row r="204" spans="1:7">
      <c r="A204" s="126" t="s">
        <v>548</v>
      </c>
      <c r="B204" s="209" t="s">
        <v>549</v>
      </c>
      <c r="C204" s="210">
        <v>4.5706234551440728E-3</v>
      </c>
      <c r="D204" s="211">
        <v>0.93700000000000006</v>
      </c>
      <c r="E204" s="210">
        <f t="shared" si="4"/>
        <v>4.2826741774699964E-3</v>
      </c>
      <c r="F204" s="212">
        <v>13.821999999999999</v>
      </c>
      <c r="G204" s="210">
        <f t="shared" si="5"/>
        <v>6.3175157397001372E-2</v>
      </c>
    </row>
    <row r="205" spans="1:7">
      <c r="A205" s="126" t="s">
        <v>550</v>
      </c>
      <c r="B205" s="209" t="s">
        <v>551</v>
      </c>
      <c r="C205" s="210">
        <v>4.3424463811643813E-4</v>
      </c>
      <c r="D205" s="211">
        <v>2.6738</v>
      </c>
      <c r="E205" s="210">
        <f t="shared" si="4"/>
        <v>1.1610833133957324E-3</v>
      </c>
      <c r="F205" s="212">
        <v>5.28</v>
      </c>
      <c r="G205" s="210">
        <f t="shared" si="5"/>
        <v>2.2928116892547935E-3</v>
      </c>
    </row>
    <row r="206" spans="1:7">
      <c r="A206" s="126" t="s">
        <v>552</v>
      </c>
      <c r="B206" s="209" t="s">
        <v>553</v>
      </c>
      <c r="C206" s="210">
        <v>4.175684374394564E-4</v>
      </c>
      <c r="D206" s="211">
        <v>2.1371000000000002</v>
      </c>
      <c r="E206" s="210">
        <f t="shared" si="4"/>
        <v>8.9238550765186238E-4</v>
      </c>
      <c r="F206" s="212">
        <v>16.579999999999998</v>
      </c>
      <c r="G206" s="210">
        <f t="shared" si="5"/>
        <v>6.923284692746186E-3</v>
      </c>
    </row>
    <row r="207" spans="1:7">
      <c r="A207" s="126" t="s">
        <v>554</v>
      </c>
      <c r="B207" s="209" t="s">
        <v>555</v>
      </c>
      <c r="C207" s="210">
        <v>1.8396657246163542E-3</v>
      </c>
      <c r="D207" s="211">
        <v>2.0928</v>
      </c>
      <c r="E207" s="210">
        <f t="shared" si="4"/>
        <v>3.8500524284771059E-3</v>
      </c>
      <c r="F207" s="212">
        <v>13.68</v>
      </c>
      <c r="G207" s="210">
        <f t="shared" si="5"/>
        <v>2.5166627112751725E-2</v>
      </c>
    </row>
    <row r="208" spans="1:7">
      <c r="A208" s="126" t="s">
        <v>556</v>
      </c>
      <c r="B208" s="209" t="s">
        <v>557</v>
      </c>
      <c r="C208" s="210">
        <v>6.1927989959882743E-4</v>
      </c>
      <c r="D208" s="211">
        <v>3.8502000000000001</v>
      </c>
      <c r="E208" s="210">
        <f t="shared" si="4"/>
        <v>2.3843514694354053E-3</v>
      </c>
      <c r="F208" s="212">
        <v>6.87</v>
      </c>
      <c r="G208" s="210">
        <f t="shared" si="5"/>
        <v>4.2544529102439442E-3</v>
      </c>
    </row>
    <row r="209" spans="1:7">
      <c r="A209" s="126" t="s">
        <v>558</v>
      </c>
      <c r="B209" s="209" t="s">
        <v>559</v>
      </c>
      <c r="C209" s="210">
        <v>1.075189737728398E-3</v>
      </c>
      <c r="D209" s="211">
        <v>2.5038</v>
      </c>
      <c r="E209" s="210">
        <f t="shared" si="4"/>
        <v>2.6920600653243627E-3</v>
      </c>
      <c r="F209" s="212">
        <v>6.415</v>
      </c>
      <c r="G209" s="210">
        <f t="shared" si="5"/>
        <v>6.897342167527673E-3</v>
      </c>
    </row>
    <row r="210" spans="1:7">
      <c r="A210" s="126" t="s">
        <v>560</v>
      </c>
      <c r="B210" s="209" t="s">
        <v>561</v>
      </c>
      <c r="C210" s="210">
        <v>2.4651504479616566E-3</v>
      </c>
      <c r="D210" s="211">
        <v>1.4088000000000001</v>
      </c>
      <c r="E210" s="210">
        <f t="shared" si="4"/>
        <v>3.4729039510883819E-3</v>
      </c>
      <c r="F210" s="212">
        <v>6.835</v>
      </c>
      <c r="G210" s="210">
        <f t="shared" si="5"/>
        <v>1.6849303311817922E-2</v>
      </c>
    </row>
    <row r="211" spans="1:7">
      <c r="A211" s="126" t="s">
        <v>562</v>
      </c>
      <c r="B211" s="209" t="s">
        <v>563</v>
      </c>
      <c r="C211" s="210">
        <v>8.6395341767528059E-3</v>
      </c>
      <c r="D211" s="211">
        <v>4.0444000000000004</v>
      </c>
      <c r="E211" s="210">
        <f t="shared" si="4"/>
        <v>3.4941732024459049E-2</v>
      </c>
      <c r="F211" s="212">
        <v>9.8550000000000004</v>
      </c>
      <c r="G211" s="210">
        <f t="shared" si="5"/>
        <v>8.5142609311898904E-2</v>
      </c>
    </row>
    <row r="212" spans="1:7">
      <c r="A212" s="126" t="s">
        <v>564</v>
      </c>
      <c r="B212" s="209" t="s">
        <v>565</v>
      </c>
      <c r="C212" s="210">
        <v>5.9997189558745568E-4</v>
      </c>
      <c r="D212" s="211">
        <v>3.1427999999999998</v>
      </c>
      <c r="E212" s="210">
        <f t="shared" si="4"/>
        <v>1.8855916734522556E-3</v>
      </c>
      <c r="F212" s="212">
        <v>0.35</v>
      </c>
      <c r="G212" s="210">
        <f t="shared" si="5"/>
        <v>2.0999016345560947E-4</v>
      </c>
    </row>
    <row r="213" spans="1:7">
      <c r="A213" s="126" t="s">
        <v>566</v>
      </c>
      <c r="B213" s="209" t="s">
        <v>567</v>
      </c>
      <c r="C213" s="210">
        <v>2.5430359568575544E-4</v>
      </c>
      <c r="D213" s="211">
        <v>0.17</v>
      </c>
      <c r="E213" s="210">
        <f t="shared" si="4"/>
        <v>4.3231611266578424E-5</v>
      </c>
      <c r="F213" s="212">
        <v>6.5170000000000003</v>
      </c>
      <c r="G213" s="210">
        <f t="shared" si="5"/>
        <v>1.6572965330840684E-3</v>
      </c>
    </row>
    <row r="214" spans="1:7">
      <c r="A214" s="126" t="s">
        <v>568</v>
      </c>
      <c r="B214" s="209" t="s">
        <v>569</v>
      </c>
      <c r="C214" s="210">
        <v>1.5463150166056176E-3</v>
      </c>
      <c r="D214" s="211">
        <v>7.1059000000000001</v>
      </c>
      <c r="E214" s="210">
        <f t="shared" si="4"/>
        <v>1.0987959876497859E-2</v>
      </c>
      <c r="F214" s="212">
        <v>6.3</v>
      </c>
      <c r="G214" s="210">
        <f t="shared" si="5"/>
        <v>9.7417846046153906E-3</v>
      </c>
    </row>
    <row r="215" spans="1:7">
      <c r="A215" s="126" t="s">
        <v>570</v>
      </c>
      <c r="B215" s="209" t="s">
        <v>571</v>
      </c>
      <c r="C215" s="210">
        <v>6.6210848335742192E-4</v>
      </c>
      <c r="D215" s="211">
        <v>3.3205999999999998</v>
      </c>
      <c r="E215" s="210">
        <f t="shared" si="4"/>
        <v>2.198597429836655E-3</v>
      </c>
      <c r="F215" s="212">
        <v>3.577</v>
      </c>
      <c r="G215" s="210">
        <f t="shared" si="5"/>
        <v>2.3683620449694983E-3</v>
      </c>
    </row>
    <row r="216" spans="1:7">
      <c r="A216" s="126" t="s">
        <v>572</v>
      </c>
      <c r="B216" s="209" t="s">
        <v>573</v>
      </c>
      <c r="C216" s="210">
        <v>1.1830011490561521E-3</v>
      </c>
      <c r="D216" s="211">
        <v>4.8309999999999995</v>
      </c>
      <c r="E216" s="210">
        <f t="shared" si="4"/>
        <v>5.7150785510902699E-3</v>
      </c>
      <c r="F216" s="212">
        <v>13.113</v>
      </c>
      <c r="G216" s="210">
        <f t="shared" si="5"/>
        <v>1.5512694067573322E-2</v>
      </c>
    </row>
    <row r="217" spans="1:7">
      <c r="A217" s="126" t="s">
        <v>574</v>
      </c>
      <c r="B217" s="209" t="s">
        <v>575</v>
      </c>
      <c r="C217" s="210">
        <v>4.450691876881932E-4</v>
      </c>
      <c r="D217" s="211">
        <v>1.6493</v>
      </c>
      <c r="E217" s="210">
        <f t="shared" si="4"/>
        <v>7.3405261125413705E-4</v>
      </c>
      <c r="F217" s="212">
        <v>17</v>
      </c>
      <c r="G217" s="210">
        <f t="shared" si="5"/>
        <v>7.5661761906992845E-3</v>
      </c>
    </row>
    <row r="218" spans="1:7">
      <c r="A218" s="126" t="s">
        <v>576</v>
      </c>
      <c r="B218" s="209" t="s">
        <v>577</v>
      </c>
      <c r="C218" s="210">
        <v>9.021977716157744E-4</v>
      </c>
      <c r="D218" s="211">
        <v>1.9489999999999998</v>
      </c>
      <c r="E218" s="210">
        <f t="shared" si="4"/>
        <v>1.7583834568791442E-3</v>
      </c>
      <c r="F218" s="212">
        <v>8.24</v>
      </c>
      <c r="G218" s="210">
        <f t="shared" si="5"/>
        <v>7.4341096381139813E-3</v>
      </c>
    </row>
    <row r="219" spans="1:7">
      <c r="A219" s="126" t="s">
        <v>578</v>
      </c>
      <c r="B219" s="209" t="s">
        <v>579</v>
      </c>
      <c r="C219" s="210">
        <v>4.3373561226047239E-4</v>
      </c>
      <c r="D219" s="211">
        <v>1.2328000000000001</v>
      </c>
      <c r="E219" s="210">
        <f t="shared" si="4"/>
        <v>5.3470926279471044E-4</v>
      </c>
      <c r="F219" s="212" t="s">
        <v>1193</v>
      </c>
      <c r="G219" s="210" t="str">
        <f t="shared" si="5"/>
        <v>n/a</v>
      </c>
    </row>
    <row r="220" spans="1:7">
      <c r="A220" s="126" t="s">
        <v>580</v>
      </c>
      <c r="B220" s="209" t="s">
        <v>581</v>
      </c>
      <c r="C220" s="210">
        <v>8.8363684126852786E-4</v>
      </c>
      <c r="D220" s="211">
        <v>5.2397999999999998</v>
      </c>
      <c r="E220" s="210">
        <f t="shared" si="4"/>
        <v>4.6300803208788321E-3</v>
      </c>
      <c r="F220" s="212">
        <v>1.35</v>
      </c>
      <c r="G220" s="210">
        <f t="shared" si="5"/>
        <v>1.1929097357125126E-3</v>
      </c>
    </row>
    <row r="221" spans="1:7">
      <c r="A221" s="126" t="s">
        <v>584</v>
      </c>
      <c r="B221" s="209" t="s">
        <v>585</v>
      </c>
      <c r="C221" s="210">
        <v>2.4590150572231305E-3</v>
      </c>
      <c r="D221" s="211">
        <v>2.1410999999999998</v>
      </c>
      <c r="E221" s="210">
        <f t="shared" si="4"/>
        <v>5.264997139020444E-3</v>
      </c>
      <c r="F221" s="212">
        <v>3.45</v>
      </c>
      <c r="G221" s="210">
        <f t="shared" si="5"/>
        <v>8.4836019474198009E-3</v>
      </c>
    </row>
    <row r="222" spans="1:7">
      <c r="A222" s="126" t="s">
        <v>586</v>
      </c>
      <c r="B222" s="209" t="s">
        <v>587</v>
      </c>
      <c r="C222" s="210">
        <v>3.8962349126198402E-4</v>
      </c>
      <c r="D222" s="211">
        <v>1.2038</v>
      </c>
      <c r="E222" s="210">
        <f t="shared" si="4"/>
        <v>4.6902875878117637E-4</v>
      </c>
      <c r="F222" s="212">
        <v>8.2530000000000001</v>
      </c>
      <c r="G222" s="210">
        <f t="shared" si="5"/>
        <v>3.215562673385154E-3</v>
      </c>
    </row>
    <row r="223" spans="1:7">
      <c r="A223" s="126" t="s">
        <v>588</v>
      </c>
      <c r="B223" s="209" t="s">
        <v>589</v>
      </c>
      <c r="C223" s="210">
        <v>4.2378000739510142E-4</v>
      </c>
      <c r="D223" s="211">
        <v>3.0390000000000001</v>
      </c>
      <c r="E223" s="210">
        <f t="shared" ref="E223:E286" si="6">IFERROR($D223*$C223,"n/a")</f>
        <v>1.2878674424737133E-3</v>
      </c>
      <c r="F223" s="212">
        <v>5.3520000000000003</v>
      </c>
      <c r="G223" s="210">
        <f t="shared" ref="G223:G286" si="7">IFERROR($F223*$C223,"n/a")</f>
        <v>2.268070599578583E-3</v>
      </c>
    </row>
    <row r="224" spans="1:7">
      <c r="A224" s="126" t="s">
        <v>590</v>
      </c>
      <c r="B224" s="209" t="s">
        <v>591</v>
      </c>
      <c r="C224" s="210">
        <v>2.4260237837037115E-3</v>
      </c>
      <c r="D224" s="211">
        <v>3.282</v>
      </c>
      <c r="E224" s="210">
        <f t="shared" si="6"/>
        <v>7.9622100581155809E-3</v>
      </c>
      <c r="F224" s="212">
        <v>7.64</v>
      </c>
      <c r="G224" s="210">
        <f t="shared" si="7"/>
        <v>1.8534821707496357E-2</v>
      </c>
    </row>
    <row r="225" spans="1:7">
      <c r="A225" s="126" t="s">
        <v>592</v>
      </c>
      <c r="B225" s="209" t="s">
        <v>593</v>
      </c>
      <c r="C225" s="210">
        <v>1.0885943196795767E-3</v>
      </c>
      <c r="D225" s="211">
        <v>1.7214</v>
      </c>
      <c r="E225" s="210">
        <f t="shared" si="6"/>
        <v>1.8739062618964232E-3</v>
      </c>
      <c r="F225" s="212">
        <v>6.82</v>
      </c>
      <c r="G225" s="210">
        <f t="shared" si="7"/>
        <v>7.4242132602147133E-3</v>
      </c>
    </row>
    <row r="226" spans="1:7">
      <c r="A226" s="126" t="s">
        <v>594</v>
      </c>
      <c r="B226" s="209" t="s">
        <v>595</v>
      </c>
      <c r="C226" s="210">
        <v>1.7555674041264523E-3</v>
      </c>
      <c r="D226" s="211">
        <v>0.51780000000000004</v>
      </c>
      <c r="E226" s="210">
        <f t="shared" si="6"/>
        <v>9.0903280185667713E-4</v>
      </c>
      <c r="F226" s="212">
        <v>6.2329999999999997</v>
      </c>
      <c r="G226" s="210">
        <f t="shared" si="7"/>
        <v>1.0942451629920177E-2</v>
      </c>
    </row>
    <row r="227" spans="1:7">
      <c r="A227" s="126" t="s">
        <v>596</v>
      </c>
      <c r="B227" s="209" t="s">
        <v>597</v>
      </c>
      <c r="C227" s="210">
        <v>1.220253058345982E-3</v>
      </c>
      <c r="D227" s="211">
        <v>3.0284</v>
      </c>
      <c r="E227" s="210">
        <f t="shared" si="6"/>
        <v>3.6954143618949721E-3</v>
      </c>
      <c r="F227" s="212">
        <v>5.4580000000000002</v>
      </c>
      <c r="G227" s="210">
        <f t="shared" si="7"/>
        <v>6.6601411924523705E-3</v>
      </c>
    </row>
    <row r="228" spans="1:7">
      <c r="A228" s="126" t="s">
        <v>598</v>
      </c>
      <c r="B228" s="209" t="s">
        <v>599</v>
      </c>
      <c r="C228" s="210">
        <v>2.123992210472722E-3</v>
      </c>
      <c r="D228" s="211">
        <v>1.9216</v>
      </c>
      <c r="E228" s="210">
        <f t="shared" si="6"/>
        <v>4.081463431644383E-3</v>
      </c>
      <c r="F228" s="212">
        <v>8.8249999999999993</v>
      </c>
      <c r="G228" s="210">
        <f t="shared" si="7"/>
        <v>1.8744231257421771E-2</v>
      </c>
    </row>
    <row r="229" spans="1:7">
      <c r="A229" s="126" t="s">
        <v>600</v>
      </c>
      <c r="B229" s="209" t="s">
        <v>601</v>
      </c>
      <c r="C229" s="210">
        <v>2.543704645588827E-4</v>
      </c>
      <c r="D229" s="211">
        <v>2.2278000000000002</v>
      </c>
      <c r="E229" s="210">
        <f t="shared" si="6"/>
        <v>5.6668652094427898E-4</v>
      </c>
      <c r="F229" s="212">
        <v>-1.79</v>
      </c>
      <c r="G229" s="210">
        <f t="shared" si="7"/>
        <v>-4.5532313156040004E-4</v>
      </c>
    </row>
    <row r="230" spans="1:7">
      <c r="A230" s="126" t="s">
        <v>602</v>
      </c>
      <c r="B230" s="209" t="s">
        <v>603</v>
      </c>
      <c r="C230" s="210">
        <v>1.0498782307069238E-3</v>
      </c>
      <c r="D230" s="211">
        <v>3.2484999999999999</v>
      </c>
      <c r="E230" s="210">
        <f t="shared" si="6"/>
        <v>3.4105294324514421E-3</v>
      </c>
      <c r="F230" s="212">
        <v>4.8100000000000005</v>
      </c>
      <c r="G230" s="210">
        <f t="shared" si="7"/>
        <v>5.0499142897003036E-3</v>
      </c>
    </row>
    <row r="231" spans="1:7">
      <c r="A231" s="126" t="s">
        <v>604</v>
      </c>
      <c r="B231" s="209" t="s">
        <v>605</v>
      </c>
      <c r="C231" s="210">
        <v>1.8370836777817092E-3</v>
      </c>
      <c r="D231" s="211">
        <v>5.8530999999999995</v>
      </c>
      <c r="E231" s="210">
        <f t="shared" si="6"/>
        <v>1.0752634474424122E-2</v>
      </c>
      <c r="F231" s="212">
        <v>28</v>
      </c>
      <c r="G231" s="210">
        <f t="shared" si="7"/>
        <v>5.1438342977887859E-2</v>
      </c>
    </row>
    <row r="232" spans="1:7">
      <c r="A232" s="126" t="s">
        <v>606</v>
      </c>
      <c r="B232" s="209" t="s">
        <v>607</v>
      </c>
      <c r="C232" s="210">
        <v>2.1256143106942434E-3</v>
      </c>
      <c r="D232" s="211">
        <v>1.6255999999999999</v>
      </c>
      <c r="E232" s="210">
        <f t="shared" si="6"/>
        <v>3.4553986234645618E-3</v>
      </c>
      <c r="F232" s="212">
        <v>3.94</v>
      </c>
      <c r="G232" s="210">
        <f t="shared" si="7"/>
        <v>8.3749203841353183E-3</v>
      </c>
    </row>
    <row r="233" spans="1:7">
      <c r="A233" s="126" t="s">
        <v>608</v>
      </c>
      <c r="B233" s="209" t="s">
        <v>609</v>
      </c>
      <c r="C233" s="210">
        <v>1.9720360787253183E-3</v>
      </c>
      <c r="D233" s="211">
        <v>0.82199999999999995</v>
      </c>
      <c r="E233" s="210">
        <f t="shared" si="6"/>
        <v>1.6210136567122114E-3</v>
      </c>
      <c r="F233" s="212">
        <v>11.333</v>
      </c>
      <c r="G233" s="210">
        <f t="shared" si="7"/>
        <v>2.2349084880194034E-2</v>
      </c>
    </row>
    <row r="234" spans="1:7">
      <c r="A234" s="126" t="s">
        <v>610</v>
      </c>
      <c r="B234" s="209" t="s">
        <v>611</v>
      </c>
      <c r="C234" s="210">
        <v>4.8777498453102366E-4</v>
      </c>
      <c r="D234" s="211">
        <v>3.1993999999999998</v>
      </c>
      <c r="E234" s="210">
        <f t="shared" si="6"/>
        <v>1.5605872855085571E-3</v>
      </c>
      <c r="F234" s="212">
        <v>2.9729999999999999</v>
      </c>
      <c r="G234" s="210">
        <f t="shared" si="7"/>
        <v>1.4501550290107333E-3</v>
      </c>
    </row>
    <row r="235" spans="1:7">
      <c r="A235" s="126" t="s">
        <v>612</v>
      </c>
      <c r="B235" s="209" t="s">
        <v>613</v>
      </c>
      <c r="C235" s="210">
        <v>3.3597215585818809E-4</v>
      </c>
      <c r="D235" s="211">
        <v>2.4275000000000002</v>
      </c>
      <c r="E235" s="210">
        <f t="shared" si="6"/>
        <v>8.1557240834575161E-4</v>
      </c>
      <c r="F235" s="212">
        <v>6.907</v>
      </c>
      <c r="G235" s="210">
        <f t="shared" si="7"/>
        <v>2.3205596805125051E-3</v>
      </c>
    </row>
    <row r="236" spans="1:7">
      <c r="A236" s="126" t="s">
        <v>614</v>
      </c>
      <c r="B236" s="209" t="s">
        <v>615</v>
      </c>
      <c r="C236" s="210">
        <v>8.1506248883282206E-4</v>
      </c>
      <c r="D236" s="211">
        <v>0.6099</v>
      </c>
      <c r="E236" s="210">
        <f t="shared" si="6"/>
        <v>4.9710661193913812E-4</v>
      </c>
      <c r="F236" s="212">
        <v>9.8420000000000005</v>
      </c>
      <c r="G236" s="210">
        <f t="shared" si="7"/>
        <v>8.0218450150926351E-3</v>
      </c>
    </row>
    <row r="237" spans="1:7">
      <c r="A237" s="126" t="s">
        <v>616</v>
      </c>
      <c r="B237" s="209" t="s">
        <v>617</v>
      </c>
      <c r="C237" s="210">
        <v>2.5206714780935781E-3</v>
      </c>
      <c r="D237" s="211">
        <v>4.0148999999999999</v>
      </c>
      <c r="E237" s="210">
        <f t="shared" si="6"/>
        <v>1.0120243917397907E-2</v>
      </c>
      <c r="F237" s="212">
        <v>3.1749999999999998</v>
      </c>
      <c r="G237" s="210">
        <f t="shared" si="7"/>
        <v>8.0031319429471094E-3</v>
      </c>
    </row>
    <row r="238" spans="1:7">
      <c r="A238" s="126" t="s">
        <v>618</v>
      </c>
      <c r="B238" s="209" t="s">
        <v>619</v>
      </c>
      <c r="C238" s="210">
        <v>1.5895681567151267E-3</v>
      </c>
      <c r="D238" s="211">
        <v>3.3727</v>
      </c>
      <c r="E238" s="210">
        <f t="shared" si="6"/>
        <v>5.3611365221531079E-3</v>
      </c>
      <c r="F238" s="212">
        <v>7.24</v>
      </c>
      <c r="G238" s="210">
        <f t="shared" si="7"/>
        <v>1.1508473454617517E-2</v>
      </c>
    </row>
    <row r="239" spans="1:7">
      <c r="A239" s="126" t="s">
        <v>620</v>
      </c>
      <c r="B239" s="209" t="s">
        <v>621</v>
      </c>
      <c r="C239" s="210">
        <v>1.1285650352331393E-3</v>
      </c>
      <c r="D239" s="211">
        <v>1.3331</v>
      </c>
      <c r="E239" s="210">
        <f t="shared" si="6"/>
        <v>1.5044900484692981E-3</v>
      </c>
      <c r="F239" s="212">
        <v>8.42</v>
      </c>
      <c r="G239" s="210">
        <f t="shared" si="7"/>
        <v>9.5025175966630335E-3</v>
      </c>
    </row>
    <row r="240" spans="1:7">
      <c r="A240" s="126" t="s">
        <v>622</v>
      </c>
      <c r="B240" s="209" t="s">
        <v>623</v>
      </c>
      <c r="C240" s="210">
        <v>8.5185591518922366E-4</v>
      </c>
      <c r="D240" s="211">
        <v>1.9112</v>
      </c>
      <c r="E240" s="210">
        <f t="shared" si="6"/>
        <v>1.6280670251096444E-3</v>
      </c>
      <c r="F240" s="212">
        <v>8.8800000000000008</v>
      </c>
      <c r="G240" s="210">
        <f t="shared" si="7"/>
        <v>7.5644805268803069E-3</v>
      </c>
    </row>
    <row r="241" spans="1:7">
      <c r="A241" s="126" t="s">
        <v>624</v>
      </c>
      <c r="B241" s="209" t="s">
        <v>625</v>
      </c>
      <c r="C241" s="210">
        <v>1.6647303802749132E-3</v>
      </c>
      <c r="D241" s="211">
        <v>3.2616999999999998</v>
      </c>
      <c r="E241" s="210">
        <f t="shared" si="6"/>
        <v>5.4298510813426846E-3</v>
      </c>
      <c r="F241" s="212">
        <v>4.1070000000000002</v>
      </c>
      <c r="G241" s="210">
        <f t="shared" si="7"/>
        <v>6.8370476717890694E-3</v>
      </c>
    </row>
    <row r="242" spans="1:7">
      <c r="A242" s="126" t="s">
        <v>626</v>
      </c>
      <c r="B242" s="209" t="s">
        <v>627</v>
      </c>
      <c r="C242" s="210">
        <v>7.1185391487171075E-4</v>
      </c>
      <c r="D242" s="211" t="s">
        <v>1193</v>
      </c>
      <c r="E242" s="210" t="str">
        <f t="shared" si="6"/>
        <v>n/a</v>
      </c>
      <c r="F242" s="212">
        <v>21.388000000000002</v>
      </c>
      <c r="G242" s="210">
        <f t="shared" si="7"/>
        <v>1.5225131531276151E-2</v>
      </c>
    </row>
    <row r="243" spans="1:7">
      <c r="A243" s="126" t="s">
        <v>628</v>
      </c>
      <c r="B243" s="209" t="s">
        <v>629</v>
      </c>
      <c r="C243" s="210">
        <v>1.1873287089008947E-3</v>
      </c>
      <c r="D243" s="211">
        <v>3.2557999999999998</v>
      </c>
      <c r="E243" s="210">
        <f t="shared" si="6"/>
        <v>3.8657048104395325E-3</v>
      </c>
      <c r="F243" s="212">
        <v>2.37</v>
      </c>
      <c r="G243" s="210">
        <f t="shared" si="7"/>
        <v>2.8139690400951203E-3</v>
      </c>
    </row>
    <row r="244" spans="1:7">
      <c r="A244" s="126" t="s">
        <v>630</v>
      </c>
      <c r="B244" s="209" t="s">
        <v>631</v>
      </c>
      <c r="C244" s="210">
        <v>1.5839734415597666E-3</v>
      </c>
      <c r="D244" s="211">
        <v>1.9647000000000001</v>
      </c>
      <c r="E244" s="210">
        <f t="shared" si="6"/>
        <v>3.1120326206324736E-3</v>
      </c>
      <c r="F244" s="212">
        <v>11.132999999999999</v>
      </c>
      <c r="G244" s="210">
        <f t="shared" si="7"/>
        <v>1.763437632488488E-2</v>
      </c>
    </row>
    <row r="245" spans="1:7">
      <c r="A245" s="126" t="s">
        <v>1335</v>
      </c>
      <c r="B245" s="209" t="s">
        <v>1336</v>
      </c>
      <c r="C245" s="210">
        <v>8.1506599838545495E-4</v>
      </c>
      <c r="D245" s="211">
        <v>1.8571</v>
      </c>
      <c r="E245" s="210">
        <f t="shared" si="6"/>
        <v>1.5136590656016284E-3</v>
      </c>
      <c r="F245" s="212">
        <v>95.197000000000003</v>
      </c>
      <c r="G245" s="210">
        <f t="shared" si="7"/>
        <v>7.7591837848300163E-2</v>
      </c>
    </row>
    <row r="246" spans="1:7">
      <c r="A246" s="126" t="s">
        <v>632</v>
      </c>
      <c r="B246" s="209" t="s">
        <v>633</v>
      </c>
      <c r="C246" s="210">
        <v>4.6905881867831227E-3</v>
      </c>
      <c r="D246" s="211">
        <v>2.7854999999999999</v>
      </c>
      <c r="E246" s="210">
        <f t="shared" si="6"/>
        <v>1.3065633394284388E-2</v>
      </c>
      <c r="F246" s="212">
        <v>8.35</v>
      </c>
      <c r="G246" s="210">
        <f t="shared" si="7"/>
        <v>3.9166411359639074E-2</v>
      </c>
    </row>
    <row r="247" spans="1:7">
      <c r="A247" s="126" t="s">
        <v>634</v>
      </c>
      <c r="B247" s="209" t="s">
        <v>635</v>
      </c>
      <c r="C247" s="210">
        <v>4.3798933233069059E-4</v>
      </c>
      <c r="D247" s="211">
        <v>0.16339999999999999</v>
      </c>
      <c r="E247" s="210">
        <f t="shared" si="6"/>
        <v>7.1567456902834836E-5</v>
      </c>
      <c r="F247" s="212">
        <v>11.86</v>
      </c>
      <c r="G247" s="210">
        <f t="shared" si="7"/>
        <v>5.1945534814419898E-3</v>
      </c>
    </row>
    <row r="248" spans="1:7">
      <c r="A248" s="126" t="s">
        <v>636</v>
      </c>
      <c r="B248" s="209" t="s">
        <v>637</v>
      </c>
      <c r="C248" s="210">
        <v>4.5345318829468203E-3</v>
      </c>
      <c r="D248" s="211">
        <v>0.26090000000000002</v>
      </c>
      <c r="E248" s="210">
        <f t="shared" si="6"/>
        <v>1.1830593682608255E-3</v>
      </c>
      <c r="F248" s="212">
        <v>11</v>
      </c>
      <c r="G248" s="210">
        <f t="shared" si="7"/>
        <v>4.9879850712415026E-2</v>
      </c>
    </row>
    <row r="249" spans="1:7">
      <c r="A249" s="126" t="s">
        <v>638</v>
      </c>
      <c r="B249" s="209" t="s">
        <v>639</v>
      </c>
      <c r="C249" s="210">
        <v>4.3498593314743436E-4</v>
      </c>
      <c r="D249" s="211">
        <v>2.5045999999999999</v>
      </c>
      <c r="E249" s="210">
        <f t="shared" si="6"/>
        <v>1.089465768161064E-3</v>
      </c>
      <c r="F249" s="212">
        <v>8.4169999999999998</v>
      </c>
      <c r="G249" s="210">
        <f t="shared" si="7"/>
        <v>3.6612765993019551E-3</v>
      </c>
    </row>
    <row r="250" spans="1:7">
      <c r="A250" s="126" t="s">
        <v>640</v>
      </c>
      <c r="B250" s="209" t="s">
        <v>641</v>
      </c>
      <c r="C250" s="210">
        <v>2.6195663710367194E-3</v>
      </c>
      <c r="D250" s="211">
        <v>1.6505000000000001</v>
      </c>
      <c r="E250" s="210">
        <f t="shared" si="6"/>
        <v>4.3235942953961052E-3</v>
      </c>
      <c r="F250" s="212">
        <v>11.067</v>
      </c>
      <c r="G250" s="210">
        <f t="shared" si="7"/>
        <v>2.8990741028263375E-2</v>
      </c>
    </row>
    <row r="251" spans="1:7">
      <c r="A251" s="126" t="s">
        <v>1337</v>
      </c>
      <c r="B251" s="209" t="s">
        <v>1338</v>
      </c>
      <c r="C251" s="210">
        <v>4.061412104471822E-4</v>
      </c>
      <c r="D251" s="211">
        <v>0.72060000000000002</v>
      </c>
      <c r="E251" s="210">
        <f t="shared" si="6"/>
        <v>2.9266535624823952E-4</v>
      </c>
      <c r="F251" s="212">
        <v>7.6</v>
      </c>
      <c r="G251" s="210">
        <f t="shared" si="7"/>
        <v>3.0866731993985847E-3</v>
      </c>
    </row>
    <row r="252" spans="1:7">
      <c r="A252" s="126" t="s">
        <v>642</v>
      </c>
      <c r="B252" s="209" t="s">
        <v>643</v>
      </c>
      <c r="C252" s="210">
        <v>1.3576223188523338E-3</v>
      </c>
      <c r="D252" s="211">
        <v>2.3696000000000002</v>
      </c>
      <c r="E252" s="210">
        <f t="shared" si="6"/>
        <v>3.2170218467524902E-3</v>
      </c>
      <c r="F252" s="212">
        <v>7.5670000000000002</v>
      </c>
      <c r="G252" s="210">
        <f t="shared" si="7"/>
        <v>1.0273128086755611E-2</v>
      </c>
    </row>
    <row r="253" spans="1:7">
      <c r="A253" s="126" t="s">
        <v>644</v>
      </c>
      <c r="B253" s="209" t="s">
        <v>645</v>
      </c>
      <c r="C253" s="210">
        <v>5.7341230177283679E-4</v>
      </c>
      <c r="D253" s="211" t="s">
        <v>1193</v>
      </c>
      <c r="E253" s="210" t="str">
        <f t="shared" si="6"/>
        <v>n/a</v>
      </c>
      <c r="F253" s="212">
        <v>19.25</v>
      </c>
      <c r="G253" s="210">
        <f t="shared" si="7"/>
        <v>1.1038186809127108E-2</v>
      </c>
    </row>
    <row r="254" spans="1:7">
      <c r="A254" s="126" t="s">
        <v>646</v>
      </c>
      <c r="B254" s="209" t="s">
        <v>647</v>
      </c>
      <c r="C254" s="210">
        <v>4.4363019180557132E-3</v>
      </c>
      <c r="D254" s="211">
        <v>2.3954</v>
      </c>
      <c r="E254" s="210">
        <f t="shared" si="6"/>
        <v>1.0626717614510655E-2</v>
      </c>
      <c r="F254" s="212">
        <v>12.9</v>
      </c>
      <c r="G254" s="210">
        <f t="shared" si="7"/>
        <v>5.7228294742918705E-2</v>
      </c>
    </row>
    <row r="255" spans="1:7">
      <c r="A255" s="126" t="s">
        <v>648</v>
      </c>
      <c r="B255" s="209" t="s">
        <v>649</v>
      </c>
      <c r="C255" s="210">
        <v>7.091395713532398E-4</v>
      </c>
      <c r="D255" s="211" t="s">
        <v>1193</v>
      </c>
      <c r="E255" s="210" t="str">
        <f t="shared" si="6"/>
        <v>n/a</v>
      </c>
      <c r="F255" s="212" t="s">
        <v>1193</v>
      </c>
      <c r="G255" s="210" t="str">
        <f t="shared" si="7"/>
        <v>n/a</v>
      </c>
    </row>
    <row r="256" spans="1:7">
      <c r="A256" s="126" t="s">
        <v>650</v>
      </c>
      <c r="B256" s="209" t="s">
        <v>651</v>
      </c>
      <c r="C256" s="210">
        <v>8.0061197086439013E-3</v>
      </c>
      <c r="D256" s="211">
        <v>1.9879</v>
      </c>
      <c r="E256" s="210">
        <f t="shared" si="6"/>
        <v>1.591536536881321E-2</v>
      </c>
      <c r="F256" s="212">
        <v>12.278</v>
      </c>
      <c r="G256" s="210">
        <f t="shared" si="7"/>
        <v>9.829913778272982E-2</v>
      </c>
    </row>
    <row r="257" spans="1:7">
      <c r="A257" s="126" t="s">
        <v>652</v>
      </c>
      <c r="B257" s="209" t="s">
        <v>653</v>
      </c>
      <c r="C257" s="210">
        <v>2.4103929826593218E-4</v>
      </c>
      <c r="D257" s="211">
        <v>3.8357999999999999</v>
      </c>
      <c r="E257" s="210">
        <f t="shared" si="6"/>
        <v>9.2457854028846263E-4</v>
      </c>
      <c r="F257" s="212">
        <v>9</v>
      </c>
      <c r="G257" s="210">
        <f t="shared" si="7"/>
        <v>2.1693536843933898E-3</v>
      </c>
    </row>
    <row r="258" spans="1:7">
      <c r="A258" s="126" t="s">
        <v>654</v>
      </c>
      <c r="B258" s="209" t="s">
        <v>655</v>
      </c>
      <c r="C258" s="210">
        <v>3.835160179495027E-4</v>
      </c>
      <c r="D258" s="211">
        <v>1.63</v>
      </c>
      <c r="E258" s="210">
        <f t="shared" si="6"/>
        <v>6.2513110925768939E-4</v>
      </c>
      <c r="F258" s="212">
        <v>1.55</v>
      </c>
      <c r="G258" s="210">
        <f t="shared" si="7"/>
        <v>5.9444982782172918E-4</v>
      </c>
    </row>
    <row r="259" spans="1:7">
      <c r="A259" s="126" t="s">
        <v>656</v>
      </c>
      <c r="B259" s="209" t="s">
        <v>657</v>
      </c>
      <c r="C259" s="210">
        <v>4.2156827434191175E-4</v>
      </c>
      <c r="D259" s="211" t="s">
        <v>1193</v>
      </c>
      <c r="E259" s="210" t="str">
        <f t="shared" si="6"/>
        <v>n/a</v>
      </c>
      <c r="F259" s="212">
        <v>8.4</v>
      </c>
      <c r="G259" s="210">
        <f t="shared" si="7"/>
        <v>3.5411735044720586E-3</v>
      </c>
    </row>
    <row r="260" spans="1:7">
      <c r="A260" s="126" t="s">
        <v>658</v>
      </c>
      <c r="B260" s="209" t="s">
        <v>659</v>
      </c>
      <c r="C260" s="210">
        <v>1.0577593591477735E-3</v>
      </c>
      <c r="D260" s="211">
        <v>4.3407</v>
      </c>
      <c r="E260" s="210">
        <f t="shared" si="6"/>
        <v>4.5914160502527404E-3</v>
      </c>
      <c r="F260" s="212">
        <v>4.8469999999999995</v>
      </c>
      <c r="G260" s="210">
        <f t="shared" si="7"/>
        <v>5.1269596137892576E-3</v>
      </c>
    </row>
    <row r="261" spans="1:7">
      <c r="A261" s="126" t="s">
        <v>660</v>
      </c>
      <c r="B261" s="209" t="s">
        <v>661</v>
      </c>
      <c r="C261" s="210">
        <v>1.3774555285036912E-3</v>
      </c>
      <c r="D261" s="211">
        <v>1.9327999999999999</v>
      </c>
      <c r="E261" s="210">
        <f t="shared" si="6"/>
        <v>2.6623460454919343E-3</v>
      </c>
      <c r="F261" s="212">
        <v>10.42</v>
      </c>
      <c r="G261" s="210">
        <f t="shared" si="7"/>
        <v>1.4353086607008462E-2</v>
      </c>
    </row>
    <row r="262" spans="1:7">
      <c r="A262" s="126" t="s">
        <v>662</v>
      </c>
      <c r="B262" s="209" t="s">
        <v>663</v>
      </c>
      <c r="C262" s="210">
        <v>4.7228376750693002E-4</v>
      </c>
      <c r="D262" s="211">
        <v>4.1463999999999999</v>
      </c>
      <c r="E262" s="210">
        <f t="shared" si="6"/>
        <v>1.9582774135907346E-3</v>
      </c>
      <c r="F262" s="212">
        <v>5.46</v>
      </c>
      <c r="G262" s="210">
        <f t="shared" si="7"/>
        <v>2.5786693705878378E-3</v>
      </c>
    </row>
    <row r="263" spans="1:7">
      <c r="A263" s="126" t="s">
        <v>664</v>
      </c>
      <c r="B263" s="209" t="s">
        <v>665</v>
      </c>
      <c r="C263" s="210">
        <v>7.7775721008554186E-4</v>
      </c>
      <c r="D263" s="211">
        <v>0.81989999999999996</v>
      </c>
      <c r="E263" s="210">
        <f t="shared" si="6"/>
        <v>6.3768313654913571E-4</v>
      </c>
      <c r="F263" s="212">
        <v>18.116</v>
      </c>
      <c r="G263" s="210">
        <f t="shared" si="7"/>
        <v>1.4089849617909676E-2</v>
      </c>
    </row>
    <row r="264" spans="1:7">
      <c r="A264" s="126" t="s">
        <v>666</v>
      </c>
      <c r="B264" s="209" t="s">
        <v>667</v>
      </c>
      <c r="C264" s="210">
        <v>8.0214865608530125E-4</v>
      </c>
      <c r="D264" s="211">
        <v>4.9097</v>
      </c>
      <c r="E264" s="210">
        <f t="shared" si="6"/>
        <v>3.9383092567820037E-3</v>
      </c>
      <c r="F264" s="212">
        <v>2.4</v>
      </c>
      <c r="G264" s="210">
        <f t="shared" si="7"/>
        <v>1.9251567746047229E-3</v>
      </c>
    </row>
    <row r="265" spans="1:7">
      <c r="A265" s="126" t="s">
        <v>668</v>
      </c>
      <c r="B265" s="209" t="s">
        <v>669</v>
      </c>
      <c r="C265" s="210">
        <v>3.9107859773275007E-4</v>
      </c>
      <c r="D265" s="211">
        <v>3.0310999999999999</v>
      </c>
      <c r="E265" s="210">
        <f t="shared" si="6"/>
        <v>1.1853983375877386E-3</v>
      </c>
      <c r="F265" s="212">
        <v>4.6100000000000003</v>
      </c>
      <c r="G265" s="210">
        <f t="shared" si="7"/>
        <v>1.8028723355479779E-3</v>
      </c>
    </row>
    <row r="266" spans="1:7">
      <c r="A266" s="126" t="s">
        <v>670</v>
      </c>
      <c r="B266" s="209" t="s">
        <v>671</v>
      </c>
      <c r="C266" s="210">
        <v>1.1336169619986707E-3</v>
      </c>
      <c r="D266" s="211">
        <v>6.3174999999999999</v>
      </c>
      <c r="E266" s="210">
        <f t="shared" si="6"/>
        <v>7.1616251574266017E-3</v>
      </c>
      <c r="F266" s="212">
        <v>8</v>
      </c>
      <c r="G266" s="210">
        <f t="shared" si="7"/>
        <v>9.0689356959893653E-3</v>
      </c>
    </row>
    <row r="267" spans="1:7">
      <c r="A267" s="126" t="s">
        <v>672</v>
      </c>
      <c r="B267" s="209" t="s">
        <v>673</v>
      </c>
      <c r="C267" s="210">
        <v>1.1661434662559478E-3</v>
      </c>
      <c r="D267" s="211">
        <v>2.4815999999999998</v>
      </c>
      <c r="E267" s="210">
        <f t="shared" si="6"/>
        <v>2.8939016258607599E-3</v>
      </c>
      <c r="F267" s="212">
        <v>6.4429999999999996</v>
      </c>
      <c r="G267" s="210">
        <f t="shared" si="7"/>
        <v>7.5134623530870711E-3</v>
      </c>
    </row>
    <row r="268" spans="1:7">
      <c r="A268" s="126" t="s">
        <v>675</v>
      </c>
      <c r="B268" s="209" t="s">
        <v>676</v>
      </c>
      <c r="C268" s="210">
        <v>5.1985082673819648E-3</v>
      </c>
      <c r="D268" s="211" t="s">
        <v>1193</v>
      </c>
      <c r="E268" s="210" t="str">
        <f t="shared" si="6"/>
        <v>n/a</v>
      </c>
      <c r="F268" s="212">
        <v>16</v>
      </c>
      <c r="G268" s="210">
        <f t="shared" si="7"/>
        <v>8.3176132278111437E-2</v>
      </c>
    </row>
    <row r="269" spans="1:7">
      <c r="A269" s="126" t="s">
        <v>677</v>
      </c>
      <c r="B269" s="209" t="s">
        <v>678</v>
      </c>
      <c r="C269" s="210">
        <v>4.2167924081384456E-4</v>
      </c>
      <c r="D269" s="211">
        <v>3.3414999999999999</v>
      </c>
      <c r="E269" s="210">
        <f t="shared" si="6"/>
        <v>1.4090411831794616E-3</v>
      </c>
      <c r="F269" s="212">
        <v>8.1229999999999993</v>
      </c>
      <c r="G269" s="210">
        <f t="shared" si="7"/>
        <v>3.4253004731308592E-3</v>
      </c>
    </row>
    <row r="270" spans="1:7">
      <c r="A270" s="126" t="s">
        <v>679</v>
      </c>
      <c r="B270" s="209" t="s">
        <v>680</v>
      </c>
      <c r="C270" s="210">
        <v>4.5112655856042409E-3</v>
      </c>
      <c r="D270" s="211">
        <v>2.9973000000000001</v>
      </c>
      <c r="E270" s="210">
        <f t="shared" si="6"/>
        <v>1.3521616339731592E-2</v>
      </c>
      <c r="F270" s="212">
        <v>6.4669999999999996</v>
      </c>
      <c r="G270" s="210">
        <f t="shared" si="7"/>
        <v>2.9174354542102623E-2</v>
      </c>
    </row>
    <row r="271" spans="1:7">
      <c r="A271" s="126" t="s">
        <v>681</v>
      </c>
      <c r="B271" s="209" t="s">
        <v>682</v>
      </c>
      <c r="C271" s="210">
        <v>3.9346825499716437E-2</v>
      </c>
      <c r="D271" s="211">
        <v>1.3752</v>
      </c>
      <c r="E271" s="210">
        <f t="shared" si="6"/>
        <v>5.4109754427210041E-2</v>
      </c>
      <c r="F271" s="212">
        <v>10.5</v>
      </c>
      <c r="G271" s="210">
        <f t="shared" si="7"/>
        <v>0.4131416677470226</v>
      </c>
    </row>
    <row r="272" spans="1:7">
      <c r="A272" s="126" t="s">
        <v>683</v>
      </c>
      <c r="B272" s="209" t="s">
        <v>684</v>
      </c>
      <c r="C272" s="210">
        <v>1.2608090225116075E-3</v>
      </c>
      <c r="D272" s="211" t="s">
        <v>1193</v>
      </c>
      <c r="E272" s="210" t="str">
        <f t="shared" si="6"/>
        <v>n/a</v>
      </c>
      <c r="F272" s="212">
        <v>47.954000000000001</v>
      </c>
      <c r="G272" s="210">
        <f t="shared" si="7"/>
        <v>6.0460835865521624E-2</v>
      </c>
    </row>
    <row r="273" spans="1:7">
      <c r="A273" s="126" t="s">
        <v>685</v>
      </c>
      <c r="B273" s="209" t="s">
        <v>686</v>
      </c>
      <c r="C273" s="210">
        <v>1.0925219736211231E-3</v>
      </c>
      <c r="D273" s="211">
        <v>0.76459999999999995</v>
      </c>
      <c r="E273" s="210">
        <f t="shared" si="6"/>
        <v>8.3534230103071065E-4</v>
      </c>
      <c r="F273" s="212">
        <v>11.067</v>
      </c>
      <c r="G273" s="210">
        <f t="shared" si="7"/>
        <v>1.209094068206497E-2</v>
      </c>
    </row>
    <row r="274" spans="1:7">
      <c r="A274" s="126" t="s">
        <v>687</v>
      </c>
      <c r="B274" s="209" t="s">
        <v>688</v>
      </c>
      <c r="C274" s="210">
        <v>7.9482810279533599E-3</v>
      </c>
      <c r="D274" s="211">
        <v>1.8633999999999999</v>
      </c>
      <c r="E274" s="210">
        <f t="shared" si="6"/>
        <v>1.481082686748829E-2</v>
      </c>
      <c r="F274" s="212">
        <v>9.9280000000000008</v>
      </c>
      <c r="G274" s="210">
        <f t="shared" si="7"/>
        <v>7.8910534045520966E-2</v>
      </c>
    </row>
    <row r="275" spans="1:7">
      <c r="A275" s="126" t="s">
        <v>689</v>
      </c>
      <c r="B275" s="209" t="s">
        <v>690</v>
      </c>
      <c r="C275" s="210">
        <v>4.386250776051268E-4</v>
      </c>
      <c r="D275" s="211">
        <v>3.9651999999999998</v>
      </c>
      <c r="E275" s="210">
        <f t="shared" si="6"/>
        <v>1.7392361577198488E-3</v>
      </c>
      <c r="F275" s="212">
        <v>-2.4039999999999999</v>
      </c>
      <c r="G275" s="210">
        <f t="shared" si="7"/>
        <v>-1.0544546865627249E-3</v>
      </c>
    </row>
    <row r="276" spans="1:7">
      <c r="A276" s="126" t="s">
        <v>1339</v>
      </c>
      <c r="B276" s="209" t="s">
        <v>691</v>
      </c>
      <c r="C276" s="210">
        <v>9.8222867065814027E-4</v>
      </c>
      <c r="D276" s="211">
        <v>1.8815</v>
      </c>
      <c r="E276" s="210">
        <f t="shared" si="6"/>
        <v>1.8480632438432909E-3</v>
      </c>
      <c r="F276" s="212">
        <v>13.968</v>
      </c>
      <c r="G276" s="210">
        <f t="shared" si="7"/>
        <v>1.3719770071752903E-2</v>
      </c>
    </row>
    <row r="277" spans="1:7">
      <c r="A277" s="126" t="s">
        <v>692</v>
      </c>
      <c r="B277" s="209" t="s">
        <v>693</v>
      </c>
      <c r="C277" s="210">
        <v>1.5923751049189709E-3</v>
      </c>
      <c r="D277" s="211">
        <v>1.5438000000000001</v>
      </c>
      <c r="E277" s="210">
        <f t="shared" si="6"/>
        <v>2.4583086869739072E-3</v>
      </c>
      <c r="F277" s="212">
        <v>8.5030000000000001</v>
      </c>
      <c r="G277" s="210">
        <f t="shared" si="7"/>
        <v>1.353996551712601E-2</v>
      </c>
    </row>
    <row r="278" spans="1:7">
      <c r="A278" s="126" t="s">
        <v>694</v>
      </c>
      <c r="B278" s="209" t="s">
        <v>695</v>
      </c>
      <c r="C278" s="210">
        <v>7.4765424862415549E-4</v>
      </c>
      <c r="D278" s="211">
        <v>1.4586999999999999</v>
      </c>
      <c r="E278" s="210">
        <f t="shared" si="6"/>
        <v>1.0906032524680555E-3</v>
      </c>
      <c r="F278" s="212">
        <v>6.2</v>
      </c>
      <c r="G278" s="210">
        <f t="shared" si="7"/>
        <v>4.6354563414697644E-3</v>
      </c>
    </row>
    <row r="279" spans="1:7">
      <c r="A279" s="126" t="s">
        <v>696</v>
      </c>
      <c r="B279" s="209" t="s">
        <v>697</v>
      </c>
      <c r="C279" s="210">
        <v>2.0276677662801762E-4</v>
      </c>
      <c r="D279" s="211">
        <v>4.3956</v>
      </c>
      <c r="E279" s="210">
        <f t="shared" si="6"/>
        <v>8.9128164334611429E-4</v>
      </c>
      <c r="F279" s="212">
        <v>5.8330000000000002</v>
      </c>
      <c r="G279" s="210">
        <f t="shared" si="7"/>
        <v>1.1827386080712269E-3</v>
      </c>
    </row>
    <row r="280" spans="1:7">
      <c r="A280" s="126" t="s">
        <v>698</v>
      </c>
      <c r="B280" s="209" t="s">
        <v>699</v>
      </c>
      <c r="C280" s="210">
        <v>9.4266916831364821E-4</v>
      </c>
      <c r="D280" s="211">
        <v>1.8283</v>
      </c>
      <c r="E280" s="210">
        <f t="shared" si="6"/>
        <v>1.7234820404278431E-3</v>
      </c>
      <c r="F280" s="212">
        <v>4.9000000000000004</v>
      </c>
      <c r="G280" s="210">
        <f t="shared" si="7"/>
        <v>4.6190789247368769E-3</v>
      </c>
    </row>
    <row r="281" spans="1:7">
      <c r="A281" s="126" t="s">
        <v>700</v>
      </c>
      <c r="B281" s="209" t="s">
        <v>701</v>
      </c>
      <c r="C281" s="210">
        <v>4.9256426898048921E-3</v>
      </c>
      <c r="D281" s="211">
        <v>0.90239999999999998</v>
      </c>
      <c r="E281" s="210">
        <f t="shared" si="6"/>
        <v>4.4448999632799345E-3</v>
      </c>
      <c r="F281" s="212">
        <v>10.51</v>
      </c>
      <c r="G281" s="210">
        <f t="shared" si="7"/>
        <v>5.1768504669849412E-2</v>
      </c>
    </row>
    <row r="282" spans="1:7">
      <c r="A282" s="126" t="s">
        <v>1209</v>
      </c>
      <c r="B282" s="209" t="s">
        <v>1210</v>
      </c>
      <c r="C282" s="210">
        <v>6.1988711129292991E-4</v>
      </c>
      <c r="D282" s="211">
        <v>0.78590000000000004</v>
      </c>
      <c r="E282" s="210">
        <f t="shared" si="6"/>
        <v>4.8716928076511366E-4</v>
      </c>
      <c r="F282" s="212">
        <v>6.99</v>
      </c>
      <c r="G282" s="210">
        <f t="shared" si="7"/>
        <v>4.3330109079375801E-3</v>
      </c>
    </row>
    <row r="283" spans="1:7">
      <c r="A283" s="126" t="s">
        <v>702</v>
      </c>
      <c r="B283" s="209" t="s">
        <v>703</v>
      </c>
      <c r="C283" s="210">
        <v>3.1456404495882697E-3</v>
      </c>
      <c r="D283" s="211">
        <v>0.96160000000000001</v>
      </c>
      <c r="E283" s="210">
        <f t="shared" si="6"/>
        <v>3.02484785632408E-3</v>
      </c>
      <c r="F283" s="212">
        <v>9.4600000000000009</v>
      </c>
      <c r="G283" s="210">
        <f t="shared" si="7"/>
        <v>2.9757758653105034E-2</v>
      </c>
    </row>
    <row r="284" spans="1:7">
      <c r="A284" s="126" t="s">
        <v>706</v>
      </c>
      <c r="B284" s="209" t="s">
        <v>707</v>
      </c>
      <c r="C284" s="210">
        <v>9.8675615254958135E-4</v>
      </c>
      <c r="D284" s="211">
        <v>1.7414000000000001</v>
      </c>
      <c r="E284" s="210">
        <f t="shared" si="6"/>
        <v>1.7183371640498411E-3</v>
      </c>
      <c r="F284" s="212">
        <v>4.9000000000000004</v>
      </c>
      <c r="G284" s="210">
        <f t="shared" si="7"/>
        <v>4.8351051474929485E-3</v>
      </c>
    </row>
    <row r="285" spans="1:7">
      <c r="A285" s="126" t="s">
        <v>704</v>
      </c>
      <c r="B285" s="209" t="s">
        <v>705</v>
      </c>
      <c r="C285" s="210">
        <v>4.1180927634104446E-4</v>
      </c>
      <c r="D285" s="211">
        <v>1.1001000000000001</v>
      </c>
      <c r="E285" s="210">
        <f t="shared" si="6"/>
        <v>4.5303138490278305E-4</v>
      </c>
      <c r="F285" s="212">
        <v>7.5</v>
      </c>
      <c r="G285" s="210">
        <f t="shared" si="7"/>
        <v>3.0885695725578334E-3</v>
      </c>
    </row>
    <row r="286" spans="1:7">
      <c r="A286" s="126" t="s">
        <v>708</v>
      </c>
      <c r="B286" s="209" t="s">
        <v>709</v>
      </c>
      <c r="C286" s="210">
        <v>1.7919136886757564E-3</v>
      </c>
      <c r="D286" s="211">
        <v>1.6834</v>
      </c>
      <c r="E286" s="210">
        <f t="shared" si="6"/>
        <v>3.0165075035167685E-3</v>
      </c>
      <c r="F286" s="212">
        <v>5.548</v>
      </c>
      <c r="G286" s="210">
        <f t="shared" si="7"/>
        <v>9.9415371447730966E-3</v>
      </c>
    </row>
    <row r="287" spans="1:7">
      <c r="A287" s="126" t="s">
        <v>710</v>
      </c>
      <c r="B287" s="209" t="s">
        <v>711</v>
      </c>
      <c r="C287" s="210">
        <v>4.6683731967682348E-4</v>
      </c>
      <c r="D287" s="211">
        <v>1.4830999999999999</v>
      </c>
      <c r="E287" s="210">
        <f t="shared" ref="E287:E350" si="8">IFERROR($D287*$C287,"n/a")</f>
        <v>6.9236642881269686E-4</v>
      </c>
      <c r="F287" s="212">
        <v>6.37</v>
      </c>
      <c r="G287" s="210">
        <f t="shared" ref="G287:G350" si="9">IFERROR($F287*$C287,"n/a")</f>
        <v>2.9737537263413655E-3</v>
      </c>
    </row>
    <row r="288" spans="1:7">
      <c r="A288" s="126" t="s">
        <v>712</v>
      </c>
      <c r="B288" s="209" t="s">
        <v>713</v>
      </c>
      <c r="C288" s="210">
        <v>5.3640583841878676E-4</v>
      </c>
      <c r="D288" s="211">
        <v>4.0780000000000003</v>
      </c>
      <c r="E288" s="210">
        <f t="shared" si="8"/>
        <v>2.1874630090718125E-3</v>
      </c>
      <c r="F288" s="212">
        <v>2.4870000000000001</v>
      </c>
      <c r="G288" s="210">
        <f t="shared" si="9"/>
        <v>1.3340413201475226E-3</v>
      </c>
    </row>
    <row r="289" spans="1:7">
      <c r="A289" s="126" t="s">
        <v>714</v>
      </c>
      <c r="B289" s="209" t="s">
        <v>715</v>
      </c>
      <c r="C289" s="210">
        <v>2.7358798135643544E-3</v>
      </c>
      <c r="D289" s="211" t="s">
        <v>1193</v>
      </c>
      <c r="E289" s="210" t="str">
        <f t="shared" si="8"/>
        <v>n/a</v>
      </c>
      <c r="F289" s="212">
        <v>16.100000000000001</v>
      </c>
      <c r="G289" s="210">
        <f t="shared" si="9"/>
        <v>4.404766499838611E-2</v>
      </c>
    </row>
    <row r="290" spans="1:7">
      <c r="A290" s="126" t="s">
        <v>716</v>
      </c>
      <c r="B290" s="209" t="s">
        <v>717</v>
      </c>
      <c r="C290" s="210">
        <v>8.4375892282707214E-4</v>
      </c>
      <c r="D290" s="211">
        <v>1.0562</v>
      </c>
      <c r="E290" s="210">
        <f t="shared" si="8"/>
        <v>8.9117817428995363E-4</v>
      </c>
      <c r="F290" s="212">
        <v>13.553000000000001</v>
      </c>
      <c r="G290" s="210">
        <f t="shared" si="9"/>
        <v>1.143546468107531E-2</v>
      </c>
    </row>
    <row r="291" spans="1:7">
      <c r="A291" s="126" t="s">
        <v>718</v>
      </c>
      <c r="B291" s="209" t="s">
        <v>719</v>
      </c>
      <c r="C291" s="210">
        <v>7.4080059614030586E-4</v>
      </c>
      <c r="D291" s="211">
        <v>1.9199000000000002</v>
      </c>
      <c r="E291" s="210">
        <f t="shared" si="8"/>
        <v>1.4222630645297732E-3</v>
      </c>
      <c r="F291" s="212" t="s">
        <v>1193</v>
      </c>
      <c r="G291" s="210" t="str">
        <f t="shared" si="9"/>
        <v>n/a</v>
      </c>
    </row>
    <row r="292" spans="1:7">
      <c r="A292" s="126" t="s">
        <v>720</v>
      </c>
      <c r="B292" s="209" t="s">
        <v>721</v>
      </c>
      <c r="C292" s="210">
        <v>7.5778083960908397E-4</v>
      </c>
      <c r="D292" s="211">
        <v>1.1383000000000001</v>
      </c>
      <c r="E292" s="210">
        <f t="shared" si="8"/>
        <v>8.6258192972702037E-4</v>
      </c>
      <c r="F292" s="212">
        <v>12.598000000000001</v>
      </c>
      <c r="G292" s="210">
        <f t="shared" si="9"/>
        <v>9.546523017395241E-3</v>
      </c>
    </row>
    <row r="293" spans="1:7">
      <c r="A293" s="126" t="s">
        <v>722</v>
      </c>
      <c r="B293" s="209" t="s">
        <v>723</v>
      </c>
      <c r="C293" s="210">
        <v>2.3817961852841594E-4</v>
      </c>
      <c r="D293" s="211">
        <v>1.6271</v>
      </c>
      <c r="E293" s="210">
        <f t="shared" si="8"/>
        <v>3.8754205730758559E-4</v>
      </c>
      <c r="F293" s="212">
        <v>15.19</v>
      </c>
      <c r="G293" s="210">
        <f t="shared" si="9"/>
        <v>3.6179484054466382E-3</v>
      </c>
    </row>
    <row r="294" spans="1:7">
      <c r="A294" s="126" t="s">
        <v>724</v>
      </c>
      <c r="B294" s="209" t="s">
        <v>725</v>
      </c>
      <c r="C294" s="210">
        <v>1.1206714795239502E-3</v>
      </c>
      <c r="D294" s="211" t="s">
        <v>1193</v>
      </c>
      <c r="E294" s="210" t="str">
        <f t="shared" si="8"/>
        <v>n/a</v>
      </c>
      <c r="F294" s="212">
        <v>8.5399999999999991</v>
      </c>
      <c r="G294" s="210">
        <f t="shared" si="9"/>
        <v>9.5705344351345346E-3</v>
      </c>
    </row>
    <row r="295" spans="1:7">
      <c r="A295" s="126" t="s">
        <v>726</v>
      </c>
      <c r="B295" s="209" t="s">
        <v>727</v>
      </c>
      <c r="C295" s="210">
        <v>4.9303184343566962E-4</v>
      </c>
      <c r="D295" s="211">
        <v>1.3461000000000001</v>
      </c>
      <c r="E295" s="210">
        <f t="shared" si="8"/>
        <v>6.6367016444875495E-4</v>
      </c>
      <c r="F295" s="212">
        <v>9.7330000000000005</v>
      </c>
      <c r="G295" s="210">
        <f t="shared" si="9"/>
        <v>4.7986789321593729E-3</v>
      </c>
    </row>
    <row r="296" spans="1:7">
      <c r="A296" s="126" t="s">
        <v>728</v>
      </c>
      <c r="B296" s="209" t="s">
        <v>729</v>
      </c>
      <c r="C296" s="210">
        <v>7.2826552917837719E-4</v>
      </c>
      <c r="D296" s="211">
        <v>2.6936</v>
      </c>
      <c r="E296" s="210">
        <f t="shared" si="8"/>
        <v>1.9616560293948767E-3</v>
      </c>
      <c r="F296" s="212">
        <v>7.15</v>
      </c>
      <c r="G296" s="210">
        <f t="shared" si="9"/>
        <v>5.2070985336253968E-3</v>
      </c>
    </row>
    <row r="297" spans="1:7">
      <c r="A297" s="126" t="s">
        <v>730</v>
      </c>
      <c r="B297" s="209" t="s">
        <v>731</v>
      </c>
      <c r="C297" s="210">
        <v>8.2084097696139024E-4</v>
      </c>
      <c r="D297" s="211">
        <v>2.5320999999999998</v>
      </c>
      <c r="E297" s="210">
        <f t="shared" si="8"/>
        <v>2.078451437763936E-3</v>
      </c>
      <c r="F297" s="212">
        <v>5.3330000000000002</v>
      </c>
      <c r="G297" s="210">
        <f t="shared" si="9"/>
        <v>4.3775449301350945E-3</v>
      </c>
    </row>
    <row r="298" spans="1:7">
      <c r="A298" s="126" t="s">
        <v>732</v>
      </c>
      <c r="B298" s="209" t="s">
        <v>733</v>
      </c>
      <c r="C298" s="210">
        <v>1.2991356148955139E-3</v>
      </c>
      <c r="D298" s="211">
        <v>2.4965000000000002</v>
      </c>
      <c r="E298" s="210">
        <f t="shared" si="8"/>
        <v>3.2432920625866508E-3</v>
      </c>
      <c r="F298" s="212">
        <v>5.53</v>
      </c>
      <c r="G298" s="210">
        <f t="shared" si="9"/>
        <v>7.1842199503721928E-3</v>
      </c>
    </row>
    <row r="299" spans="1:7">
      <c r="A299" s="126" t="s">
        <v>734</v>
      </c>
      <c r="B299" s="209" t="s">
        <v>735</v>
      </c>
      <c r="C299" s="210">
        <v>2.7364930320824808E-3</v>
      </c>
      <c r="D299" s="211" t="s">
        <v>1193</v>
      </c>
      <c r="E299" s="210" t="str">
        <f t="shared" si="8"/>
        <v>n/a</v>
      </c>
      <c r="F299" s="212">
        <v>14</v>
      </c>
      <c r="G299" s="210">
        <f t="shared" si="9"/>
        <v>3.8310902449154728E-2</v>
      </c>
    </row>
    <row r="300" spans="1:7">
      <c r="A300" s="126" t="s">
        <v>736</v>
      </c>
      <c r="B300" s="209" t="s">
        <v>737</v>
      </c>
      <c r="C300" s="210">
        <v>7.7750922450561593E-4</v>
      </c>
      <c r="D300" s="211">
        <v>3.5061999999999998</v>
      </c>
      <c r="E300" s="210">
        <f t="shared" si="8"/>
        <v>2.7261028429615905E-3</v>
      </c>
      <c r="F300" s="212">
        <v>4.6500000000000004</v>
      </c>
      <c r="G300" s="210">
        <f t="shared" si="9"/>
        <v>3.6154178939511142E-3</v>
      </c>
    </row>
    <row r="301" spans="1:7">
      <c r="A301" s="126" t="s">
        <v>738</v>
      </c>
      <c r="B301" s="209" t="s">
        <v>739</v>
      </c>
      <c r="C301" s="210">
        <v>3.1203420757885667E-3</v>
      </c>
      <c r="D301" s="211">
        <v>3.976</v>
      </c>
      <c r="E301" s="210">
        <f t="shared" si="8"/>
        <v>1.240648009333534E-2</v>
      </c>
      <c r="F301" s="212">
        <v>7.6</v>
      </c>
      <c r="G301" s="210">
        <f t="shared" si="9"/>
        <v>2.3714599775993106E-2</v>
      </c>
    </row>
    <row r="302" spans="1:7">
      <c r="A302" s="126" t="s">
        <v>740</v>
      </c>
      <c r="B302" s="209" t="s">
        <v>741</v>
      </c>
      <c r="C302" s="210">
        <v>5.8228705539264405E-4</v>
      </c>
      <c r="D302" s="211">
        <v>2.2917000000000001</v>
      </c>
      <c r="E302" s="210">
        <f t="shared" si="8"/>
        <v>1.3344272448433225E-3</v>
      </c>
      <c r="F302" s="212">
        <v>9.3000000000000007</v>
      </c>
      <c r="G302" s="210">
        <f t="shared" si="9"/>
        <v>5.4152696151515897E-3</v>
      </c>
    </row>
    <row r="303" spans="1:7">
      <c r="A303" s="126" t="s">
        <v>742</v>
      </c>
      <c r="B303" s="209" t="s">
        <v>743</v>
      </c>
      <c r="C303" s="210">
        <v>5.7572489092524385E-4</v>
      </c>
      <c r="D303" s="211">
        <v>4.2046000000000001</v>
      </c>
      <c r="E303" s="210">
        <f t="shared" si="8"/>
        <v>2.4206928763842801E-3</v>
      </c>
      <c r="F303" s="212">
        <v>4.99</v>
      </c>
      <c r="G303" s="210">
        <f t="shared" si="9"/>
        <v>2.8728672057169668E-3</v>
      </c>
    </row>
    <row r="304" spans="1:7">
      <c r="A304" s="126" t="s">
        <v>744</v>
      </c>
      <c r="B304" s="209" t="s">
        <v>745</v>
      </c>
      <c r="C304" s="210">
        <v>1.4280645105559622E-3</v>
      </c>
      <c r="D304" s="211">
        <v>3.8388999999999998</v>
      </c>
      <c r="E304" s="210">
        <f t="shared" si="8"/>
        <v>5.4821968495732832E-3</v>
      </c>
      <c r="F304" s="212">
        <v>6.3369999999999997</v>
      </c>
      <c r="G304" s="210">
        <f t="shared" si="9"/>
        <v>9.0496448033931323E-3</v>
      </c>
    </row>
    <row r="305" spans="1:7">
      <c r="A305" s="126" t="s">
        <v>746</v>
      </c>
      <c r="B305" s="209" t="s">
        <v>747</v>
      </c>
      <c r="C305" s="210">
        <v>1.6693680231671905E-3</v>
      </c>
      <c r="D305" s="211" t="s">
        <v>1193</v>
      </c>
      <c r="E305" s="210" t="str">
        <f t="shared" si="8"/>
        <v>n/a</v>
      </c>
      <c r="F305" s="212">
        <v>3.3330000000000002</v>
      </c>
      <c r="G305" s="210">
        <f t="shared" si="9"/>
        <v>5.5640036212162465E-3</v>
      </c>
    </row>
    <row r="306" spans="1:7">
      <c r="A306" s="126" t="s">
        <v>748</v>
      </c>
      <c r="B306" s="209" t="s">
        <v>749</v>
      </c>
      <c r="C306" s="210">
        <v>7.7956649720264839E-4</v>
      </c>
      <c r="D306" s="211">
        <v>3.0004</v>
      </c>
      <c r="E306" s="210">
        <f t="shared" si="8"/>
        <v>2.3390113182068261E-3</v>
      </c>
      <c r="F306" s="212">
        <v>7.25</v>
      </c>
      <c r="G306" s="210">
        <f t="shared" si="9"/>
        <v>5.6518571047192009E-3</v>
      </c>
    </row>
    <row r="307" spans="1:7">
      <c r="A307" s="126" t="s">
        <v>750</v>
      </c>
      <c r="B307" s="209" t="s">
        <v>751</v>
      </c>
      <c r="C307" s="210">
        <v>3.904413962349904E-4</v>
      </c>
      <c r="D307" s="211">
        <v>2.9782999999999999</v>
      </c>
      <c r="E307" s="210">
        <f t="shared" si="8"/>
        <v>1.1628516104066719E-3</v>
      </c>
      <c r="F307" s="212">
        <v>10</v>
      </c>
      <c r="G307" s="210">
        <f t="shared" si="9"/>
        <v>3.904413962349904E-3</v>
      </c>
    </row>
    <row r="308" spans="1:7">
      <c r="A308" s="126" t="s">
        <v>752</v>
      </c>
      <c r="B308" s="209" t="s">
        <v>753</v>
      </c>
      <c r="C308" s="210">
        <v>1.152350995548288E-3</v>
      </c>
      <c r="D308" s="211">
        <v>2.9962999999999997</v>
      </c>
      <c r="E308" s="210">
        <f t="shared" si="8"/>
        <v>3.4527892879613353E-3</v>
      </c>
      <c r="F308" s="212">
        <v>7.25</v>
      </c>
      <c r="G308" s="210">
        <f t="shared" si="9"/>
        <v>8.3545447177250879E-3</v>
      </c>
    </row>
    <row r="309" spans="1:7">
      <c r="A309" s="126" t="s">
        <v>754</v>
      </c>
      <c r="B309" s="209" t="s">
        <v>755</v>
      </c>
      <c r="C309" s="210">
        <v>2.423587987017912E-4</v>
      </c>
      <c r="D309" s="211">
        <v>4.5411000000000001</v>
      </c>
      <c r="E309" s="210">
        <f t="shared" si="8"/>
        <v>1.100575540784704E-3</v>
      </c>
      <c r="F309" s="212">
        <v>2</v>
      </c>
      <c r="G309" s="210">
        <f t="shared" si="9"/>
        <v>4.847175974035824E-4</v>
      </c>
    </row>
    <row r="310" spans="1:7">
      <c r="A310" s="126" t="s">
        <v>756</v>
      </c>
      <c r="B310" s="209" t="s">
        <v>757</v>
      </c>
      <c r="C310" s="210">
        <v>3.6048093955960156E-3</v>
      </c>
      <c r="D310" s="211">
        <v>3.2511999999999999</v>
      </c>
      <c r="E310" s="210">
        <f t="shared" si="8"/>
        <v>1.1719956306961765E-2</v>
      </c>
      <c r="F310" s="212">
        <v>14.37</v>
      </c>
      <c r="G310" s="210">
        <f t="shared" si="9"/>
        <v>5.180111101471474E-2</v>
      </c>
    </row>
    <row r="311" spans="1:7">
      <c r="A311" s="126" t="s">
        <v>758</v>
      </c>
      <c r="B311" s="209" t="s">
        <v>759</v>
      </c>
      <c r="C311" s="210">
        <v>1.4417276891580311E-3</v>
      </c>
      <c r="D311" s="211">
        <v>0.51880000000000004</v>
      </c>
      <c r="E311" s="210">
        <f t="shared" si="8"/>
        <v>7.4796832513518657E-4</v>
      </c>
      <c r="F311" s="212">
        <v>13.032999999999999</v>
      </c>
      <c r="G311" s="210">
        <f t="shared" si="9"/>
        <v>1.8790036972796617E-2</v>
      </c>
    </row>
    <row r="312" spans="1:7">
      <c r="A312" s="126" t="s">
        <v>760</v>
      </c>
      <c r="B312" s="209" t="s">
        <v>761</v>
      </c>
      <c r="C312" s="210">
        <v>1.5447023211921204E-3</v>
      </c>
      <c r="D312" s="211">
        <v>0.92849999999999999</v>
      </c>
      <c r="E312" s="210">
        <f t="shared" si="8"/>
        <v>1.4342561052268839E-3</v>
      </c>
      <c r="F312" s="212">
        <v>9.375</v>
      </c>
      <c r="G312" s="210">
        <f t="shared" si="9"/>
        <v>1.448158426117613E-2</v>
      </c>
    </row>
    <row r="313" spans="1:7">
      <c r="A313" s="126" t="s">
        <v>762</v>
      </c>
      <c r="B313" s="209" t="s">
        <v>763</v>
      </c>
      <c r="C313" s="210">
        <v>9.1006002901951614E-4</v>
      </c>
      <c r="D313" s="211" t="s">
        <v>1193</v>
      </c>
      <c r="E313" s="210" t="str">
        <f t="shared" si="8"/>
        <v>n/a</v>
      </c>
      <c r="F313" s="212">
        <v>18.844999999999999</v>
      </c>
      <c r="G313" s="210">
        <f t="shared" si="9"/>
        <v>1.715008124687278E-2</v>
      </c>
    </row>
    <row r="314" spans="1:7">
      <c r="A314" s="126" t="s">
        <v>764</v>
      </c>
      <c r="B314" s="209" t="s">
        <v>765</v>
      </c>
      <c r="C314" s="210">
        <v>4.1143844553422314E-3</v>
      </c>
      <c r="D314" s="211">
        <v>1.6286</v>
      </c>
      <c r="E314" s="210">
        <f t="shared" si="8"/>
        <v>6.7006865239703584E-3</v>
      </c>
      <c r="F314" s="212">
        <v>13.170999999999999</v>
      </c>
      <c r="G314" s="210">
        <f t="shared" si="9"/>
        <v>5.4190557661312526E-2</v>
      </c>
    </row>
    <row r="315" spans="1:7">
      <c r="A315" s="126" t="s">
        <v>766</v>
      </c>
      <c r="B315" s="209" t="s">
        <v>767</v>
      </c>
      <c r="C315" s="210">
        <v>6.9577388487045751E-4</v>
      </c>
      <c r="D315" s="211">
        <v>4.1479999999999997</v>
      </c>
      <c r="E315" s="210">
        <f t="shared" si="8"/>
        <v>2.8860700744426575E-3</v>
      </c>
      <c r="F315" s="212">
        <v>4.6870000000000003</v>
      </c>
      <c r="G315" s="210">
        <f t="shared" si="9"/>
        <v>3.2610921983878345E-3</v>
      </c>
    </row>
    <row r="316" spans="1:7">
      <c r="A316" s="126" t="s">
        <v>1340</v>
      </c>
      <c r="B316" s="209" t="s">
        <v>547</v>
      </c>
      <c r="C316" s="210">
        <v>4.3452683503156925E-4</v>
      </c>
      <c r="D316" s="211">
        <v>1.4586999999999999</v>
      </c>
      <c r="E316" s="210">
        <f t="shared" si="8"/>
        <v>6.3384429426055001E-4</v>
      </c>
      <c r="F316" s="212">
        <v>3.57</v>
      </c>
      <c r="G316" s="210">
        <f t="shared" si="9"/>
        <v>1.5512608010627021E-3</v>
      </c>
    </row>
    <row r="317" spans="1:7">
      <c r="A317" s="126" t="s">
        <v>1340</v>
      </c>
      <c r="B317" s="209" t="s">
        <v>1100</v>
      </c>
      <c r="C317" s="210">
        <v>3.2635294013546391E-4</v>
      </c>
      <c r="D317" s="211">
        <v>1.4584999999999999</v>
      </c>
      <c r="E317" s="210">
        <f t="shared" si="8"/>
        <v>4.7598576318757407E-4</v>
      </c>
      <c r="F317" s="212">
        <v>-10.86</v>
      </c>
      <c r="G317" s="210">
        <f t="shared" si="9"/>
        <v>-3.5441929298711378E-3</v>
      </c>
    </row>
    <row r="318" spans="1:7">
      <c r="A318" s="126" t="s">
        <v>768</v>
      </c>
      <c r="B318" s="209" t="s">
        <v>769</v>
      </c>
      <c r="C318" s="210">
        <v>8.5729065142294448E-4</v>
      </c>
      <c r="D318" s="211">
        <v>3.5141</v>
      </c>
      <c r="E318" s="210">
        <f t="shared" si="8"/>
        <v>3.0126050781653694E-3</v>
      </c>
      <c r="F318" s="212">
        <v>3.9830000000000001</v>
      </c>
      <c r="G318" s="210">
        <f t="shared" si="9"/>
        <v>3.414588664617588E-3</v>
      </c>
    </row>
    <row r="319" spans="1:7">
      <c r="A319" s="126" t="s">
        <v>770</v>
      </c>
      <c r="B319" s="209" t="s">
        <v>771</v>
      </c>
      <c r="C319" s="210">
        <v>4.3389144564940545E-4</v>
      </c>
      <c r="D319" s="211" t="s">
        <v>1193</v>
      </c>
      <c r="E319" s="210" t="str">
        <f t="shared" si="8"/>
        <v>n/a</v>
      </c>
      <c r="F319" s="212">
        <v>8.2729999999999997</v>
      </c>
      <c r="G319" s="210">
        <f t="shared" si="9"/>
        <v>3.5895839298575312E-3</v>
      </c>
    </row>
    <row r="320" spans="1:7">
      <c r="A320" s="126" t="s">
        <v>772</v>
      </c>
      <c r="B320" s="209" t="s">
        <v>773</v>
      </c>
      <c r="C320" s="210">
        <v>3.3900640349594953E-3</v>
      </c>
      <c r="D320" s="211">
        <v>3.0358000000000001</v>
      </c>
      <c r="E320" s="210">
        <f t="shared" si="8"/>
        <v>1.0291556397330036E-2</v>
      </c>
      <c r="F320" s="212">
        <v>6.3330000000000002</v>
      </c>
      <c r="G320" s="210">
        <f t="shared" si="9"/>
        <v>2.1469275533398485E-2</v>
      </c>
    </row>
    <row r="321" spans="1:7">
      <c r="A321" s="126" t="s">
        <v>774</v>
      </c>
      <c r="B321" s="209" t="s">
        <v>775</v>
      </c>
      <c r="C321" s="210">
        <v>2.5659535454703705E-4</v>
      </c>
      <c r="D321" s="211">
        <v>1.8445</v>
      </c>
      <c r="E321" s="210">
        <f t="shared" si="8"/>
        <v>4.7329013146200986E-4</v>
      </c>
      <c r="F321" s="212">
        <v>8</v>
      </c>
      <c r="G321" s="210">
        <f t="shared" si="9"/>
        <v>2.0527628363762964E-3</v>
      </c>
    </row>
    <row r="322" spans="1:7">
      <c r="A322" s="126" t="s">
        <v>776</v>
      </c>
      <c r="B322" s="209" t="s">
        <v>777</v>
      </c>
      <c r="C322" s="210">
        <v>5.6772091414757173E-4</v>
      </c>
      <c r="D322" s="211">
        <v>1.2696000000000001</v>
      </c>
      <c r="E322" s="210">
        <f t="shared" si="8"/>
        <v>7.2077847260175714E-4</v>
      </c>
      <c r="F322" s="212">
        <v>3.35</v>
      </c>
      <c r="G322" s="210">
        <f t="shared" si="9"/>
        <v>1.9018650623943653E-3</v>
      </c>
    </row>
    <row r="323" spans="1:7">
      <c r="A323" s="126" t="s">
        <v>778</v>
      </c>
      <c r="B323" s="209" t="s">
        <v>779</v>
      </c>
      <c r="C323" s="210">
        <v>1.0462300316967364E-3</v>
      </c>
      <c r="D323" s="211">
        <v>2.6608000000000001</v>
      </c>
      <c r="E323" s="210">
        <f t="shared" si="8"/>
        <v>2.7838088683386762E-3</v>
      </c>
      <c r="F323" s="212">
        <v>8.1969999999999992</v>
      </c>
      <c r="G323" s="210">
        <f t="shared" si="9"/>
        <v>8.575947569818148E-3</v>
      </c>
    </row>
    <row r="324" spans="1:7">
      <c r="A324" s="126" t="s">
        <v>780</v>
      </c>
      <c r="B324" s="209" t="s">
        <v>781</v>
      </c>
      <c r="C324" s="210">
        <v>1.8965376743879953E-3</v>
      </c>
      <c r="D324" s="211">
        <v>1.7826</v>
      </c>
      <c r="E324" s="210">
        <f t="shared" si="8"/>
        <v>3.3807680583640403E-3</v>
      </c>
      <c r="F324" s="212">
        <v>7.74</v>
      </c>
      <c r="G324" s="210">
        <f t="shared" si="9"/>
        <v>1.4679201599763084E-2</v>
      </c>
    </row>
    <row r="325" spans="1:7">
      <c r="A325" s="126" t="s">
        <v>782</v>
      </c>
      <c r="B325" s="209" t="s">
        <v>783</v>
      </c>
      <c r="C325" s="210">
        <v>5.5219668408202445E-4</v>
      </c>
      <c r="D325" s="211">
        <v>1.7835000000000001</v>
      </c>
      <c r="E325" s="210">
        <f t="shared" si="8"/>
        <v>9.8484278606029074E-4</v>
      </c>
      <c r="F325" s="212">
        <v>7.633</v>
      </c>
      <c r="G325" s="210">
        <f t="shared" si="9"/>
        <v>4.2149172895980924E-3</v>
      </c>
    </row>
    <row r="326" spans="1:7">
      <c r="A326" s="126" t="s">
        <v>784</v>
      </c>
      <c r="B326" s="209" t="s">
        <v>785</v>
      </c>
      <c r="C326" s="210">
        <v>2.1464500146476558E-3</v>
      </c>
      <c r="D326" s="211">
        <v>1.7589000000000001</v>
      </c>
      <c r="E326" s="210">
        <f t="shared" si="8"/>
        <v>3.7753909307637621E-3</v>
      </c>
      <c r="F326" s="212">
        <v>8</v>
      </c>
      <c r="G326" s="210">
        <f t="shared" si="9"/>
        <v>1.7171600117181246E-2</v>
      </c>
    </row>
    <row r="327" spans="1:7">
      <c r="A327" s="126" t="s">
        <v>786</v>
      </c>
      <c r="B327" s="209" t="s">
        <v>787</v>
      </c>
      <c r="C327" s="210">
        <v>1.3475819074435719E-3</v>
      </c>
      <c r="D327" s="211">
        <v>1.4473</v>
      </c>
      <c r="E327" s="210">
        <f t="shared" si="8"/>
        <v>1.9503552946430816E-3</v>
      </c>
      <c r="F327" s="212">
        <v>7.8330000000000002</v>
      </c>
      <c r="G327" s="210">
        <f t="shared" si="9"/>
        <v>1.05556090810055E-2</v>
      </c>
    </row>
    <row r="328" spans="1:7">
      <c r="A328" s="126" t="s">
        <v>788</v>
      </c>
      <c r="B328" s="209" t="s">
        <v>789</v>
      </c>
      <c r="C328" s="210">
        <v>9.4171775650646783E-4</v>
      </c>
      <c r="D328" s="211">
        <v>1.5432999999999999</v>
      </c>
      <c r="E328" s="210">
        <f t="shared" si="8"/>
        <v>1.4533530136164317E-3</v>
      </c>
      <c r="F328" s="212">
        <v>9.4499999999999993</v>
      </c>
      <c r="G328" s="210">
        <f t="shared" si="9"/>
        <v>8.8992327989861203E-3</v>
      </c>
    </row>
    <row r="329" spans="1:7">
      <c r="A329" s="126" t="s">
        <v>790</v>
      </c>
      <c r="B329" s="209" t="s">
        <v>791</v>
      </c>
      <c r="C329" s="210">
        <v>4.6459183030962426E-4</v>
      </c>
      <c r="D329" s="211">
        <v>0.75029999999999997</v>
      </c>
      <c r="E329" s="210">
        <f t="shared" si="8"/>
        <v>3.4858325028131105E-4</v>
      </c>
      <c r="F329" s="212">
        <v>13.143000000000001</v>
      </c>
      <c r="G329" s="210">
        <f t="shared" si="9"/>
        <v>6.1061304257593917E-3</v>
      </c>
    </row>
    <row r="330" spans="1:7">
      <c r="A330" s="126" t="s">
        <v>792</v>
      </c>
      <c r="B330" s="209" t="s">
        <v>793</v>
      </c>
      <c r="C330" s="210">
        <v>3.0626533067971875E-4</v>
      </c>
      <c r="D330" s="211">
        <v>3.0548000000000002</v>
      </c>
      <c r="E330" s="210">
        <f t="shared" si="8"/>
        <v>9.3557933216040494E-4</v>
      </c>
      <c r="F330" s="212">
        <v>6.24</v>
      </c>
      <c r="G330" s="210">
        <f t="shared" si="9"/>
        <v>1.911095663441445E-3</v>
      </c>
    </row>
    <row r="331" spans="1:7">
      <c r="A331" s="126" t="s">
        <v>794</v>
      </c>
      <c r="B331" s="209" t="s">
        <v>795</v>
      </c>
      <c r="C331" s="210">
        <v>3.1105433682959076E-4</v>
      </c>
      <c r="D331" s="211">
        <v>2.1568000000000001</v>
      </c>
      <c r="E331" s="210">
        <f t="shared" si="8"/>
        <v>6.7088199367406134E-4</v>
      </c>
      <c r="F331" s="212">
        <v>21.55</v>
      </c>
      <c r="G331" s="210">
        <f t="shared" si="9"/>
        <v>6.7032209586776808E-3</v>
      </c>
    </row>
    <row r="332" spans="1:7">
      <c r="A332" s="126" t="s">
        <v>796</v>
      </c>
      <c r="B332" s="209" t="s">
        <v>797</v>
      </c>
      <c r="C332" s="210">
        <v>3.0937205446675796E-4</v>
      </c>
      <c r="D332" s="211">
        <v>7.32</v>
      </c>
      <c r="E332" s="210">
        <f t="shared" si="8"/>
        <v>2.2646034386966684E-3</v>
      </c>
      <c r="F332" s="212">
        <v>7.0030000000000001</v>
      </c>
      <c r="G332" s="210">
        <f t="shared" si="9"/>
        <v>2.1665324974307061E-3</v>
      </c>
    </row>
    <row r="333" spans="1:7">
      <c r="A333" s="126" t="s">
        <v>798</v>
      </c>
      <c r="B333" s="209" t="s">
        <v>799</v>
      </c>
      <c r="C333" s="210">
        <v>4.0710222967413204E-3</v>
      </c>
      <c r="D333" s="211">
        <v>1.8067</v>
      </c>
      <c r="E333" s="210">
        <f t="shared" si="8"/>
        <v>7.3551159835225435E-3</v>
      </c>
      <c r="F333" s="212">
        <v>13.95</v>
      </c>
      <c r="G333" s="210">
        <f t="shared" si="9"/>
        <v>5.6790761039541414E-2</v>
      </c>
    </row>
    <row r="334" spans="1:7">
      <c r="A334" s="126" t="s">
        <v>800</v>
      </c>
      <c r="B334" s="209" t="s">
        <v>801</v>
      </c>
      <c r="C334" s="210">
        <v>2.6886904909272096E-3</v>
      </c>
      <c r="D334" s="211">
        <v>0.79720000000000002</v>
      </c>
      <c r="E334" s="210">
        <f t="shared" si="8"/>
        <v>2.1434240593671714E-3</v>
      </c>
      <c r="F334" s="212">
        <v>15.685</v>
      </c>
      <c r="G334" s="210">
        <f t="shared" si="9"/>
        <v>4.2172110350193283E-2</v>
      </c>
    </row>
    <row r="335" spans="1:7">
      <c r="A335" s="126" t="s">
        <v>802</v>
      </c>
      <c r="B335" s="209" t="s">
        <v>25</v>
      </c>
      <c r="C335" s="210">
        <v>2.741541018181747E-3</v>
      </c>
      <c r="D335" s="211">
        <v>3.2810000000000001</v>
      </c>
      <c r="E335" s="210">
        <f t="shared" si="8"/>
        <v>8.994996080654313E-3</v>
      </c>
      <c r="F335" s="212">
        <v>8.26</v>
      </c>
      <c r="G335" s="210">
        <f t="shared" si="9"/>
        <v>2.2645128810181228E-2</v>
      </c>
    </row>
    <row r="336" spans="1:7">
      <c r="A336" s="126" t="s">
        <v>803</v>
      </c>
      <c r="B336" s="209" t="s">
        <v>804</v>
      </c>
      <c r="C336" s="210">
        <v>8.5976529187460399E-4</v>
      </c>
      <c r="D336" s="211">
        <v>1.5756999999999999</v>
      </c>
      <c r="E336" s="210">
        <f t="shared" si="8"/>
        <v>1.3547321704068134E-3</v>
      </c>
      <c r="F336" s="212">
        <v>7.65</v>
      </c>
      <c r="G336" s="210">
        <f t="shared" si="9"/>
        <v>6.5772044828407211E-3</v>
      </c>
    </row>
    <row r="337" spans="1:7">
      <c r="A337" s="126" t="s">
        <v>805</v>
      </c>
      <c r="B337" s="209" t="s">
        <v>806</v>
      </c>
      <c r="C337" s="210">
        <v>2.860204481720786E-3</v>
      </c>
      <c r="D337" s="211">
        <v>1.8582999999999998</v>
      </c>
      <c r="E337" s="210">
        <f t="shared" si="8"/>
        <v>5.3151179883817361E-3</v>
      </c>
      <c r="F337" s="212">
        <v>10.733000000000001</v>
      </c>
      <c r="G337" s="210">
        <f t="shared" si="9"/>
        <v>3.0698574702309196E-2</v>
      </c>
    </row>
    <row r="338" spans="1:7">
      <c r="A338" s="126" t="s">
        <v>807</v>
      </c>
      <c r="B338" s="209" t="s">
        <v>808</v>
      </c>
      <c r="C338" s="210">
        <v>5.2465556931311896E-4</v>
      </c>
      <c r="D338" s="211" t="s">
        <v>1193</v>
      </c>
      <c r="E338" s="210" t="str">
        <f t="shared" si="8"/>
        <v>n/a</v>
      </c>
      <c r="F338" s="212">
        <v>8.9499999999999993</v>
      </c>
      <c r="G338" s="210">
        <f t="shared" si="9"/>
        <v>4.6956673453524139E-3</v>
      </c>
    </row>
    <row r="339" spans="1:7">
      <c r="A339" s="126" t="s">
        <v>809</v>
      </c>
      <c r="B339" s="209" t="s">
        <v>810</v>
      </c>
      <c r="C339" s="210">
        <v>6.1473410956706758E-4</v>
      </c>
      <c r="D339" s="211">
        <v>4.0712000000000002</v>
      </c>
      <c r="E339" s="210">
        <f t="shared" si="8"/>
        <v>2.5027055068694458E-3</v>
      </c>
      <c r="F339" s="212">
        <v>5.42</v>
      </c>
      <c r="G339" s="210">
        <f t="shared" si="9"/>
        <v>3.3318588738535061E-3</v>
      </c>
    </row>
    <row r="340" spans="1:7">
      <c r="A340" s="126" t="s">
        <v>811</v>
      </c>
      <c r="B340" s="209" t="s">
        <v>812</v>
      </c>
      <c r="C340" s="210">
        <v>1.1853174114211011E-3</v>
      </c>
      <c r="D340" s="211" t="s">
        <v>1193</v>
      </c>
      <c r="E340" s="210" t="str">
        <f t="shared" si="8"/>
        <v>n/a</v>
      </c>
      <c r="F340" s="212">
        <v>13.643000000000001</v>
      </c>
      <c r="G340" s="210">
        <f t="shared" si="9"/>
        <v>1.6171285444018083E-2</v>
      </c>
    </row>
    <row r="341" spans="1:7">
      <c r="A341" s="126" t="s">
        <v>813</v>
      </c>
      <c r="B341" s="209" t="s">
        <v>814</v>
      </c>
      <c r="C341" s="210">
        <v>1.3907821616892812E-3</v>
      </c>
      <c r="D341" s="211">
        <v>1.8403</v>
      </c>
      <c r="E341" s="210">
        <f t="shared" si="8"/>
        <v>2.5594564121567843E-3</v>
      </c>
      <c r="F341" s="212">
        <v>6.2329999999999997</v>
      </c>
      <c r="G341" s="210">
        <f t="shared" si="9"/>
        <v>8.66874521380929E-3</v>
      </c>
    </row>
    <row r="342" spans="1:7">
      <c r="A342" s="126" t="s">
        <v>815</v>
      </c>
      <c r="B342" s="209" t="s">
        <v>816</v>
      </c>
      <c r="C342" s="210">
        <v>2.7723131566329473E-4</v>
      </c>
      <c r="D342" s="211">
        <v>1.2929999999999999</v>
      </c>
      <c r="E342" s="210">
        <f t="shared" si="8"/>
        <v>3.5846009115264008E-4</v>
      </c>
      <c r="F342" s="212">
        <v>13.1</v>
      </c>
      <c r="G342" s="210">
        <f t="shared" si="9"/>
        <v>3.6317302351891608E-3</v>
      </c>
    </row>
    <row r="343" spans="1:7">
      <c r="A343" s="126" t="s">
        <v>817</v>
      </c>
      <c r="B343" s="209" t="s">
        <v>818</v>
      </c>
      <c r="C343" s="210">
        <v>1.2435735030165063E-3</v>
      </c>
      <c r="D343" s="211">
        <v>2.6316000000000002</v>
      </c>
      <c r="E343" s="210">
        <f t="shared" si="8"/>
        <v>3.2725880305382381E-3</v>
      </c>
      <c r="F343" s="212">
        <v>8.5169999999999995</v>
      </c>
      <c r="G343" s="210">
        <f t="shared" si="9"/>
        <v>1.0591515525191584E-2</v>
      </c>
    </row>
    <row r="344" spans="1:7">
      <c r="A344" s="126" t="s">
        <v>819</v>
      </c>
      <c r="B344" s="209" t="s">
        <v>820</v>
      </c>
      <c r="C344" s="210">
        <v>2.9447005548781694E-4</v>
      </c>
      <c r="D344" s="211">
        <v>1.8538999999999999</v>
      </c>
      <c r="E344" s="210">
        <f t="shared" si="8"/>
        <v>5.4591803586886381E-4</v>
      </c>
      <c r="F344" s="212">
        <v>1.9330000000000001</v>
      </c>
      <c r="G344" s="210">
        <f t="shared" si="9"/>
        <v>5.6921061725795016E-4</v>
      </c>
    </row>
    <row r="345" spans="1:7">
      <c r="A345" s="126" t="s">
        <v>821</v>
      </c>
      <c r="B345" s="209" t="s">
        <v>822</v>
      </c>
      <c r="C345" s="210">
        <v>6.2060239489439891E-4</v>
      </c>
      <c r="D345" s="211" t="s">
        <v>1193</v>
      </c>
      <c r="E345" s="210" t="str">
        <f t="shared" si="8"/>
        <v>n/a</v>
      </c>
      <c r="F345" s="212">
        <v>43.15</v>
      </c>
      <c r="G345" s="210">
        <f t="shared" si="9"/>
        <v>2.6778993339693313E-2</v>
      </c>
    </row>
    <row r="346" spans="1:7">
      <c r="A346" s="126" t="s">
        <v>823</v>
      </c>
      <c r="B346" s="209" t="s">
        <v>824</v>
      </c>
      <c r="C346" s="210">
        <v>1.8637162471998841E-3</v>
      </c>
      <c r="D346" s="211">
        <v>5.3967000000000001</v>
      </c>
      <c r="E346" s="210">
        <f t="shared" si="8"/>
        <v>1.0057917471263614E-2</v>
      </c>
      <c r="F346" s="212">
        <v>5.0830000000000002</v>
      </c>
      <c r="G346" s="210">
        <f t="shared" si="9"/>
        <v>9.473269684517012E-3</v>
      </c>
    </row>
    <row r="347" spans="1:7">
      <c r="A347" s="126" t="s">
        <v>825</v>
      </c>
      <c r="B347" s="209" t="s">
        <v>826</v>
      </c>
      <c r="C347" s="210">
        <v>3.9318290263346467E-4</v>
      </c>
      <c r="D347" s="211">
        <v>3.3590999999999998</v>
      </c>
      <c r="E347" s="210">
        <f t="shared" si="8"/>
        <v>1.3207406882360711E-3</v>
      </c>
      <c r="F347" s="212">
        <v>5.4370000000000003</v>
      </c>
      <c r="G347" s="210">
        <f t="shared" si="9"/>
        <v>2.1377354416181474E-3</v>
      </c>
    </row>
    <row r="348" spans="1:7">
      <c r="A348" s="126" t="s">
        <v>827</v>
      </c>
      <c r="B348" s="209" t="s">
        <v>828</v>
      </c>
      <c r="C348" s="210">
        <v>1.2380752228103747E-3</v>
      </c>
      <c r="D348" s="211" t="s">
        <v>1193</v>
      </c>
      <c r="E348" s="210" t="str">
        <f t="shared" si="8"/>
        <v>n/a</v>
      </c>
      <c r="F348" s="212">
        <v>31.8</v>
      </c>
      <c r="G348" s="210">
        <f t="shared" si="9"/>
        <v>3.9370792085369914E-2</v>
      </c>
    </row>
    <row r="349" spans="1:7">
      <c r="A349" s="126" t="s">
        <v>829</v>
      </c>
      <c r="B349" s="209" t="s">
        <v>830</v>
      </c>
      <c r="C349" s="210">
        <v>1.1690348513106097E-3</v>
      </c>
      <c r="D349" s="211">
        <v>2.8235999999999999</v>
      </c>
      <c r="E349" s="210">
        <f t="shared" si="8"/>
        <v>3.3008868061606372E-3</v>
      </c>
      <c r="F349" s="212">
        <v>6.6829999999999998</v>
      </c>
      <c r="G349" s="210">
        <f t="shared" si="9"/>
        <v>7.812659911308804E-3</v>
      </c>
    </row>
    <row r="350" spans="1:7">
      <c r="A350" s="126" t="s">
        <v>831</v>
      </c>
      <c r="B350" s="209" t="s">
        <v>832</v>
      </c>
      <c r="C350" s="210">
        <v>1.4056831219526002E-3</v>
      </c>
      <c r="D350" s="211">
        <v>4.4469000000000003</v>
      </c>
      <c r="E350" s="210">
        <f t="shared" si="8"/>
        <v>6.2509322750110181E-3</v>
      </c>
      <c r="F350" s="212">
        <v>10.667</v>
      </c>
      <c r="G350" s="210">
        <f t="shared" si="9"/>
        <v>1.4994421861868387E-2</v>
      </c>
    </row>
    <row r="351" spans="1:7">
      <c r="A351" s="126" t="s">
        <v>833</v>
      </c>
      <c r="B351" s="209" t="s">
        <v>834</v>
      </c>
      <c r="C351" s="210">
        <v>3.2527698352627608E-3</v>
      </c>
      <c r="D351" s="211">
        <v>3.2048000000000001</v>
      </c>
      <c r="E351" s="210">
        <f t="shared" ref="E351:E414" si="10">IFERROR($D351*$C351,"n/a")</f>
        <v>1.0424476768050096E-2</v>
      </c>
      <c r="F351" s="212">
        <v>8.9339999999999993</v>
      </c>
      <c r="G351" s="210">
        <f t="shared" ref="G351:G414" si="11">IFERROR($F351*$C351,"n/a")</f>
        <v>2.9060245708237502E-2</v>
      </c>
    </row>
    <row r="352" spans="1:7">
      <c r="A352" s="126" t="s">
        <v>835</v>
      </c>
      <c r="B352" s="209" t="s">
        <v>836</v>
      </c>
      <c r="C352" s="210">
        <v>3.0177222475524427E-4</v>
      </c>
      <c r="D352" s="211">
        <v>2.9919000000000002</v>
      </c>
      <c r="E352" s="210">
        <f t="shared" si="10"/>
        <v>9.0287231924521543E-4</v>
      </c>
      <c r="F352" s="212">
        <v>3.37</v>
      </c>
      <c r="G352" s="210">
        <f t="shared" si="11"/>
        <v>1.0169723974251732E-3</v>
      </c>
    </row>
    <row r="353" spans="1:7">
      <c r="A353" s="126" t="s">
        <v>837</v>
      </c>
      <c r="B353" s="209" t="s">
        <v>838</v>
      </c>
      <c r="C353" s="210">
        <v>1.9418710543942608E-3</v>
      </c>
      <c r="D353" s="211">
        <v>3.3086000000000002</v>
      </c>
      <c r="E353" s="210">
        <f t="shared" si="10"/>
        <v>6.4248745705688514E-3</v>
      </c>
      <c r="F353" s="212">
        <v>5.4729999999999999</v>
      </c>
      <c r="G353" s="210">
        <f t="shared" si="11"/>
        <v>1.0627860280699789E-2</v>
      </c>
    </row>
    <row r="354" spans="1:7">
      <c r="A354" s="126" t="s">
        <v>839</v>
      </c>
      <c r="B354" s="209" t="s">
        <v>840</v>
      </c>
      <c r="C354" s="210">
        <v>9.8230856818174307E-4</v>
      </c>
      <c r="D354" s="211">
        <v>1.2000999999999999</v>
      </c>
      <c r="E354" s="210">
        <f t="shared" si="10"/>
        <v>1.1788685126749097E-3</v>
      </c>
      <c r="F354" s="212">
        <v>2.3849999999999998</v>
      </c>
      <c r="G354" s="210">
        <f t="shared" si="11"/>
        <v>2.342805935113457E-3</v>
      </c>
    </row>
    <row r="355" spans="1:7">
      <c r="A355" s="126" t="s">
        <v>841</v>
      </c>
      <c r="B355" s="209" t="s">
        <v>842</v>
      </c>
      <c r="C355" s="210">
        <v>4.2820648733174829E-3</v>
      </c>
      <c r="D355" s="211">
        <v>2.4611999999999998</v>
      </c>
      <c r="E355" s="210">
        <f t="shared" si="10"/>
        <v>1.0539018066208989E-2</v>
      </c>
      <c r="F355" s="212">
        <v>10.103</v>
      </c>
      <c r="G355" s="210">
        <f t="shared" si="11"/>
        <v>4.326170141512653E-2</v>
      </c>
    </row>
    <row r="356" spans="1:7">
      <c r="A356" s="126" t="s">
        <v>843</v>
      </c>
      <c r="B356" s="209" t="s">
        <v>844</v>
      </c>
      <c r="C356" s="210">
        <v>6.6674812049039597E-4</v>
      </c>
      <c r="D356" s="211">
        <v>1.9434</v>
      </c>
      <c r="E356" s="210">
        <f t="shared" si="10"/>
        <v>1.2957582973610355E-3</v>
      </c>
      <c r="F356" s="212">
        <v>14.01</v>
      </c>
      <c r="G356" s="210">
        <f t="shared" si="11"/>
        <v>9.3411411680704472E-3</v>
      </c>
    </row>
    <row r="357" spans="1:7">
      <c r="A357" s="126" t="s">
        <v>845</v>
      </c>
      <c r="B357" s="209" t="s">
        <v>846</v>
      </c>
      <c r="C357" s="210">
        <v>1.6634570548691035E-3</v>
      </c>
      <c r="D357" s="211">
        <v>1.7585999999999999</v>
      </c>
      <c r="E357" s="210">
        <f t="shared" si="10"/>
        <v>2.9253555766928052E-3</v>
      </c>
      <c r="F357" s="212">
        <v>5.133</v>
      </c>
      <c r="G357" s="210">
        <f t="shared" si="11"/>
        <v>8.5385250626431076E-3</v>
      </c>
    </row>
    <row r="358" spans="1:7">
      <c r="A358" s="126" t="s">
        <v>847</v>
      </c>
      <c r="B358" s="209" t="s">
        <v>848</v>
      </c>
      <c r="C358" s="210">
        <v>5.7932542836027032E-4</v>
      </c>
      <c r="D358" s="211" t="s">
        <v>1193</v>
      </c>
      <c r="E358" s="210" t="str">
        <f t="shared" si="10"/>
        <v>n/a</v>
      </c>
      <c r="F358" s="212">
        <v>11.255000000000001</v>
      </c>
      <c r="G358" s="210">
        <f t="shared" si="11"/>
        <v>6.5203076961948426E-3</v>
      </c>
    </row>
    <row r="359" spans="1:7">
      <c r="A359" s="126" t="s">
        <v>849</v>
      </c>
      <c r="B359" s="209" t="s">
        <v>850</v>
      </c>
      <c r="C359" s="210">
        <v>1.0501100057923004E-3</v>
      </c>
      <c r="D359" s="211" t="s">
        <v>1193</v>
      </c>
      <c r="E359" s="210" t="str">
        <f t="shared" si="10"/>
        <v>n/a</v>
      </c>
      <c r="F359" s="212">
        <v>8.39</v>
      </c>
      <c r="G359" s="210">
        <f t="shared" si="11"/>
        <v>8.8104229485974003E-3</v>
      </c>
    </row>
    <row r="360" spans="1:7">
      <c r="A360" s="126" t="s">
        <v>851</v>
      </c>
      <c r="B360" s="209" t="s">
        <v>852</v>
      </c>
      <c r="C360" s="210">
        <v>5.6442483312463428E-4</v>
      </c>
      <c r="D360" s="211">
        <v>2.9775</v>
      </c>
      <c r="E360" s="210">
        <f t="shared" si="10"/>
        <v>1.6805749406285987E-3</v>
      </c>
      <c r="F360" s="212">
        <v>9.3130000000000006</v>
      </c>
      <c r="G360" s="210">
        <f t="shared" si="11"/>
        <v>5.2564884708897197E-3</v>
      </c>
    </row>
    <row r="361" spans="1:7">
      <c r="A361" s="126" t="s">
        <v>1359</v>
      </c>
      <c r="B361" s="209" t="s">
        <v>1360</v>
      </c>
      <c r="C361" s="210">
        <v>5.2817889542399919E-4</v>
      </c>
      <c r="D361" s="211" t="s">
        <v>1193</v>
      </c>
      <c r="E361" s="210" t="str">
        <f t="shared" si="10"/>
        <v>n/a</v>
      </c>
      <c r="F361" s="212">
        <v>10.657</v>
      </c>
      <c r="G361" s="210">
        <f t="shared" si="11"/>
        <v>5.6288024885335596E-3</v>
      </c>
    </row>
    <row r="362" spans="1:7">
      <c r="A362" s="126" t="s">
        <v>853</v>
      </c>
      <c r="B362" s="209" t="s">
        <v>854</v>
      </c>
      <c r="C362" s="210">
        <v>4.8564665427791977E-4</v>
      </c>
      <c r="D362" s="211">
        <v>3.6564000000000001</v>
      </c>
      <c r="E362" s="210">
        <f t="shared" si="10"/>
        <v>1.7757184267017858E-3</v>
      </c>
      <c r="F362" s="212">
        <v>5.2379999999999995</v>
      </c>
      <c r="G362" s="210">
        <f t="shared" si="11"/>
        <v>2.5438171751077437E-3</v>
      </c>
    </row>
    <row r="363" spans="1:7">
      <c r="A363" s="126" t="s">
        <v>855</v>
      </c>
      <c r="B363" s="209" t="s">
        <v>856</v>
      </c>
      <c r="C363" s="210">
        <v>4.9116092067511485E-4</v>
      </c>
      <c r="D363" s="211">
        <v>1.4504999999999999</v>
      </c>
      <c r="E363" s="210">
        <f t="shared" si="10"/>
        <v>7.12428915439254E-4</v>
      </c>
      <c r="F363" s="212">
        <v>9</v>
      </c>
      <c r="G363" s="210">
        <f t="shared" si="11"/>
        <v>4.420448286076034E-3</v>
      </c>
    </row>
    <row r="364" spans="1:7">
      <c r="A364" s="126" t="s">
        <v>857</v>
      </c>
      <c r="B364" s="209" t="s">
        <v>858</v>
      </c>
      <c r="C364" s="210">
        <v>3.0041424558120841E-4</v>
      </c>
      <c r="D364" s="211">
        <v>2.8475000000000001</v>
      </c>
      <c r="E364" s="210">
        <f t="shared" si="10"/>
        <v>8.5542956429249099E-4</v>
      </c>
      <c r="F364" s="212">
        <v>3.77</v>
      </c>
      <c r="G364" s="210">
        <f t="shared" si="11"/>
        <v>1.1325617058411557E-3</v>
      </c>
    </row>
    <row r="365" spans="1:7">
      <c r="A365" s="126" t="s">
        <v>859</v>
      </c>
      <c r="B365" s="209" t="s">
        <v>860</v>
      </c>
      <c r="C365" s="210">
        <v>3.0689343525222774E-4</v>
      </c>
      <c r="D365" s="211" t="s">
        <v>1193</v>
      </c>
      <c r="E365" s="210" t="str">
        <f t="shared" si="10"/>
        <v>n/a</v>
      </c>
      <c r="F365" s="212">
        <v>18.234999999999999</v>
      </c>
      <c r="G365" s="210">
        <f t="shared" si="11"/>
        <v>5.5962017918243729E-3</v>
      </c>
    </row>
    <row r="366" spans="1:7">
      <c r="A366" s="126" t="s">
        <v>861</v>
      </c>
      <c r="B366" s="209" t="s">
        <v>862</v>
      </c>
      <c r="C366" s="210">
        <v>8.5194212936332838E-4</v>
      </c>
      <c r="D366" s="211">
        <v>1.9799</v>
      </c>
      <c r="E366" s="210">
        <f t="shared" si="10"/>
        <v>1.6867602219264538E-3</v>
      </c>
      <c r="F366" s="212">
        <v>9.5</v>
      </c>
      <c r="G366" s="210">
        <f t="shared" si="11"/>
        <v>8.0934502289516201E-3</v>
      </c>
    </row>
    <row r="367" spans="1:7">
      <c r="A367" s="126" t="s">
        <v>863</v>
      </c>
      <c r="B367" s="209" t="s">
        <v>864</v>
      </c>
      <c r="C367" s="210">
        <v>3.6150552468394763E-4</v>
      </c>
      <c r="D367" s="211">
        <v>7.5454999999999997</v>
      </c>
      <c r="E367" s="210">
        <f t="shared" si="10"/>
        <v>2.7277399365027268E-3</v>
      </c>
      <c r="F367" s="212">
        <v>3.81</v>
      </c>
      <c r="G367" s="210">
        <f t="shared" si="11"/>
        <v>1.3773360490458406E-3</v>
      </c>
    </row>
    <row r="368" spans="1:7">
      <c r="A368" s="126" t="s">
        <v>865</v>
      </c>
      <c r="B368" s="209" t="s">
        <v>866</v>
      </c>
      <c r="C368" s="210">
        <v>1.7158729157887508E-3</v>
      </c>
      <c r="D368" s="211">
        <v>0.86450000000000005</v>
      </c>
      <c r="E368" s="210">
        <f t="shared" si="10"/>
        <v>1.4833721356993751E-3</v>
      </c>
      <c r="F368" s="212">
        <v>11.153</v>
      </c>
      <c r="G368" s="210">
        <f t="shared" si="11"/>
        <v>1.913713062979194E-2</v>
      </c>
    </row>
    <row r="369" spans="1:7">
      <c r="A369" s="126" t="s">
        <v>867</v>
      </c>
      <c r="B369" s="209" t="s">
        <v>868</v>
      </c>
      <c r="C369" s="210">
        <v>7.1965694565921581E-4</v>
      </c>
      <c r="D369" s="211" t="s">
        <v>1193</v>
      </c>
      <c r="E369" s="210" t="str">
        <f t="shared" si="10"/>
        <v>n/a</v>
      </c>
      <c r="F369" s="212">
        <v>10.64</v>
      </c>
      <c r="G369" s="210">
        <f t="shared" si="11"/>
        <v>7.6571499018140568E-3</v>
      </c>
    </row>
    <row r="370" spans="1:7">
      <c r="A370" s="126" t="s">
        <v>869</v>
      </c>
      <c r="B370" s="209" t="s">
        <v>870</v>
      </c>
      <c r="C370" s="210">
        <v>4.6972570831680879E-4</v>
      </c>
      <c r="D370" s="211">
        <v>0.53779999999999994</v>
      </c>
      <c r="E370" s="210">
        <f t="shared" si="10"/>
        <v>2.5261848593277972E-4</v>
      </c>
      <c r="F370" s="212">
        <v>8.0749999999999993</v>
      </c>
      <c r="G370" s="210">
        <f t="shared" si="11"/>
        <v>3.7930350946582306E-3</v>
      </c>
    </row>
    <row r="371" spans="1:7">
      <c r="A371" s="126" t="s">
        <v>871</v>
      </c>
      <c r="B371" s="209" t="s">
        <v>872</v>
      </c>
      <c r="C371" s="210">
        <v>4.0730222939125757E-4</v>
      </c>
      <c r="D371" s="211">
        <v>1.2818000000000001</v>
      </c>
      <c r="E371" s="210">
        <f t="shared" si="10"/>
        <v>5.2207999763371398E-4</v>
      </c>
      <c r="F371" s="212">
        <v>6.0650000000000004</v>
      </c>
      <c r="G371" s="210">
        <f t="shared" si="11"/>
        <v>2.4702880212579773E-3</v>
      </c>
    </row>
    <row r="372" spans="1:7">
      <c r="A372" s="126" t="s">
        <v>873</v>
      </c>
      <c r="B372" s="209" t="s">
        <v>874</v>
      </c>
      <c r="C372" s="210">
        <v>5.2897769961403969E-4</v>
      </c>
      <c r="D372" s="211">
        <v>2.2208000000000001</v>
      </c>
      <c r="E372" s="210">
        <f t="shared" si="10"/>
        <v>1.1747536753028594E-3</v>
      </c>
      <c r="F372" s="212">
        <v>12.928000000000001</v>
      </c>
      <c r="G372" s="210">
        <f t="shared" si="11"/>
        <v>6.8386237006103053E-3</v>
      </c>
    </row>
    <row r="373" spans="1:7">
      <c r="A373" s="126" t="s">
        <v>875</v>
      </c>
      <c r="B373" s="209" t="s">
        <v>876</v>
      </c>
      <c r="C373" s="210">
        <v>3.1802872445485845E-4</v>
      </c>
      <c r="D373" s="211">
        <v>0.94340000000000002</v>
      </c>
      <c r="E373" s="210">
        <f t="shared" si="10"/>
        <v>3.0002829865071346E-4</v>
      </c>
      <c r="F373" s="212">
        <v>67.944999999999993</v>
      </c>
      <c r="G373" s="210">
        <f t="shared" si="11"/>
        <v>2.1608461683085355E-2</v>
      </c>
    </row>
    <row r="374" spans="1:7">
      <c r="A374" s="126" t="s">
        <v>877</v>
      </c>
      <c r="B374" s="209" t="s">
        <v>878</v>
      </c>
      <c r="C374" s="210">
        <v>5.6032060724587631E-4</v>
      </c>
      <c r="D374" s="211">
        <v>1.9807999999999999</v>
      </c>
      <c r="E374" s="210">
        <f t="shared" si="10"/>
        <v>1.1098830588326318E-3</v>
      </c>
      <c r="F374" s="212">
        <v>7.8550000000000004</v>
      </c>
      <c r="G374" s="210">
        <f t="shared" si="11"/>
        <v>4.4013183699163584E-3</v>
      </c>
    </row>
    <row r="375" spans="1:7">
      <c r="A375" s="126" t="s">
        <v>879</v>
      </c>
      <c r="B375" s="209" t="s">
        <v>880</v>
      </c>
      <c r="C375" s="210">
        <v>1.577938710606315E-3</v>
      </c>
      <c r="D375" s="211">
        <v>0.69920000000000004</v>
      </c>
      <c r="E375" s="210">
        <f t="shared" si="10"/>
        <v>1.1032947464559356E-3</v>
      </c>
      <c r="F375" s="212">
        <v>7.0949999999999998</v>
      </c>
      <c r="G375" s="210">
        <f t="shared" si="11"/>
        <v>1.1195475151751804E-2</v>
      </c>
    </row>
    <row r="376" spans="1:7">
      <c r="A376" s="126" t="s">
        <v>881</v>
      </c>
      <c r="B376" s="209" t="s">
        <v>882</v>
      </c>
      <c r="C376" s="210">
        <v>7.4960585999599659E-4</v>
      </c>
      <c r="D376" s="211">
        <v>2.3544</v>
      </c>
      <c r="E376" s="210">
        <f t="shared" si="10"/>
        <v>1.7648720367745745E-3</v>
      </c>
      <c r="F376" s="212">
        <v>11.496</v>
      </c>
      <c r="G376" s="210">
        <f t="shared" si="11"/>
        <v>8.6174689665139779E-3</v>
      </c>
    </row>
    <row r="377" spans="1:7">
      <c r="A377" s="126" t="s">
        <v>883</v>
      </c>
      <c r="B377" s="209" t="s">
        <v>884</v>
      </c>
      <c r="C377" s="210">
        <v>1.3248463453855754E-3</v>
      </c>
      <c r="D377" s="211">
        <v>5.7275999999999998</v>
      </c>
      <c r="E377" s="210">
        <f t="shared" si="10"/>
        <v>7.5881899278304214E-3</v>
      </c>
      <c r="F377" s="212">
        <v>-3.31</v>
      </c>
      <c r="G377" s="210">
        <f t="shared" si="11"/>
        <v>-4.3852414032262543E-3</v>
      </c>
    </row>
    <row r="378" spans="1:7">
      <c r="A378" s="126" t="s">
        <v>885</v>
      </c>
      <c r="B378" s="209" t="s">
        <v>886</v>
      </c>
      <c r="C378" s="210">
        <v>3.8054207502305061E-3</v>
      </c>
      <c r="D378" s="211">
        <v>1.7183999999999999</v>
      </c>
      <c r="E378" s="210">
        <f t="shared" si="10"/>
        <v>6.5392350171961013E-3</v>
      </c>
      <c r="F378" s="212">
        <v>19.952999999999999</v>
      </c>
      <c r="G378" s="210">
        <f t="shared" si="11"/>
        <v>7.5929560229349283E-2</v>
      </c>
    </row>
    <row r="379" spans="1:7">
      <c r="A379" s="126" t="s">
        <v>887</v>
      </c>
      <c r="B379" s="209" t="s">
        <v>888</v>
      </c>
      <c r="C379" s="210">
        <v>3.431790431818261E-4</v>
      </c>
      <c r="D379" s="211">
        <v>2.4609000000000001</v>
      </c>
      <c r="E379" s="210">
        <f t="shared" si="10"/>
        <v>8.4452930736615586E-4</v>
      </c>
      <c r="F379" s="212">
        <v>-0.31</v>
      </c>
      <c r="G379" s="210">
        <f t="shared" si="11"/>
        <v>-1.063855033863661E-4</v>
      </c>
    </row>
    <row r="380" spans="1:7">
      <c r="A380" s="126" t="s">
        <v>889</v>
      </c>
      <c r="B380" s="209" t="s">
        <v>890</v>
      </c>
      <c r="C380" s="210">
        <v>1.164453244249454E-3</v>
      </c>
      <c r="D380" s="211" t="s">
        <v>1193</v>
      </c>
      <c r="E380" s="210" t="str">
        <f t="shared" si="10"/>
        <v>n/a</v>
      </c>
      <c r="F380" s="212">
        <v>12.574999999999999</v>
      </c>
      <c r="G380" s="210">
        <f t="shared" si="11"/>
        <v>1.4642999546436882E-2</v>
      </c>
    </row>
    <row r="381" spans="1:7">
      <c r="A381" s="126" t="s">
        <v>891</v>
      </c>
      <c r="B381" s="209" t="s">
        <v>892</v>
      </c>
      <c r="C381" s="210">
        <v>3.3380335377688398E-2</v>
      </c>
      <c r="D381" s="211" t="s">
        <v>1193</v>
      </c>
      <c r="E381" s="210" t="str">
        <f t="shared" si="10"/>
        <v>n/a</v>
      </c>
      <c r="F381" s="212">
        <v>44.334000000000003</v>
      </c>
      <c r="G381" s="210">
        <f t="shared" si="11"/>
        <v>1.4798837886344376</v>
      </c>
    </row>
    <row r="382" spans="1:7">
      <c r="A382" s="126" t="s">
        <v>893</v>
      </c>
      <c r="B382" s="209" t="s">
        <v>894</v>
      </c>
      <c r="C382" s="210">
        <v>4.3693269419935952E-4</v>
      </c>
      <c r="D382" s="211">
        <v>1.0961000000000001</v>
      </c>
      <c r="E382" s="210">
        <f t="shared" si="10"/>
        <v>4.7892192611191799E-4</v>
      </c>
      <c r="F382" s="212">
        <v>9.1999999999999993</v>
      </c>
      <c r="G382" s="210">
        <f t="shared" si="11"/>
        <v>4.0197807866341074E-3</v>
      </c>
    </row>
    <row r="383" spans="1:7">
      <c r="A383" s="126" t="s">
        <v>895</v>
      </c>
      <c r="B383" s="209" t="s">
        <v>896</v>
      </c>
      <c r="C383" s="210">
        <v>1.9239426622092196E-4</v>
      </c>
      <c r="D383" s="211">
        <v>2.8805000000000001</v>
      </c>
      <c r="E383" s="210">
        <f t="shared" si="10"/>
        <v>5.5419168384936569E-4</v>
      </c>
      <c r="F383" s="212">
        <v>6.35</v>
      </c>
      <c r="G383" s="210">
        <f t="shared" si="11"/>
        <v>1.2217035905028545E-3</v>
      </c>
    </row>
    <row r="384" spans="1:7">
      <c r="A384" s="126" t="s">
        <v>897</v>
      </c>
      <c r="B384" s="209" t="s">
        <v>898</v>
      </c>
      <c r="C384" s="210">
        <v>7.7908674275720016E-4</v>
      </c>
      <c r="D384" s="211">
        <v>2.9306999999999999</v>
      </c>
      <c r="E384" s="210">
        <f t="shared" si="10"/>
        <v>2.2832695169985266E-3</v>
      </c>
      <c r="F384" s="212">
        <v>2.1800000000000002</v>
      </c>
      <c r="G384" s="210">
        <f t="shared" si="11"/>
        <v>1.6984090992106964E-3</v>
      </c>
    </row>
    <row r="385" spans="1:7">
      <c r="A385" s="126" t="s">
        <v>899</v>
      </c>
      <c r="B385" s="209" t="s">
        <v>900</v>
      </c>
      <c r="C385" s="210">
        <v>1.11583139360039E-3</v>
      </c>
      <c r="D385" s="211">
        <v>1.0363</v>
      </c>
      <c r="E385" s="210">
        <f t="shared" si="10"/>
        <v>1.1563360731880841E-3</v>
      </c>
      <c r="F385" s="212">
        <v>8.673</v>
      </c>
      <c r="G385" s="210">
        <f t="shared" si="11"/>
        <v>9.6776056766961823E-3</v>
      </c>
    </row>
    <row r="386" spans="1:7">
      <c r="A386" s="126" t="s">
        <v>901</v>
      </c>
      <c r="B386" s="209" t="s">
        <v>902</v>
      </c>
      <c r="C386" s="210">
        <v>4.4490957923660872E-4</v>
      </c>
      <c r="D386" s="211">
        <v>0.30769999999999997</v>
      </c>
      <c r="E386" s="210">
        <f t="shared" si="10"/>
        <v>1.3689867753110448E-4</v>
      </c>
      <c r="F386" s="212">
        <v>10.9</v>
      </c>
      <c r="G386" s="210">
        <f t="shared" si="11"/>
        <v>4.8495144136790356E-3</v>
      </c>
    </row>
    <row r="387" spans="1:7">
      <c r="A387" s="126" t="s">
        <v>903</v>
      </c>
      <c r="B387" s="209" t="s">
        <v>904</v>
      </c>
      <c r="C387" s="210">
        <v>8.1719944252478906E-4</v>
      </c>
      <c r="D387" s="211">
        <v>1.3994</v>
      </c>
      <c r="E387" s="210">
        <f t="shared" si="10"/>
        <v>1.1435888998691899E-3</v>
      </c>
      <c r="F387" s="212">
        <v>23.85</v>
      </c>
      <c r="G387" s="210">
        <f t="shared" si="11"/>
        <v>1.949020670421622E-2</v>
      </c>
    </row>
    <row r="388" spans="1:7">
      <c r="A388" s="126" t="s">
        <v>905</v>
      </c>
      <c r="B388" s="209" t="s">
        <v>906</v>
      </c>
      <c r="C388" s="210">
        <v>1.3731770654654258E-3</v>
      </c>
      <c r="D388" s="211">
        <v>4.2233999999999998</v>
      </c>
      <c r="E388" s="210">
        <f t="shared" si="10"/>
        <v>5.7994760182866791E-3</v>
      </c>
      <c r="F388" s="212">
        <v>9.75</v>
      </c>
      <c r="G388" s="210">
        <f t="shared" si="11"/>
        <v>1.3388476388287902E-2</v>
      </c>
    </row>
    <row r="389" spans="1:7">
      <c r="A389" s="126" t="s">
        <v>907</v>
      </c>
      <c r="B389" s="209" t="s">
        <v>908</v>
      </c>
      <c r="C389" s="210">
        <v>8.0185155892674518E-4</v>
      </c>
      <c r="D389" s="211" t="s">
        <v>1193</v>
      </c>
      <c r="E389" s="210" t="str">
        <f t="shared" si="10"/>
        <v>n/a</v>
      </c>
      <c r="F389" s="212">
        <v>14.38</v>
      </c>
      <c r="G389" s="210">
        <f t="shared" si="11"/>
        <v>1.1530625417366597E-2</v>
      </c>
    </row>
    <row r="390" spans="1:7">
      <c r="A390" s="126" t="s">
        <v>909</v>
      </c>
      <c r="B390" s="209" t="s">
        <v>910</v>
      </c>
      <c r="C390" s="210">
        <v>3.8180396930901679E-4</v>
      </c>
      <c r="D390" s="211">
        <v>3.4527000000000001</v>
      </c>
      <c r="E390" s="210">
        <f t="shared" si="10"/>
        <v>1.3182545648332423E-3</v>
      </c>
      <c r="F390" s="212">
        <v>3.613</v>
      </c>
      <c r="G390" s="210">
        <f t="shared" si="11"/>
        <v>1.3794577411134776E-3</v>
      </c>
    </row>
    <row r="391" spans="1:7">
      <c r="A391" s="126" t="s">
        <v>911</v>
      </c>
      <c r="B391" s="209" t="s">
        <v>912</v>
      </c>
      <c r="C391" s="210">
        <v>4.4617138702772978E-4</v>
      </c>
      <c r="D391" s="211">
        <v>2.359</v>
      </c>
      <c r="E391" s="210">
        <f t="shared" si="10"/>
        <v>1.0525183019984145E-3</v>
      </c>
      <c r="F391" s="212">
        <v>8.6329999999999991</v>
      </c>
      <c r="G391" s="210">
        <f t="shared" si="11"/>
        <v>3.8517975842103907E-3</v>
      </c>
    </row>
    <row r="392" spans="1:7">
      <c r="A392" s="126" t="s">
        <v>913</v>
      </c>
      <c r="B392" s="209" t="s">
        <v>914</v>
      </c>
      <c r="C392" s="210">
        <v>4.764177711311969E-3</v>
      </c>
      <c r="D392" s="211">
        <v>1.6636</v>
      </c>
      <c r="E392" s="210">
        <f t="shared" si="10"/>
        <v>7.9256860405385911E-3</v>
      </c>
      <c r="F392" s="212">
        <v>10.032999999999999</v>
      </c>
      <c r="G392" s="210">
        <f t="shared" si="11"/>
        <v>4.7798994977592983E-2</v>
      </c>
    </row>
    <row r="393" spans="1:7">
      <c r="A393" s="126" t="s">
        <v>915</v>
      </c>
      <c r="B393" s="209" t="s">
        <v>916</v>
      </c>
      <c r="C393" s="210">
        <v>1.0803404886445852E-3</v>
      </c>
      <c r="D393" s="211" t="s">
        <v>1193</v>
      </c>
      <c r="E393" s="210" t="str">
        <f t="shared" si="10"/>
        <v>n/a</v>
      </c>
      <c r="F393" s="212">
        <v>14.4</v>
      </c>
      <c r="G393" s="210">
        <f t="shared" si="11"/>
        <v>1.5556903036482028E-2</v>
      </c>
    </row>
    <row r="394" spans="1:7">
      <c r="A394" s="126" t="s">
        <v>917</v>
      </c>
      <c r="B394" s="209" t="s">
        <v>918</v>
      </c>
      <c r="C394" s="210">
        <v>1.3417453931305939E-3</v>
      </c>
      <c r="D394" s="211">
        <v>1.4811000000000001</v>
      </c>
      <c r="E394" s="210">
        <f t="shared" si="10"/>
        <v>1.9872591017657229E-3</v>
      </c>
      <c r="F394" s="212">
        <v>12.5</v>
      </c>
      <c r="G394" s="210">
        <f t="shared" si="11"/>
        <v>1.6771817414132424E-2</v>
      </c>
    </row>
    <row r="395" spans="1:7">
      <c r="A395" s="126" t="s">
        <v>919</v>
      </c>
      <c r="B395" s="209" t="s">
        <v>920</v>
      </c>
      <c r="C395" s="210">
        <v>2.0894143369373621E-3</v>
      </c>
      <c r="D395" s="211">
        <v>2.4877000000000002</v>
      </c>
      <c r="E395" s="210">
        <f t="shared" si="10"/>
        <v>5.197836045999076E-3</v>
      </c>
      <c r="F395" s="212">
        <v>7.36</v>
      </c>
      <c r="G395" s="210">
        <f t="shared" si="11"/>
        <v>1.5378089519858985E-2</v>
      </c>
    </row>
    <row r="396" spans="1:7">
      <c r="A396" s="126" t="s">
        <v>921</v>
      </c>
      <c r="B396" s="209" t="s">
        <v>922</v>
      </c>
      <c r="C396" s="210">
        <v>1.0124201398648025E-3</v>
      </c>
      <c r="D396" s="211">
        <v>3.1516000000000002</v>
      </c>
      <c r="E396" s="210">
        <f t="shared" si="10"/>
        <v>3.1907433127979115E-3</v>
      </c>
      <c r="F396" s="212">
        <v>0.48499999999999999</v>
      </c>
      <c r="G396" s="210">
        <f t="shared" si="11"/>
        <v>4.9102376783442922E-4</v>
      </c>
    </row>
    <row r="397" spans="1:7">
      <c r="A397" s="126" t="s">
        <v>923</v>
      </c>
      <c r="B397" s="209" t="s">
        <v>924</v>
      </c>
      <c r="C397" s="210">
        <v>8.680004687898964E-4</v>
      </c>
      <c r="D397" s="211" t="s">
        <v>1193</v>
      </c>
      <c r="E397" s="210" t="str">
        <f t="shared" si="10"/>
        <v>n/a</v>
      </c>
      <c r="F397" s="212">
        <v>9.6999999999999993</v>
      </c>
      <c r="G397" s="210">
        <f t="shared" si="11"/>
        <v>8.4196045472619951E-3</v>
      </c>
    </row>
    <row r="398" spans="1:7">
      <c r="A398" s="126" t="s">
        <v>925</v>
      </c>
      <c r="B398" s="209" t="s">
        <v>926</v>
      </c>
      <c r="C398" s="210">
        <v>2.0892799103422739E-4</v>
      </c>
      <c r="D398" s="211">
        <v>0.42330000000000001</v>
      </c>
      <c r="E398" s="210">
        <f t="shared" si="10"/>
        <v>8.8439218604788458E-5</v>
      </c>
      <c r="F398" s="212" t="s">
        <v>1193</v>
      </c>
      <c r="G398" s="210" t="str">
        <f t="shared" si="11"/>
        <v>n/a</v>
      </c>
    </row>
    <row r="399" spans="1:7">
      <c r="A399" s="126" t="s">
        <v>927</v>
      </c>
      <c r="B399" s="209" t="s">
        <v>928</v>
      </c>
      <c r="C399" s="210">
        <v>3.6597801840092834E-4</v>
      </c>
      <c r="D399" s="211" t="s">
        <v>1193</v>
      </c>
      <c r="E399" s="210" t="str">
        <f t="shared" si="10"/>
        <v>n/a</v>
      </c>
      <c r="F399" s="212">
        <v>1.268</v>
      </c>
      <c r="G399" s="210">
        <f t="shared" si="11"/>
        <v>4.6406012733237714E-4</v>
      </c>
    </row>
    <row r="400" spans="1:7">
      <c r="A400" s="126" t="s">
        <v>929</v>
      </c>
      <c r="B400" s="209" t="s">
        <v>930</v>
      </c>
      <c r="C400" s="210">
        <v>7.8840178157252565E-4</v>
      </c>
      <c r="D400" s="211">
        <v>2.3734999999999999</v>
      </c>
      <c r="E400" s="210">
        <f t="shared" si="10"/>
        <v>1.8712716285623895E-3</v>
      </c>
      <c r="F400" s="212">
        <v>4.99</v>
      </c>
      <c r="G400" s="210">
        <f t="shared" si="11"/>
        <v>3.9341248900469031E-3</v>
      </c>
    </row>
    <row r="401" spans="1:7">
      <c r="A401" s="126" t="s">
        <v>931</v>
      </c>
      <c r="B401" s="209" t="s">
        <v>932</v>
      </c>
      <c r="C401" s="210">
        <v>7.2370323748515157E-4</v>
      </c>
      <c r="D401" s="211" t="s">
        <v>1193</v>
      </c>
      <c r="E401" s="210" t="str">
        <f t="shared" si="10"/>
        <v>n/a</v>
      </c>
      <c r="F401" s="212">
        <v>11.5</v>
      </c>
      <c r="G401" s="210">
        <f t="shared" si="11"/>
        <v>8.3225872310792436E-3</v>
      </c>
    </row>
    <row r="402" spans="1:7">
      <c r="A402" s="126" t="s">
        <v>933</v>
      </c>
      <c r="B402" s="209" t="s">
        <v>934</v>
      </c>
      <c r="C402" s="210">
        <v>4.120988774092795E-3</v>
      </c>
      <c r="D402" s="211">
        <v>0.36770000000000003</v>
      </c>
      <c r="E402" s="210">
        <f t="shared" si="10"/>
        <v>1.5152875722339208E-3</v>
      </c>
      <c r="F402" s="212">
        <v>11.154</v>
      </c>
      <c r="G402" s="210">
        <f t="shared" si="11"/>
        <v>4.5965508786231034E-2</v>
      </c>
    </row>
    <row r="403" spans="1:7">
      <c r="A403" s="126" t="s">
        <v>935</v>
      </c>
      <c r="B403" s="209" t="s">
        <v>936</v>
      </c>
      <c r="C403" s="210">
        <v>2.4935294719203313E-4</v>
      </c>
      <c r="D403" s="211">
        <v>1.5417999999999998</v>
      </c>
      <c r="E403" s="210">
        <f t="shared" si="10"/>
        <v>3.8445237398067664E-4</v>
      </c>
      <c r="F403" s="212">
        <v>5.7169999999999996</v>
      </c>
      <c r="G403" s="210">
        <f t="shared" si="11"/>
        <v>1.4255507990968534E-3</v>
      </c>
    </row>
    <row r="404" spans="1:7">
      <c r="A404" s="126" t="s">
        <v>937</v>
      </c>
      <c r="B404" s="209" t="s">
        <v>938</v>
      </c>
      <c r="C404" s="210">
        <v>1.2938780237974272E-3</v>
      </c>
      <c r="D404" s="211">
        <v>1.3275000000000001</v>
      </c>
      <c r="E404" s="210">
        <f t="shared" si="10"/>
        <v>1.7176230765910848E-3</v>
      </c>
      <c r="F404" s="212">
        <v>11.05</v>
      </c>
      <c r="G404" s="210">
        <f t="shared" si="11"/>
        <v>1.4297352162961571E-2</v>
      </c>
    </row>
    <row r="405" spans="1:7">
      <c r="A405" s="126" t="s">
        <v>941</v>
      </c>
      <c r="B405" s="209" t="s">
        <v>942</v>
      </c>
      <c r="C405" s="210">
        <v>4.1863792851038666E-4</v>
      </c>
      <c r="D405" s="211" t="s">
        <v>1193</v>
      </c>
      <c r="E405" s="210" t="str">
        <f t="shared" si="10"/>
        <v>n/a</v>
      </c>
      <c r="F405" s="212">
        <v>11</v>
      </c>
      <c r="G405" s="210">
        <f t="shared" si="11"/>
        <v>4.6050172136142533E-3</v>
      </c>
    </row>
    <row r="406" spans="1:7">
      <c r="A406" s="126" t="s">
        <v>939</v>
      </c>
      <c r="B406" s="209" t="s">
        <v>940</v>
      </c>
      <c r="C406" s="210">
        <v>2.4190781959462777E-3</v>
      </c>
      <c r="D406" s="211" t="s">
        <v>1193</v>
      </c>
      <c r="E406" s="210" t="str">
        <f t="shared" si="10"/>
        <v>n/a</v>
      </c>
      <c r="F406" s="212">
        <v>13.483000000000001</v>
      </c>
      <c r="G406" s="210">
        <f t="shared" si="11"/>
        <v>3.2616431315943661E-2</v>
      </c>
    </row>
    <row r="407" spans="1:7">
      <c r="A407" s="126" t="s">
        <v>943</v>
      </c>
      <c r="B407" s="209" t="s">
        <v>944</v>
      </c>
      <c r="C407" s="210">
        <v>1.6408145960566541E-4</v>
      </c>
      <c r="D407" s="211">
        <v>1.5356999999999998</v>
      </c>
      <c r="E407" s="210">
        <f t="shared" si="10"/>
        <v>2.5197989751642034E-4</v>
      </c>
      <c r="F407" s="212">
        <v>5.8629999999999995</v>
      </c>
      <c r="G407" s="210">
        <f t="shared" si="11"/>
        <v>9.620095976680162E-4</v>
      </c>
    </row>
    <row r="408" spans="1:7">
      <c r="A408" s="126" t="s">
        <v>945</v>
      </c>
      <c r="B408" s="209" t="s">
        <v>946</v>
      </c>
      <c r="C408" s="210">
        <v>5.5145733158918806E-4</v>
      </c>
      <c r="D408" s="211" t="s">
        <v>1193</v>
      </c>
      <c r="E408" s="210" t="str">
        <f t="shared" si="10"/>
        <v>n/a</v>
      </c>
      <c r="F408" s="212">
        <v>9.86</v>
      </c>
      <c r="G408" s="210">
        <f t="shared" si="11"/>
        <v>5.4373692894693938E-3</v>
      </c>
    </row>
    <row r="409" spans="1:7">
      <c r="A409" s="126" t="s">
        <v>947</v>
      </c>
      <c r="B409" s="209" t="s">
        <v>948</v>
      </c>
      <c r="C409" s="210">
        <v>1.0791835102731801E-3</v>
      </c>
      <c r="D409" s="211">
        <v>1.8717999999999999</v>
      </c>
      <c r="E409" s="210">
        <f t="shared" si="10"/>
        <v>2.0200156945293386E-3</v>
      </c>
      <c r="F409" s="212">
        <v>12.957000000000001</v>
      </c>
      <c r="G409" s="210">
        <f t="shared" si="11"/>
        <v>1.3982980742609596E-2</v>
      </c>
    </row>
    <row r="410" spans="1:7">
      <c r="A410" s="126" t="s">
        <v>949</v>
      </c>
      <c r="B410" s="209" t="s">
        <v>950</v>
      </c>
      <c r="C410" s="210">
        <v>1.2709891011312127E-3</v>
      </c>
      <c r="D410" s="211">
        <v>1.4365999999999999</v>
      </c>
      <c r="E410" s="210">
        <f t="shared" si="10"/>
        <v>1.8259029426851E-3</v>
      </c>
      <c r="F410" s="212">
        <v>12.071999999999999</v>
      </c>
      <c r="G410" s="210">
        <f t="shared" si="11"/>
        <v>1.5343380428856E-2</v>
      </c>
    </row>
    <row r="411" spans="1:7">
      <c r="A411" s="126" t="s">
        <v>951</v>
      </c>
      <c r="B411" s="209" t="s">
        <v>952</v>
      </c>
      <c r="C411" s="210">
        <v>2.8966034235542548E-3</v>
      </c>
      <c r="D411" s="211">
        <v>2.4127999999999998</v>
      </c>
      <c r="E411" s="210">
        <f t="shared" si="10"/>
        <v>6.9889247403517058E-3</v>
      </c>
      <c r="F411" s="212">
        <v>0.64</v>
      </c>
      <c r="G411" s="210">
        <f t="shared" si="11"/>
        <v>1.8538261910747231E-3</v>
      </c>
    </row>
    <row r="412" spans="1:7">
      <c r="A412" s="126" t="s">
        <v>953</v>
      </c>
      <c r="B412" s="209" t="s">
        <v>954</v>
      </c>
      <c r="C412" s="210">
        <v>1.5746377955905789E-3</v>
      </c>
      <c r="D412" s="211">
        <v>2.6217999999999999</v>
      </c>
      <c r="E412" s="210">
        <f t="shared" si="10"/>
        <v>4.1283853724793798E-3</v>
      </c>
      <c r="F412" s="212">
        <v>9.8000000000000007</v>
      </c>
      <c r="G412" s="210">
        <f t="shared" si="11"/>
        <v>1.5431450396787675E-2</v>
      </c>
    </row>
    <row r="413" spans="1:7">
      <c r="A413" s="126" t="s">
        <v>955</v>
      </c>
      <c r="B413" s="209" t="s">
        <v>956</v>
      </c>
      <c r="C413" s="210">
        <v>1.0603106402519722E-3</v>
      </c>
      <c r="D413" s="211">
        <v>0.61370000000000002</v>
      </c>
      <c r="E413" s="210">
        <f t="shared" si="10"/>
        <v>6.5071263992263529E-4</v>
      </c>
      <c r="F413" s="212">
        <v>46.9</v>
      </c>
      <c r="G413" s="210">
        <f t="shared" si="11"/>
        <v>4.9728569027817492E-2</v>
      </c>
    </row>
    <row r="414" spans="1:7">
      <c r="A414" s="126" t="s">
        <v>957</v>
      </c>
      <c r="B414" s="209" t="s">
        <v>958</v>
      </c>
      <c r="C414" s="210">
        <v>1.5065200173705975E-3</v>
      </c>
      <c r="D414" s="211">
        <v>0.97640000000000005</v>
      </c>
      <c r="E414" s="210">
        <f t="shared" si="10"/>
        <v>1.4709661449606515E-3</v>
      </c>
      <c r="F414" s="212">
        <v>11.7</v>
      </c>
      <c r="G414" s="210">
        <f t="shared" si="11"/>
        <v>1.762628420323599E-2</v>
      </c>
    </row>
    <row r="415" spans="1:7">
      <c r="A415" s="126" t="s">
        <v>959</v>
      </c>
      <c r="B415" s="209" t="s">
        <v>960</v>
      </c>
      <c r="C415" s="210">
        <v>3.2434391453510071E-3</v>
      </c>
      <c r="D415" s="211" t="s">
        <v>1193</v>
      </c>
      <c r="E415" s="210" t="str">
        <f t="shared" ref="E415:E478" si="12">IFERROR($D415*$C415,"n/a")</f>
        <v>n/a</v>
      </c>
      <c r="F415" s="212">
        <v>19.033000000000001</v>
      </c>
      <c r="G415" s="210">
        <f t="shared" ref="G415:G478" si="13">IFERROR($F415*$C415,"n/a")</f>
        <v>6.1732377253465726E-2</v>
      </c>
    </row>
    <row r="416" spans="1:7">
      <c r="A416" s="126" t="s">
        <v>961</v>
      </c>
      <c r="B416" s="209" t="s">
        <v>962</v>
      </c>
      <c r="C416" s="210">
        <v>3.2823159417457018E-4</v>
      </c>
      <c r="D416" s="211" t="s">
        <v>1193</v>
      </c>
      <c r="E416" s="210" t="str">
        <f t="shared" si="12"/>
        <v>n/a</v>
      </c>
      <c r="F416" s="212">
        <v>10.288</v>
      </c>
      <c r="G416" s="210">
        <f t="shared" si="13"/>
        <v>3.3768466408679782E-3</v>
      </c>
    </row>
    <row r="417" spans="1:7">
      <c r="A417" s="126" t="s">
        <v>963</v>
      </c>
      <c r="B417" s="209" t="s">
        <v>964</v>
      </c>
      <c r="C417" s="210">
        <v>5.8606788967996057E-4</v>
      </c>
      <c r="D417" s="211" t="s">
        <v>1193</v>
      </c>
      <c r="E417" s="210" t="str">
        <f t="shared" si="12"/>
        <v>n/a</v>
      </c>
      <c r="F417" s="212">
        <v>12.8</v>
      </c>
      <c r="G417" s="210">
        <f t="shared" si="13"/>
        <v>7.5016689879034955E-3</v>
      </c>
    </row>
    <row r="418" spans="1:7">
      <c r="A418" s="126" t="s">
        <v>1341</v>
      </c>
      <c r="B418" s="209" t="s">
        <v>1342</v>
      </c>
      <c r="C418" s="210">
        <v>4.8069432370242493E-4</v>
      </c>
      <c r="D418" s="211">
        <v>0.62290000000000001</v>
      </c>
      <c r="E418" s="210">
        <f t="shared" si="12"/>
        <v>2.9942449423424051E-4</v>
      </c>
      <c r="F418" s="212" t="s">
        <v>1193</v>
      </c>
      <c r="G418" s="210" t="str">
        <f t="shared" si="13"/>
        <v>n/a</v>
      </c>
    </row>
    <row r="419" spans="1:7">
      <c r="A419" s="126" t="s">
        <v>965</v>
      </c>
      <c r="B419" s="209" t="s">
        <v>966</v>
      </c>
      <c r="C419" s="210">
        <v>3.7805252383196238E-4</v>
      </c>
      <c r="D419" s="211">
        <v>1.4963</v>
      </c>
      <c r="E419" s="210">
        <f t="shared" si="12"/>
        <v>5.6567999140976529E-4</v>
      </c>
      <c r="F419" s="212">
        <v>6.633</v>
      </c>
      <c r="G419" s="210">
        <f t="shared" si="13"/>
        <v>2.5076223905774065E-3</v>
      </c>
    </row>
    <row r="420" spans="1:7">
      <c r="A420" s="126" t="s">
        <v>967</v>
      </c>
      <c r="B420" s="209" t="s">
        <v>968</v>
      </c>
      <c r="C420" s="210">
        <v>1.4218994728054837E-2</v>
      </c>
      <c r="D420" s="211" t="s">
        <v>1193</v>
      </c>
      <c r="E420" s="210" t="str">
        <f t="shared" si="12"/>
        <v>n/a</v>
      </c>
      <c r="F420" s="212">
        <v>12.868</v>
      </c>
      <c r="G420" s="210">
        <f t="shared" si="13"/>
        <v>0.18297002416060965</v>
      </c>
    </row>
    <row r="421" spans="1:7">
      <c r="A421" s="126" t="s">
        <v>1211</v>
      </c>
      <c r="B421" s="209" t="s">
        <v>1212</v>
      </c>
      <c r="C421" s="210">
        <v>6.1062101961884409E-4</v>
      </c>
      <c r="D421" s="211">
        <v>0.40029999999999999</v>
      </c>
      <c r="E421" s="210">
        <f t="shared" si="12"/>
        <v>2.4443159415342327E-4</v>
      </c>
      <c r="F421" s="212">
        <v>14.25</v>
      </c>
      <c r="G421" s="210">
        <f t="shared" si="13"/>
        <v>8.7013495295685285E-3</v>
      </c>
    </row>
    <row r="422" spans="1:7">
      <c r="A422" s="126" t="s">
        <v>971</v>
      </c>
      <c r="B422" s="209" t="s">
        <v>972</v>
      </c>
      <c r="C422" s="210">
        <v>4.5550091266055824E-3</v>
      </c>
      <c r="D422" s="211" t="s">
        <v>1193</v>
      </c>
      <c r="E422" s="210" t="str">
        <f t="shared" si="12"/>
        <v>n/a</v>
      </c>
      <c r="F422" s="212">
        <v>42.8</v>
      </c>
      <c r="G422" s="210">
        <f t="shared" si="13"/>
        <v>0.19495439061871891</v>
      </c>
    </row>
    <row r="423" spans="1:7">
      <c r="A423" s="126" t="s">
        <v>969</v>
      </c>
      <c r="B423" s="209" t="s">
        <v>970</v>
      </c>
      <c r="C423" s="210">
        <v>3.7623984067455878E-4</v>
      </c>
      <c r="D423" s="211">
        <v>1.042</v>
      </c>
      <c r="E423" s="210">
        <f t="shared" si="12"/>
        <v>3.9204191398289028E-4</v>
      </c>
      <c r="F423" s="212">
        <v>10.227</v>
      </c>
      <c r="G423" s="210">
        <f t="shared" si="13"/>
        <v>3.8478048505787127E-3</v>
      </c>
    </row>
    <row r="424" spans="1:7">
      <c r="A424" s="126" t="s">
        <v>973</v>
      </c>
      <c r="B424" s="209" t="s">
        <v>70</v>
      </c>
      <c r="C424" s="210">
        <v>9.2188082815988597E-4</v>
      </c>
      <c r="D424" s="211">
        <v>0.85609999999999997</v>
      </c>
      <c r="E424" s="210">
        <f t="shared" si="12"/>
        <v>7.8922217698767832E-4</v>
      </c>
      <c r="F424" s="212">
        <v>13.532999999999999</v>
      </c>
      <c r="G424" s="210">
        <f t="shared" si="13"/>
        <v>1.2475813247487736E-2</v>
      </c>
    </row>
    <row r="425" spans="1:7">
      <c r="A425" s="126" t="s">
        <v>974</v>
      </c>
      <c r="B425" s="209" t="s">
        <v>975</v>
      </c>
      <c r="C425" s="210">
        <v>2.3877110604280556E-3</v>
      </c>
      <c r="D425" s="211">
        <v>1.3328</v>
      </c>
      <c r="E425" s="210">
        <f t="shared" si="12"/>
        <v>3.1823413013385123E-3</v>
      </c>
      <c r="F425" s="212">
        <v>14.132999999999999</v>
      </c>
      <c r="G425" s="210">
        <f t="shared" si="13"/>
        <v>3.374552041702971E-2</v>
      </c>
    </row>
    <row r="426" spans="1:7">
      <c r="A426" s="126" t="s">
        <v>976</v>
      </c>
      <c r="B426" s="209" t="s">
        <v>977</v>
      </c>
      <c r="C426" s="210">
        <v>2.9419584264942923E-3</v>
      </c>
      <c r="D426" s="211">
        <v>1.4195</v>
      </c>
      <c r="E426" s="210">
        <f t="shared" si="12"/>
        <v>4.1761099864086482E-3</v>
      </c>
      <c r="F426" s="212">
        <v>8.2569999999999997</v>
      </c>
      <c r="G426" s="210">
        <f t="shared" si="13"/>
        <v>2.4291750727563372E-2</v>
      </c>
    </row>
    <row r="427" spans="1:7">
      <c r="A427" s="126" t="s">
        <v>978</v>
      </c>
      <c r="B427" s="209" t="s">
        <v>979</v>
      </c>
      <c r="C427" s="210">
        <v>3.3272121698079137E-4</v>
      </c>
      <c r="D427" s="211">
        <v>3.0707</v>
      </c>
      <c r="E427" s="210">
        <f t="shared" si="12"/>
        <v>1.0216870409829161E-3</v>
      </c>
      <c r="F427" s="212">
        <v>7.7430000000000003</v>
      </c>
      <c r="G427" s="210">
        <f t="shared" si="13"/>
        <v>2.5762603830822677E-3</v>
      </c>
    </row>
    <row r="428" spans="1:7">
      <c r="A428" s="126" t="s">
        <v>980</v>
      </c>
      <c r="B428" s="209" t="s">
        <v>981</v>
      </c>
      <c r="C428" s="210">
        <v>2.6778165456072438E-3</v>
      </c>
      <c r="D428" s="211">
        <v>2.9619999999999997</v>
      </c>
      <c r="E428" s="210">
        <f t="shared" si="12"/>
        <v>7.9316926080886547E-3</v>
      </c>
      <c r="F428" s="212">
        <v>8.82</v>
      </c>
      <c r="G428" s="210">
        <f t="shared" si="13"/>
        <v>2.3618341932255892E-2</v>
      </c>
    </row>
    <row r="429" spans="1:7">
      <c r="A429" s="126" t="s">
        <v>982</v>
      </c>
      <c r="B429" s="209" t="s">
        <v>983</v>
      </c>
      <c r="C429" s="210">
        <v>9.4743280795510712E-4</v>
      </c>
      <c r="D429" s="211">
        <v>2.843</v>
      </c>
      <c r="E429" s="210">
        <f t="shared" si="12"/>
        <v>2.6935514730163693E-3</v>
      </c>
      <c r="F429" s="212">
        <v>5.5250000000000004</v>
      </c>
      <c r="G429" s="210">
        <f t="shared" si="13"/>
        <v>5.2345662639519674E-3</v>
      </c>
    </row>
    <row r="430" spans="1:7">
      <c r="A430" s="126" t="s">
        <v>984</v>
      </c>
      <c r="B430" s="209" t="s">
        <v>985</v>
      </c>
      <c r="C430" s="210">
        <v>6.3604821242649161E-4</v>
      </c>
      <c r="D430" s="211">
        <v>1.8923000000000001</v>
      </c>
      <c r="E430" s="210">
        <f t="shared" si="12"/>
        <v>1.2035940323746502E-3</v>
      </c>
      <c r="F430" s="212">
        <v>13.17</v>
      </c>
      <c r="G430" s="210">
        <f t="shared" si="13"/>
        <v>8.3767549576568949E-3</v>
      </c>
    </row>
    <row r="431" spans="1:7">
      <c r="A431" s="126" t="s">
        <v>1174</v>
      </c>
      <c r="B431" s="209" t="s">
        <v>1175</v>
      </c>
      <c r="C431" s="210">
        <v>5.8824909296841573E-4</v>
      </c>
      <c r="D431" s="211">
        <v>2.028</v>
      </c>
      <c r="E431" s="210">
        <f t="shared" si="12"/>
        <v>1.1929691605399471E-3</v>
      </c>
      <c r="F431" s="212">
        <v>6.133</v>
      </c>
      <c r="G431" s="210">
        <f t="shared" si="13"/>
        <v>3.6077316871752935E-3</v>
      </c>
    </row>
    <row r="432" spans="1:7">
      <c r="A432" s="126" t="s">
        <v>986</v>
      </c>
      <c r="B432" s="209" t="s">
        <v>987</v>
      </c>
      <c r="C432" s="210">
        <v>4.592387669790891E-3</v>
      </c>
      <c r="D432" s="211">
        <v>6.1635999999999997</v>
      </c>
      <c r="E432" s="210">
        <f t="shared" si="12"/>
        <v>2.8305640641523133E-2</v>
      </c>
      <c r="F432" s="212">
        <v>7.8070000000000004</v>
      </c>
      <c r="G432" s="210">
        <f t="shared" si="13"/>
        <v>3.5852770538057487E-2</v>
      </c>
    </row>
    <row r="433" spans="1:7">
      <c r="A433" s="126" t="s">
        <v>988</v>
      </c>
      <c r="B433" s="209" t="s">
        <v>989</v>
      </c>
      <c r="C433" s="210">
        <v>5.0607018133362854E-3</v>
      </c>
      <c r="D433" s="211" t="s">
        <v>1193</v>
      </c>
      <c r="E433" s="210" t="str">
        <f t="shared" si="12"/>
        <v>n/a</v>
      </c>
      <c r="F433" s="212">
        <v>21.632999999999999</v>
      </c>
      <c r="G433" s="210">
        <f t="shared" si="13"/>
        <v>0.10947816232790386</v>
      </c>
    </row>
    <row r="434" spans="1:7">
      <c r="A434" s="126" t="s">
        <v>990</v>
      </c>
      <c r="B434" s="209" t="s">
        <v>991</v>
      </c>
      <c r="C434" s="210">
        <v>3.4031696685680638E-4</v>
      </c>
      <c r="D434" s="211">
        <v>1.6242999999999999</v>
      </c>
      <c r="E434" s="210">
        <f t="shared" si="12"/>
        <v>5.527768492655105E-4</v>
      </c>
      <c r="F434" s="212">
        <v>40</v>
      </c>
      <c r="G434" s="210">
        <f t="shared" si="13"/>
        <v>1.3612678674272256E-2</v>
      </c>
    </row>
    <row r="435" spans="1:7">
      <c r="A435" s="126" t="s">
        <v>992</v>
      </c>
      <c r="B435" s="209" t="s">
        <v>993</v>
      </c>
      <c r="C435" s="210">
        <v>1.7167919664729274E-3</v>
      </c>
      <c r="D435" s="211">
        <v>3.7320000000000002</v>
      </c>
      <c r="E435" s="210">
        <f t="shared" si="12"/>
        <v>6.4070676188769651E-3</v>
      </c>
      <c r="F435" s="212">
        <v>9.6929999999999996</v>
      </c>
      <c r="G435" s="210">
        <f t="shared" si="13"/>
        <v>1.6640864531022086E-2</v>
      </c>
    </row>
    <row r="436" spans="1:7">
      <c r="A436" s="126" t="s">
        <v>304</v>
      </c>
      <c r="B436" s="209" t="s">
        <v>994</v>
      </c>
      <c r="C436" s="210">
        <v>1.6115170971390402E-4</v>
      </c>
      <c r="D436" s="211" t="s">
        <v>1193</v>
      </c>
      <c r="E436" s="210" t="str">
        <f t="shared" si="12"/>
        <v>n/a</v>
      </c>
      <c r="F436" s="212">
        <v>27.23</v>
      </c>
      <c r="G436" s="210">
        <f t="shared" si="13"/>
        <v>4.3881610555096063E-3</v>
      </c>
    </row>
    <row r="437" spans="1:7">
      <c r="A437" s="126" t="s">
        <v>995</v>
      </c>
      <c r="B437" s="209" t="s">
        <v>996</v>
      </c>
      <c r="C437" s="210">
        <v>2.9147680127521424E-4</v>
      </c>
      <c r="D437" s="211">
        <v>5.1822999999999997</v>
      </c>
      <c r="E437" s="210">
        <f t="shared" si="12"/>
        <v>1.5105202272485427E-3</v>
      </c>
      <c r="F437" s="212">
        <v>8.8330000000000002</v>
      </c>
      <c r="G437" s="210">
        <f t="shared" si="13"/>
        <v>2.5746145856639677E-3</v>
      </c>
    </row>
    <row r="438" spans="1:7">
      <c r="A438" s="126" t="s">
        <v>997</v>
      </c>
      <c r="B438" s="209" t="s">
        <v>998</v>
      </c>
      <c r="C438" s="210">
        <v>2.149334759230665E-3</v>
      </c>
      <c r="D438" s="211">
        <v>1.3858999999999999</v>
      </c>
      <c r="E438" s="210">
        <f t="shared" si="12"/>
        <v>2.9787630428177786E-3</v>
      </c>
      <c r="F438" s="212">
        <v>12.167999999999999</v>
      </c>
      <c r="G438" s="210">
        <f t="shared" si="13"/>
        <v>2.6153105350318732E-2</v>
      </c>
    </row>
    <row r="439" spans="1:7">
      <c r="A439" s="126" t="s">
        <v>999</v>
      </c>
      <c r="B439" s="209" t="s">
        <v>1000</v>
      </c>
      <c r="C439" s="210">
        <v>1.7778855150449037E-3</v>
      </c>
      <c r="D439" s="211" t="s">
        <v>1193</v>
      </c>
      <c r="E439" s="210" t="str">
        <f t="shared" si="12"/>
        <v>n/a</v>
      </c>
      <c r="F439" s="212">
        <v>14.75</v>
      </c>
      <c r="G439" s="210">
        <f t="shared" si="13"/>
        <v>2.6223811346912332E-2</v>
      </c>
    </row>
    <row r="440" spans="1:7">
      <c r="A440" s="126" t="s">
        <v>1001</v>
      </c>
      <c r="B440" s="209" t="s">
        <v>1002</v>
      </c>
      <c r="C440" s="210">
        <v>7.4836416721278816E-4</v>
      </c>
      <c r="D440" s="211">
        <v>2.6377000000000002</v>
      </c>
      <c r="E440" s="210">
        <f t="shared" si="12"/>
        <v>1.9739601638571716E-3</v>
      </c>
      <c r="F440" s="212">
        <v>3.2</v>
      </c>
      <c r="G440" s="210">
        <f t="shared" si="13"/>
        <v>2.3947653350809223E-3</v>
      </c>
    </row>
    <row r="441" spans="1:7">
      <c r="A441" s="126" t="s">
        <v>1003</v>
      </c>
      <c r="B441" s="209" t="s">
        <v>1004</v>
      </c>
      <c r="C441" s="210">
        <v>4.1898785088916648E-4</v>
      </c>
      <c r="D441" s="211">
        <v>2.1541000000000001</v>
      </c>
      <c r="E441" s="210">
        <f t="shared" si="12"/>
        <v>9.0254172960035353E-4</v>
      </c>
      <c r="F441" s="212">
        <v>23.04</v>
      </c>
      <c r="G441" s="210">
        <f t="shared" si="13"/>
        <v>9.6534800844863961E-3</v>
      </c>
    </row>
    <row r="442" spans="1:7">
      <c r="A442" s="126" t="s">
        <v>1005</v>
      </c>
      <c r="B442" s="209" t="s">
        <v>1006</v>
      </c>
      <c r="C442" s="210">
        <v>1.0956113498465493E-3</v>
      </c>
      <c r="D442" s="211">
        <v>0.69940000000000002</v>
      </c>
      <c r="E442" s="210">
        <f t="shared" si="12"/>
        <v>7.6627057808267666E-4</v>
      </c>
      <c r="F442" s="212">
        <v>6.0229999999999997</v>
      </c>
      <c r="G442" s="210">
        <f t="shared" si="13"/>
        <v>6.5988671601257664E-3</v>
      </c>
    </row>
    <row r="443" spans="1:7">
      <c r="A443" s="126" t="s">
        <v>1007</v>
      </c>
      <c r="B443" s="209" t="s">
        <v>1008</v>
      </c>
      <c r="C443" s="210">
        <v>6.9309277014462664E-4</v>
      </c>
      <c r="D443" s="211" t="s">
        <v>1193</v>
      </c>
      <c r="E443" s="210" t="str">
        <f t="shared" si="12"/>
        <v>n/a</v>
      </c>
      <c r="F443" s="212">
        <v>7.8</v>
      </c>
      <c r="G443" s="210">
        <f t="shared" si="13"/>
        <v>5.4061236071280879E-3</v>
      </c>
    </row>
    <row r="444" spans="1:7">
      <c r="A444" s="126" t="s">
        <v>1009</v>
      </c>
      <c r="B444" s="209" t="s">
        <v>1010</v>
      </c>
      <c r="C444" s="210">
        <v>1.0589878921582089E-2</v>
      </c>
      <c r="D444" s="211">
        <v>0.48609999999999998</v>
      </c>
      <c r="E444" s="210">
        <f t="shared" si="12"/>
        <v>5.1477401437810535E-3</v>
      </c>
      <c r="F444" s="212">
        <v>17.143000000000001</v>
      </c>
      <c r="G444" s="210">
        <f t="shared" si="13"/>
        <v>0.18154229435268177</v>
      </c>
    </row>
    <row r="445" spans="1:7">
      <c r="A445" s="126" t="s">
        <v>1011</v>
      </c>
      <c r="B445" s="209" t="s">
        <v>1012</v>
      </c>
      <c r="C445" s="210">
        <v>5.6406176780556146E-4</v>
      </c>
      <c r="D445" s="211" t="s">
        <v>1193</v>
      </c>
      <c r="E445" s="210" t="str">
        <f t="shared" si="12"/>
        <v>n/a</v>
      </c>
      <c r="F445" s="212">
        <v>10.68</v>
      </c>
      <c r="G445" s="210">
        <f t="shared" si="13"/>
        <v>6.0241796801633963E-3</v>
      </c>
    </row>
    <row r="446" spans="1:7">
      <c r="A446" s="126" t="s">
        <v>1013</v>
      </c>
      <c r="B446" s="209" t="s">
        <v>1014</v>
      </c>
      <c r="C446" s="210">
        <v>2.0101593261991086E-3</v>
      </c>
      <c r="D446" s="211">
        <v>1.1921999999999999</v>
      </c>
      <c r="E446" s="210">
        <f t="shared" si="12"/>
        <v>2.3965119486945769E-3</v>
      </c>
      <c r="F446" s="212">
        <v>8.5869999999999997</v>
      </c>
      <c r="G446" s="210">
        <f t="shared" si="13"/>
        <v>1.7261238134071745E-2</v>
      </c>
    </row>
    <row r="447" spans="1:7">
      <c r="A447" s="126" t="s">
        <v>1015</v>
      </c>
      <c r="B447" s="209" t="s">
        <v>1016</v>
      </c>
      <c r="C447" s="210">
        <v>3.1659377863018402E-3</v>
      </c>
      <c r="D447" s="211">
        <v>1.0545</v>
      </c>
      <c r="E447" s="210">
        <f t="shared" si="12"/>
        <v>3.3384813956552906E-3</v>
      </c>
      <c r="F447" s="212">
        <v>8.9700000000000006</v>
      </c>
      <c r="G447" s="210">
        <f t="shared" si="13"/>
        <v>2.839846194312751E-2</v>
      </c>
    </row>
    <row r="448" spans="1:7">
      <c r="A448" s="126" t="s">
        <v>1017</v>
      </c>
      <c r="B448" s="209" t="s">
        <v>1018</v>
      </c>
      <c r="C448" s="210">
        <v>9.0577984074924074E-4</v>
      </c>
      <c r="D448" s="211" t="s">
        <v>1193</v>
      </c>
      <c r="E448" s="210" t="str">
        <f t="shared" si="12"/>
        <v>n/a</v>
      </c>
      <c r="F448" s="212">
        <v>21.864999999999998</v>
      </c>
      <c r="G448" s="210">
        <f t="shared" si="13"/>
        <v>1.9804876217982149E-2</v>
      </c>
    </row>
    <row r="449" spans="1:7">
      <c r="A449" s="126" t="s">
        <v>1019</v>
      </c>
      <c r="B449" s="209" t="s">
        <v>1020</v>
      </c>
      <c r="C449" s="210">
        <v>4.548272733142234E-4</v>
      </c>
      <c r="D449" s="211">
        <v>3.6791999999999998</v>
      </c>
      <c r="E449" s="210">
        <f t="shared" si="12"/>
        <v>1.6734005039776905E-3</v>
      </c>
      <c r="F449" s="212">
        <v>13.5</v>
      </c>
      <c r="G449" s="210">
        <f t="shared" si="13"/>
        <v>6.140168189742016E-3</v>
      </c>
    </row>
    <row r="450" spans="1:7">
      <c r="A450" s="126" t="s">
        <v>1021</v>
      </c>
      <c r="B450" s="209" t="s">
        <v>1022</v>
      </c>
      <c r="C450" s="210">
        <v>2.9900013922194414E-4</v>
      </c>
      <c r="D450" s="211">
        <v>1.9075</v>
      </c>
      <c r="E450" s="210">
        <f t="shared" si="12"/>
        <v>5.7034276556585848E-4</v>
      </c>
      <c r="F450" s="212" t="s">
        <v>1193</v>
      </c>
      <c r="G450" s="210" t="str">
        <f t="shared" si="13"/>
        <v>n/a</v>
      </c>
    </row>
    <row r="451" spans="1:7">
      <c r="A451" s="126" t="s">
        <v>1023</v>
      </c>
      <c r="B451" s="209" t="s">
        <v>1024</v>
      </c>
      <c r="C451" s="210">
        <v>3.8945323636401533E-4</v>
      </c>
      <c r="D451" s="211">
        <v>0.30299999999999999</v>
      </c>
      <c r="E451" s="210">
        <f t="shared" si="12"/>
        <v>1.1800433061829665E-4</v>
      </c>
      <c r="F451" s="212">
        <v>35.229999999999997</v>
      </c>
      <c r="G451" s="210">
        <f t="shared" si="13"/>
        <v>1.3720437517104259E-2</v>
      </c>
    </row>
    <row r="452" spans="1:7">
      <c r="A452" s="126" t="s">
        <v>1027</v>
      </c>
      <c r="B452" s="209" t="s">
        <v>1028</v>
      </c>
      <c r="C452" s="210">
        <v>6.1361787318322224E-4</v>
      </c>
      <c r="D452" s="211">
        <v>3.9191000000000003</v>
      </c>
      <c r="E452" s="210">
        <f t="shared" si="12"/>
        <v>2.4048298067923662E-3</v>
      </c>
      <c r="F452" s="212">
        <v>8.2100000000000009</v>
      </c>
      <c r="G452" s="210">
        <f t="shared" si="13"/>
        <v>5.0378027388342551E-3</v>
      </c>
    </row>
    <row r="453" spans="1:7">
      <c r="A453" s="126" t="s">
        <v>1025</v>
      </c>
      <c r="B453" s="209" t="s">
        <v>1026</v>
      </c>
      <c r="C453" s="210">
        <v>1.2298079926548529E-3</v>
      </c>
      <c r="D453" s="211" t="s">
        <v>1193</v>
      </c>
      <c r="E453" s="210" t="str">
        <f t="shared" si="12"/>
        <v>n/a</v>
      </c>
      <c r="F453" s="212">
        <v>14.3</v>
      </c>
      <c r="G453" s="210">
        <f t="shared" si="13"/>
        <v>1.7586254294964399E-2</v>
      </c>
    </row>
    <row r="454" spans="1:7">
      <c r="A454" s="126" t="s">
        <v>1029</v>
      </c>
      <c r="B454" s="209" t="s">
        <v>1030</v>
      </c>
      <c r="C454" s="210">
        <v>3.0750466536077039E-4</v>
      </c>
      <c r="D454" s="211">
        <v>0.97560000000000002</v>
      </c>
      <c r="E454" s="210">
        <f t="shared" si="12"/>
        <v>3.0000155152596757E-4</v>
      </c>
      <c r="F454" s="212">
        <v>12.867000000000001</v>
      </c>
      <c r="G454" s="210">
        <f t="shared" si="13"/>
        <v>3.9566625291970331E-3</v>
      </c>
    </row>
    <row r="455" spans="1:7">
      <c r="A455" s="126" t="s">
        <v>1031</v>
      </c>
      <c r="B455" s="209" t="s">
        <v>1032</v>
      </c>
      <c r="C455" s="210">
        <v>7.3664027184314434E-4</v>
      </c>
      <c r="D455" s="211">
        <v>1.0118</v>
      </c>
      <c r="E455" s="210">
        <f t="shared" si="12"/>
        <v>7.4533262705089344E-4</v>
      </c>
      <c r="F455" s="212">
        <v>21.16</v>
      </c>
      <c r="G455" s="210">
        <f t="shared" si="13"/>
        <v>1.5587308152200935E-2</v>
      </c>
    </row>
    <row r="456" spans="1:7">
      <c r="A456" s="126" t="s">
        <v>1033</v>
      </c>
      <c r="B456" s="209" t="s">
        <v>1034</v>
      </c>
      <c r="C456" s="210">
        <v>6.0926127284004282E-4</v>
      </c>
      <c r="D456" s="211">
        <v>2.8546</v>
      </c>
      <c r="E456" s="210">
        <f t="shared" si="12"/>
        <v>1.7391972294491863E-3</v>
      </c>
      <c r="F456" s="212">
        <v>7.62</v>
      </c>
      <c r="G456" s="210">
        <f t="shared" si="13"/>
        <v>4.6425708990411266E-3</v>
      </c>
    </row>
    <row r="457" spans="1:7">
      <c r="A457" s="126" t="s">
        <v>1035</v>
      </c>
      <c r="B457" s="209" t="s">
        <v>1036</v>
      </c>
      <c r="C457" s="210">
        <v>1.6360258177089355E-4</v>
      </c>
      <c r="D457" s="211" t="s">
        <v>1193</v>
      </c>
      <c r="E457" s="210" t="str">
        <f t="shared" si="12"/>
        <v>n/a</v>
      </c>
      <c r="F457" s="212">
        <v>12.567</v>
      </c>
      <c r="G457" s="210">
        <f t="shared" si="13"/>
        <v>2.0559936451148195E-3</v>
      </c>
    </row>
    <row r="458" spans="1:7">
      <c r="A458" s="126" t="s">
        <v>1037</v>
      </c>
      <c r="B458" s="209" t="s">
        <v>1038</v>
      </c>
      <c r="C458" s="210">
        <v>4.1757142374686956E-4</v>
      </c>
      <c r="D458" s="211">
        <v>2.4390000000000001</v>
      </c>
      <c r="E458" s="210">
        <f t="shared" si="12"/>
        <v>1.0184567025186149E-3</v>
      </c>
      <c r="F458" s="212">
        <v>19.8</v>
      </c>
      <c r="G458" s="210">
        <f t="shared" si="13"/>
        <v>8.2679141901880176E-3</v>
      </c>
    </row>
    <row r="459" spans="1:7">
      <c r="A459" s="126" t="s">
        <v>1039</v>
      </c>
      <c r="B459" s="209" t="s">
        <v>1040</v>
      </c>
      <c r="C459" s="210">
        <v>3.3065439641909156E-4</v>
      </c>
      <c r="D459" s="211">
        <v>3.3292000000000002</v>
      </c>
      <c r="E459" s="210">
        <f t="shared" si="12"/>
        <v>1.1008146165584396E-3</v>
      </c>
      <c r="F459" s="212">
        <v>3.36</v>
      </c>
      <c r="G459" s="210">
        <f t="shared" si="13"/>
        <v>1.1109987719681476E-3</v>
      </c>
    </row>
    <row r="460" spans="1:7">
      <c r="A460" s="126" t="s">
        <v>1343</v>
      </c>
      <c r="B460" s="209" t="s">
        <v>1344</v>
      </c>
      <c r="C460" s="210">
        <v>4.8010396392531799E-4</v>
      </c>
      <c r="D460" s="211">
        <v>1.5836000000000001</v>
      </c>
      <c r="E460" s="210">
        <f t="shared" si="12"/>
        <v>7.6029263727213359E-4</v>
      </c>
      <c r="F460" s="212">
        <v>10</v>
      </c>
      <c r="G460" s="210">
        <f t="shared" si="13"/>
        <v>4.8010396392531799E-3</v>
      </c>
    </row>
    <row r="461" spans="1:7">
      <c r="A461" s="126" t="s">
        <v>967</v>
      </c>
      <c r="B461" s="209" t="s">
        <v>1041</v>
      </c>
      <c r="C461" s="210">
        <v>1.6459815648534677E-2</v>
      </c>
      <c r="D461" s="211" t="s">
        <v>1193</v>
      </c>
      <c r="E461" s="210" t="str">
        <f t="shared" si="12"/>
        <v>n/a</v>
      </c>
      <c r="F461" s="212">
        <v>12.868</v>
      </c>
      <c r="G461" s="210">
        <f t="shared" si="13"/>
        <v>0.21180490776534422</v>
      </c>
    </row>
    <row r="462" spans="1:7">
      <c r="A462" s="126" t="s">
        <v>1044</v>
      </c>
      <c r="B462" s="209" t="s">
        <v>1045</v>
      </c>
      <c r="C462" s="210">
        <v>5.7236177425934313E-4</v>
      </c>
      <c r="D462" s="211">
        <v>2.0199999999999999E-2</v>
      </c>
      <c r="E462" s="210">
        <f t="shared" si="12"/>
        <v>1.1561707840038731E-5</v>
      </c>
      <c r="F462" s="212">
        <v>6.82</v>
      </c>
      <c r="G462" s="210">
        <f t="shared" si="13"/>
        <v>3.9035073004487202E-3</v>
      </c>
    </row>
    <row r="463" spans="1:7">
      <c r="A463" s="126" t="s">
        <v>1042</v>
      </c>
      <c r="B463" s="209" t="s">
        <v>1043</v>
      </c>
      <c r="C463" s="210">
        <v>1.2168531469673814E-3</v>
      </c>
      <c r="D463" s="211">
        <v>1.9746999999999999</v>
      </c>
      <c r="E463" s="210">
        <f t="shared" si="12"/>
        <v>2.4029199093164879E-3</v>
      </c>
      <c r="F463" s="212">
        <v>9.2080000000000002</v>
      </c>
      <c r="G463" s="210">
        <f t="shared" si="13"/>
        <v>1.1204783777275648E-2</v>
      </c>
    </row>
    <row r="464" spans="1:7">
      <c r="A464" s="126" t="s">
        <v>1046</v>
      </c>
      <c r="B464" s="209" t="s">
        <v>1047</v>
      </c>
      <c r="C464" s="210">
        <v>1.0031910302765192E-3</v>
      </c>
      <c r="D464" s="211">
        <v>2.1703999999999999</v>
      </c>
      <c r="E464" s="210">
        <f t="shared" si="12"/>
        <v>2.177325812112157E-3</v>
      </c>
      <c r="F464" s="212">
        <v>8.6999999999999993</v>
      </c>
      <c r="G464" s="210">
        <f t="shared" si="13"/>
        <v>8.7277619634057169E-3</v>
      </c>
    </row>
    <row r="465" spans="1:7">
      <c r="A465" s="126" t="s">
        <v>1048</v>
      </c>
      <c r="B465" s="209" t="s">
        <v>1049</v>
      </c>
      <c r="C465" s="210">
        <v>1.9021168834472746E-4</v>
      </c>
      <c r="D465" s="211" t="s">
        <v>1193</v>
      </c>
      <c r="E465" s="210" t="str">
        <f t="shared" si="12"/>
        <v>n/a</v>
      </c>
      <c r="F465" s="212">
        <v>14.278</v>
      </c>
      <c r="G465" s="210">
        <f t="shared" si="13"/>
        <v>2.715842486186019E-3</v>
      </c>
    </row>
    <row r="466" spans="1:7">
      <c r="A466" s="126" t="s">
        <v>1050</v>
      </c>
      <c r="B466" s="209" t="s">
        <v>1051</v>
      </c>
      <c r="C466" s="210">
        <v>1.1547791931663082E-2</v>
      </c>
      <c r="D466" s="211">
        <v>0.58140000000000003</v>
      </c>
      <c r="E466" s="210">
        <f t="shared" si="12"/>
        <v>6.7138862290689163E-3</v>
      </c>
      <c r="F466" s="212">
        <v>15.587999999999999</v>
      </c>
      <c r="G466" s="210">
        <f t="shared" si="13"/>
        <v>0.18000698063076412</v>
      </c>
    </row>
    <row r="467" spans="1:7">
      <c r="A467" s="126" t="s">
        <v>1052</v>
      </c>
      <c r="B467" s="209" t="s">
        <v>1053</v>
      </c>
      <c r="C467" s="210">
        <v>5.7638067229319489E-4</v>
      </c>
      <c r="D467" s="211">
        <v>2.9535999999999998</v>
      </c>
      <c r="E467" s="210">
        <f t="shared" si="12"/>
        <v>1.7023979536851803E-3</v>
      </c>
      <c r="F467" s="212" t="s">
        <v>1193</v>
      </c>
      <c r="G467" s="210" t="str">
        <f t="shared" si="13"/>
        <v>n/a</v>
      </c>
    </row>
    <row r="468" spans="1:7">
      <c r="A468" s="126" t="s">
        <v>1054</v>
      </c>
      <c r="B468" s="209" t="s">
        <v>1055</v>
      </c>
      <c r="C468" s="210">
        <v>5.5721763403081335E-4</v>
      </c>
      <c r="D468" s="211">
        <v>1.2057</v>
      </c>
      <c r="E468" s="210">
        <f t="shared" si="12"/>
        <v>6.7183730135095168E-4</v>
      </c>
      <c r="F468" s="212">
        <v>14.067</v>
      </c>
      <c r="G468" s="210">
        <f t="shared" si="13"/>
        <v>7.8383804579114508E-3</v>
      </c>
    </row>
    <row r="469" spans="1:7">
      <c r="A469" s="126" t="s">
        <v>1056</v>
      </c>
      <c r="B469" s="209" t="s">
        <v>1057</v>
      </c>
      <c r="C469" s="210">
        <v>1.554686693271092E-3</v>
      </c>
      <c r="D469" s="211">
        <v>3.4897</v>
      </c>
      <c r="E469" s="210">
        <f t="shared" si="12"/>
        <v>5.4253901535081302E-3</v>
      </c>
      <c r="F469" s="212">
        <v>10.233000000000001</v>
      </c>
      <c r="G469" s="210">
        <f t="shared" si="13"/>
        <v>1.5909108932243086E-2</v>
      </c>
    </row>
    <row r="470" spans="1:7">
      <c r="A470" s="126" t="s">
        <v>1058</v>
      </c>
      <c r="B470" s="209" t="s">
        <v>1059</v>
      </c>
      <c r="C470" s="210">
        <v>4.1930860565124283E-4</v>
      </c>
      <c r="D470" s="211">
        <v>1.548</v>
      </c>
      <c r="E470" s="210">
        <f t="shared" si="12"/>
        <v>6.4908972154812392E-4</v>
      </c>
      <c r="F470" s="212">
        <v>10.82</v>
      </c>
      <c r="G470" s="210">
        <f t="shared" si="13"/>
        <v>4.5369191131464474E-3</v>
      </c>
    </row>
    <row r="471" spans="1:7">
      <c r="A471" s="126" t="s">
        <v>1060</v>
      </c>
      <c r="B471" s="209" t="s">
        <v>1061</v>
      </c>
      <c r="C471" s="210">
        <v>1.2233667040530678E-3</v>
      </c>
      <c r="D471" s="211" t="s">
        <v>1193</v>
      </c>
      <c r="E471" s="210" t="str">
        <f t="shared" si="12"/>
        <v>n/a</v>
      </c>
      <c r="F471" s="212">
        <v>20.033000000000001</v>
      </c>
      <c r="G471" s="210">
        <f t="shared" si="13"/>
        <v>2.4507705182295111E-2</v>
      </c>
    </row>
    <row r="472" spans="1:7">
      <c r="A472" s="126" t="s">
        <v>1062</v>
      </c>
      <c r="B472" s="209" t="s">
        <v>1063</v>
      </c>
      <c r="C472" s="210">
        <v>7.5460002997454543E-4</v>
      </c>
      <c r="D472" s="211">
        <v>1.1546000000000001</v>
      </c>
      <c r="E472" s="210">
        <f t="shared" si="12"/>
        <v>8.7126119460861017E-4</v>
      </c>
      <c r="F472" s="212">
        <v>11.367000000000001</v>
      </c>
      <c r="G472" s="210">
        <f t="shared" si="13"/>
        <v>8.5775385407206584E-3</v>
      </c>
    </row>
    <row r="473" spans="1:7">
      <c r="A473" s="126" t="s">
        <v>1064</v>
      </c>
      <c r="B473" s="209" t="s">
        <v>1065</v>
      </c>
      <c r="C473" s="210">
        <v>6.7386596671627566E-4</v>
      </c>
      <c r="D473" s="211" t="s">
        <v>1193</v>
      </c>
      <c r="E473" s="210" t="str">
        <f t="shared" si="12"/>
        <v>n/a</v>
      </c>
      <c r="F473" s="212">
        <v>13.472</v>
      </c>
      <c r="G473" s="210">
        <f t="shared" si="13"/>
        <v>9.0783223036016662E-3</v>
      </c>
    </row>
    <row r="474" spans="1:7">
      <c r="A474" s="126" t="s">
        <v>1066</v>
      </c>
      <c r="B474" s="209" t="s">
        <v>1067</v>
      </c>
      <c r="C474" s="210">
        <v>7.1546387188691515E-4</v>
      </c>
      <c r="D474" s="211" t="s">
        <v>1193</v>
      </c>
      <c r="E474" s="210" t="str">
        <f t="shared" si="12"/>
        <v>n/a</v>
      </c>
      <c r="F474" s="212" t="s">
        <v>1193</v>
      </c>
      <c r="G474" s="210" t="str">
        <f t="shared" si="13"/>
        <v>n/a</v>
      </c>
    </row>
    <row r="475" spans="1:7">
      <c r="A475" s="126" t="s">
        <v>1068</v>
      </c>
      <c r="B475" s="209" t="s">
        <v>1069</v>
      </c>
      <c r="C475" s="210">
        <v>2.8642998139857714E-4</v>
      </c>
      <c r="D475" s="211">
        <v>2.1145</v>
      </c>
      <c r="E475" s="210">
        <f t="shared" si="12"/>
        <v>6.0565619566729139E-4</v>
      </c>
      <c r="F475" s="212">
        <v>8.9160000000000004</v>
      </c>
      <c r="G475" s="210">
        <f t="shared" si="13"/>
        <v>2.553809714149714E-3</v>
      </c>
    </row>
    <row r="476" spans="1:7">
      <c r="A476" s="126" t="s">
        <v>1070</v>
      </c>
      <c r="B476" s="209" t="s">
        <v>1071</v>
      </c>
      <c r="C476" s="210">
        <v>5.1023286373294682E-4</v>
      </c>
      <c r="D476" s="211" t="s">
        <v>1193</v>
      </c>
      <c r="E476" s="210" t="str">
        <f t="shared" si="12"/>
        <v>n/a</v>
      </c>
      <c r="F476" s="212">
        <v>16.5</v>
      </c>
      <c r="G476" s="210">
        <f t="shared" si="13"/>
        <v>8.418842251593622E-3</v>
      </c>
    </row>
    <row r="477" spans="1:7">
      <c r="A477" s="126" t="s">
        <v>1072</v>
      </c>
      <c r="B477" s="209" t="s">
        <v>1073</v>
      </c>
      <c r="C477" s="210">
        <v>8.3462865216159796E-4</v>
      </c>
      <c r="D477" s="211">
        <v>2.3879000000000001</v>
      </c>
      <c r="E477" s="210">
        <f t="shared" si="12"/>
        <v>1.99300975849668E-3</v>
      </c>
      <c r="F477" s="212">
        <v>8.33</v>
      </c>
      <c r="G477" s="210">
        <f t="shared" si="13"/>
        <v>6.9524566725061108E-3</v>
      </c>
    </row>
    <row r="478" spans="1:7">
      <c r="A478" s="126" t="s">
        <v>1074</v>
      </c>
      <c r="B478" s="209" t="s">
        <v>1075</v>
      </c>
      <c r="C478" s="210">
        <v>9.4859472022571683E-4</v>
      </c>
      <c r="D478" s="211">
        <v>3.5524</v>
      </c>
      <c r="E478" s="210">
        <f t="shared" si="12"/>
        <v>3.3697878841298366E-3</v>
      </c>
      <c r="F478" s="212">
        <v>5.0069999999999997</v>
      </c>
      <c r="G478" s="210">
        <f t="shared" si="13"/>
        <v>4.7496137641701635E-3</v>
      </c>
    </row>
    <row r="479" spans="1:7">
      <c r="A479" s="126" t="s">
        <v>1076</v>
      </c>
      <c r="B479" s="209" t="s">
        <v>1077</v>
      </c>
      <c r="C479" s="210">
        <v>5.523370144848033E-4</v>
      </c>
      <c r="D479" s="211">
        <v>4.6848999999999998</v>
      </c>
      <c r="E479" s="210">
        <f t="shared" ref="E479:E533" si="14">IFERROR($D479*$C479,"n/a")</f>
        <v>2.5876436791598548E-3</v>
      </c>
      <c r="F479" s="212">
        <v>1.2549999999999999</v>
      </c>
      <c r="G479" s="210">
        <f t="shared" ref="G479:G533" si="15">IFERROR($F479*$C479,"n/a")</f>
        <v>6.9318295317842809E-4</v>
      </c>
    </row>
    <row r="480" spans="1:7">
      <c r="A480" s="126" t="s">
        <v>1078</v>
      </c>
      <c r="B480" s="209" t="s">
        <v>1079</v>
      </c>
      <c r="C480" s="210">
        <v>3.6464344764751075E-4</v>
      </c>
      <c r="D480" s="211">
        <v>4.9931000000000001</v>
      </c>
      <c r="E480" s="210">
        <f t="shared" si="14"/>
        <v>1.8207011984487859E-3</v>
      </c>
      <c r="F480" s="212">
        <v>1.8</v>
      </c>
      <c r="G480" s="210">
        <f t="shared" si="15"/>
        <v>6.5635820576551932E-4</v>
      </c>
    </row>
    <row r="481" spans="1:7">
      <c r="A481" s="126" t="s">
        <v>1080</v>
      </c>
      <c r="B481" s="209" t="s">
        <v>1081</v>
      </c>
      <c r="C481" s="210">
        <v>1.0425282929605942E-3</v>
      </c>
      <c r="D481" s="211" t="s">
        <v>1193</v>
      </c>
      <c r="E481" s="210" t="str">
        <f t="shared" si="14"/>
        <v>n/a</v>
      </c>
      <c r="F481" s="212">
        <v>12.733000000000001</v>
      </c>
      <c r="G481" s="210">
        <f t="shared" si="15"/>
        <v>1.3274512754267246E-2</v>
      </c>
    </row>
    <row r="482" spans="1:7">
      <c r="A482" s="126" t="s">
        <v>1345</v>
      </c>
      <c r="B482" s="209" t="s">
        <v>1346</v>
      </c>
      <c r="C482" s="210">
        <v>5.3550961110020937E-4</v>
      </c>
      <c r="D482" s="211">
        <v>0.66800000000000004</v>
      </c>
      <c r="E482" s="210">
        <f t="shared" si="14"/>
        <v>3.577204202149399E-4</v>
      </c>
      <c r="F482" s="212">
        <v>76</v>
      </c>
      <c r="G482" s="210">
        <f t="shared" si="15"/>
        <v>4.069873044361591E-2</v>
      </c>
    </row>
    <row r="483" spans="1:7">
      <c r="A483" s="126" t="s">
        <v>1082</v>
      </c>
      <c r="B483" s="209" t="s">
        <v>1083</v>
      </c>
      <c r="C483" s="210">
        <v>6.8627064765578675E-4</v>
      </c>
      <c r="D483" s="211">
        <v>3.3534999999999999</v>
      </c>
      <c r="E483" s="210">
        <f t="shared" si="14"/>
        <v>2.3014086169136807E-3</v>
      </c>
      <c r="F483" s="212">
        <v>3.073</v>
      </c>
      <c r="G483" s="210">
        <f t="shared" si="15"/>
        <v>2.1089097002462325E-3</v>
      </c>
    </row>
    <row r="484" spans="1:7">
      <c r="A484" s="126" t="s">
        <v>1084</v>
      </c>
      <c r="B484" s="209" t="s">
        <v>1085</v>
      </c>
      <c r="C484" s="210">
        <v>7.4517391467361907E-3</v>
      </c>
      <c r="D484" s="211">
        <v>2.7862999999999998</v>
      </c>
      <c r="E484" s="210">
        <f t="shared" si="14"/>
        <v>2.0762780784551047E-2</v>
      </c>
      <c r="F484" s="212">
        <v>5.5869999999999997</v>
      </c>
      <c r="G484" s="210">
        <f t="shared" si="15"/>
        <v>4.1632866612815095E-2</v>
      </c>
    </row>
    <row r="485" spans="1:7">
      <c r="A485" s="126" t="s">
        <v>1086</v>
      </c>
      <c r="B485" s="209" t="s">
        <v>1087</v>
      </c>
      <c r="C485" s="210">
        <v>5.6986287521076863E-4</v>
      </c>
      <c r="D485" s="211">
        <v>0.83420000000000005</v>
      </c>
      <c r="E485" s="210">
        <f t="shared" si="14"/>
        <v>4.7537961050082324E-4</v>
      </c>
      <c r="F485" s="212">
        <v>17.36</v>
      </c>
      <c r="G485" s="210">
        <f t="shared" si="15"/>
        <v>9.8928195136589424E-3</v>
      </c>
    </row>
    <row r="486" spans="1:7">
      <c r="A486" s="126" t="s">
        <v>1088</v>
      </c>
      <c r="B486" s="209" t="s">
        <v>1089</v>
      </c>
      <c r="C486" s="210">
        <v>1.2411003071259436E-4</v>
      </c>
      <c r="D486" s="211" t="s">
        <v>1193</v>
      </c>
      <c r="E486" s="210" t="str">
        <f t="shared" si="14"/>
        <v>n/a</v>
      </c>
      <c r="F486" s="212">
        <v>-8.6</v>
      </c>
      <c r="G486" s="210">
        <f t="shared" si="15"/>
        <v>-1.0673462641283115E-3</v>
      </c>
    </row>
    <row r="487" spans="1:7">
      <c r="A487" s="126" t="s">
        <v>1090</v>
      </c>
      <c r="B487" s="209" t="s">
        <v>1091</v>
      </c>
      <c r="C487" s="210">
        <v>6.1029088570564087E-4</v>
      </c>
      <c r="D487" s="211">
        <v>3.3155000000000001</v>
      </c>
      <c r="E487" s="210">
        <f t="shared" si="14"/>
        <v>2.0234194315570525E-3</v>
      </c>
      <c r="F487" s="212">
        <v>6.95</v>
      </c>
      <c r="G487" s="210">
        <f t="shared" si="15"/>
        <v>4.2415216556542044E-3</v>
      </c>
    </row>
    <row r="488" spans="1:7">
      <c r="A488" s="126" t="s">
        <v>1092</v>
      </c>
      <c r="B488" s="209" t="s">
        <v>1093</v>
      </c>
      <c r="C488" s="210">
        <v>7.2272771868999786E-4</v>
      </c>
      <c r="D488" s="211">
        <v>1.2095</v>
      </c>
      <c r="E488" s="210">
        <f t="shared" si="14"/>
        <v>8.7413917575555238E-4</v>
      </c>
      <c r="F488" s="212">
        <v>8.2200000000000006</v>
      </c>
      <c r="G488" s="210">
        <f t="shared" si="15"/>
        <v>5.9408218476317831E-3</v>
      </c>
    </row>
    <row r="489" spans="1:7">
      <c r="A489" s="126" t="s">
        <v>1094</v>
      </c>
      <c r="B489" s="209" t="s">
        <v>1095</v>
      </c>
      <c r="C489" s="210">
        <v>4.7730587084989943E-4</v>
      </c>
      <c r="D489" s="211">
        <v>2.5316000000000001</v>
      </c>
      <c r="E489" s="210">
        <f t="shared" si="14"/>
        <v>1.2083475426436054E-3</v>
      </c>
      <c r="F489" s="212">
        <v>4.74</v>
      </c>
      <c r="G489" s="210">
        <f t="shared" si="15"/>
        <v>2.2624298278285234E-3</v>
      </c>
    </row>
    <row r="490" spans="1:7">
      <c r="A490" s="126" t="s">
        <v>1096</v>
      </c>
      <c r="B490" s="209" t="s">
        <v>1097</v>
      </c>
      <c r="C490" s="210">
        <v>3.966804252911866E-4</v>
      </c>
      <c r="D490" s="211">
        <v>3.0851000000000002</v>
      </c>
      <c r="E490" s="210">
        <f t="shared" si="14"/>
        <v>1.2237987800658399E-3</v>
      </c>
      <c r="F490" s="212">
        <v>5.7069999999999999</v>
      </c>
      <c r="G490" s="210">
        <f t="shared" si="15"/>
        <v>2.2638551871368021E-3</v>
      </c>
    </row>
    <row r="491" spans="1:7">
      <c r="A491" s="126" t="s">
        <v>1098</v>
      </c>
      <c r="B491" s="209" t="s">
        <v>1099</v>
      </c>
      <c r="C491" s="210">
        <v>5.6188436951280535E-4</v>
      </c>
      <c r="D491" s="211">
        <v>1.8759000000000001</v>
      </c>
      <c r="E491" s="210">
        <f t="shared" si="14"/>
        <v>1.0540388887690716E-3</v>
      </c>
      <c r="F491" s="212">
        <v>13.807</v>
      </c>
      <c r="G491" s="210">
        <f t="shared" si="15"/>
        <v>7.7579374898633039E-3</v>
      </c>
    </row>
    <row r="492" spans="1:7">
      <c r="A492" s="126" t="s">
        <v>1103</v>
      </c>
      <c r="B492" s="209" t="s">
        <v>1104</v>
      </c>
      <c r="C492" s="210">
        <v>4.5925377548684831E-4</v>
      </c>
      <c r="D492" s="211">
        <v>0.93989999999999996</v>
      </c>
      <c r="E492" s="210">
        <f t="shared" si="14"/>
        <v>4.316526235800887E-4</v>
      </c>
      <c r="F492" s="212">
        <v>12.032999999999999</v>
      </c>
      <c r="G492" s="210">
        <f t="shared" si="15"/>
        <v>5.5262006804332455E-3</v>
      </c>
    </row>
    <row r="493" spans="1:7">
      <c r="A493" s="126" t="s">
        <v>1105</v>
      </c>
      <c r="B493" s="209" t="s">
        <v>1106</v>
      </c>
      <c r="C493" s="210">
        <v>1.30121623187092E-3</v>
      </c>
      <c r="D493" s="211">
        <v>1.9903999999999999</v>
      </c>
      <c r="E493" s="210">
        <f t="shared" si="14"/>
        <v>2.589940787915879E-3</v>
      </c>
      <c r="F493" s="212">
        <v>16.3</v>
      </c>
      <c r="G493" s="210">
        <f t="shared" si="15"/>
        <v>2.1209824579495998E-2</v>
      </c>
    </row>
    <row r="494" spans="1:7">
      <c r="A494" s="126" t="s">
        <v>1107</v>
      </c>
      <c r="B494" s="209" t="s">
        <v>1108</v>
      </c>
      <c r="C494" s="210">
        <v>3.4800171545782419E-4</v>
      </c>
      <c r="D494" s="211" t="s">
        <v>1193</v>
      </c>
      <c r="E494" s="210" t="str">
        <f t="shared" si="14"/>
        <v>n/a</v>
      </c>
      <c r="F494" s="212">
        <v>5.2770000000000001</v>
      </c>
      <c r="G494" s="210">
        <f t="shared" si="15"/>
        <v>1.8364050524709383E-3</v>
      </c>
    </row>
    <row r="495" spans="1:7">
      <c r="A495" s="126" t="s">
        <v>1109</v>
      </c>
      <c r="B495" s="209" t="s">
        <v>1110</v>
      </c>
      <c r="C495" s="210">
        <v>2.469380087867022E-4</v>
      </c>
      <c r="D495" s="211">
        <v>1.9048</v>
      </c>
      <c r="E495" s="210">
        <f t="shared" si="14"/>
        <v>4.7036751913691034E-4</v>
      </c>
      <c r="F495" s="212">
        <v>6.5730000000000004</v>
      </c>
      <c r="G495" s="210">
        <f t="shared" si="15"/>
        <v>1.6231235317549937E-3</v>
      </c>
    </row>
    <row r="496" spans="1:7">
      <c r="A496" s="126" t="s">
        <v>1111</v>
      </c>
      <c r="B496" s="209" t="s">
        <v>1112</v>
      </c>
      <c r="C496" s="210">
        <v>1.6928448295254988E-3</v>
      </c>
      <c r="D496" s="211" t="s">
        <v>1193</v>
      </c>
      <c r="E496" s="210" t="str">
        <f t="shared" si="14"/>
        <v>n/a</v>
      </c>
      <c r="F496" s="212">
        <v>24.6</v>
      </c>
      <c r="G496" s="210">
        <f t="shared" si="15"/>
        <v>4.1643982806327272E-2</v>
      </c>
    </row>
    <row r="497" spans="1:7">
      <c r="A497" s="126" t="s">
        <v>1347</v>
      </c>
      <c r="B497" s="209" t="s">
        <v>1348</v>
      </c>
      <c r="C497" s="210">
        <v>6.1210518369264545E-4</v>
      </c>
      <c r="D497" s="211">
        <v>4.9230999999999998</v>
      </c>
      <c r="E497" s="210">
        <f t="shared" si="14"/>
        <v>3.0134550298372628E-3</v>
      </c>
      <c r="F497" s="212">
        <v>6.55</v>
      </c>
      <c r="G497" s="210">
        <f t="shared" si="15"/>
        <v>4.0092889531868278E-3</v>
      </c>
    </row>
    <row r="498" spans="1:7">
      <c r="A498" s="126" t="s">
        <v>1113</v>
      </c>
      <c r="B498" s="209" t="s">
        <v>1114</v>
      </c>
      <c r="C498" s="210">
        <v>1.6654092666123541E-2</v>
      </c>
      <c r="D498" s="211" t="s">
        <v>1193</v>
      </c>
      <c r="E498" s="210" t="str">
        <f t="shared" si="14"/>
        <v>n/a</v>
      </c>
      <c r="F498" s="212">
        <v>19.366</v>
      </c>
      <c r="G498" s="210">
        <f t="shared" si="15"/>
        <v>0.32252315857214847</v>
      </c>
    </row>
    <row r="499" spans="1:7">
      <c r="A499" s="126" t="s">
        <v>1349</v>
      </c>
      <c r="B499" s="209" t="s">
        <v>1350</v>
      </c>
      <c r="C499" s="210">
        <v>2.6164429341131775E-3</v>
      </c>
      <c r="D499" s="211" t="s">
        <v>1193</v>
      </c>
      <c r="E499" s="210" t="str">
        <f t="shared" si="14"/>
        <v>n/a</v>
      </c>
      <c r="F499" s="212">
        <v>11.266999999999999</v>
      </c>
      <c r="G499" s="210">
        <f t="shared" si="15"/>
        <v>2.9479462538653169E-2</v>
      </c>
    </row>
    <row r="500" spans="1:7">
      <c r="A500" s="126" t="s">
        <v>1115</v>
      </c>
      <c r="B500" s="209" t="s">
        <v>1116</v>
      </c>
      <c r="C500" s="210">
        <v>3.7387528230933815E-4</v>
      </c>
      <c r="D500" s="211" t="s">
        <v>1193</v>
      </c>
      <c r="E500" s="210" t="str">
        <f t="shared" si="14"/>
        <v>n/a</v>
      </c>
      <c r="F500" s="212">
        <v>12</v>
      </c>
      <c r="G500" s="210">
        <f t="shared" si="15"/>
        <v>4.486503387712058E-3</v>
      </c>
    </row>
    <row r="501" spans="1:7">
      <c r="A501" s="126" t="s">
        <v>1119</v>
      </c>
      <c r="B501" s="209" t="s">
        <v>1120</v>
      </c>
      <c r="C501" s="210">
        <v>3.1379608774607633E-4</v>
      </c>
      <c r="D501" s="211" t="s">
        <v>1193</v>
      </c>
      <c r="E501" s="210" t="str">
        <f t="shared" si="14"/>
        <v>n/a</v>
      </c>
      <c r="F501" s="212">
        <v>24</v>
      </c>
      <c r="G501" s="210">
        <f t="shared" si="15"/>
        <v>7.5311061059058319E-3</v>
      </c>
    </row>
    <row r="502" spans="1:7">
      <c r="A502" s="126" t="s">
        <v>1117</v>
      </c>
      <c r="B502" s="209" t="s">
        <v>1118</v>
      </c>
      <c r="C502" s="210">
        <v>6.7916563687616673E-4</v>
      </c>
      <c r="D502" s="211">
        <v>2.5967000000000002</v>
      </c>
      <c r="E502" s="210">
        <f t="shared" si="14"/>
        <v>1.7635894092763423E-3</v>
      </c>
      <c r="F502" s="212">
        <v>4.7699999999999996</v>
      </c>
      <c r="G502" s="210">
        <f t="shared" si="15"/>
        <v>3.2396200878993149E-3</v>
      </c>
    </row>
    <row r="503" spans="1:7">
      <c r="A503" s="126" t="s">
        <v>1121</v>
      </c>
      <c r="B503" s="209" t="s">
        <v>1122</v>
      </c>
      <c r="C503" s="210">
        <v>1.4558959101883045E-3</v>
      </c>
      <c r="D503" s="211">
        <v>2.7951000000000001</v>
      </c>
      <c r="E503" s="210">
        <f t="shared" si="14"/>
        <v>4.0693746585673297E-3</v>
      </c>
      <c r="F503" s="212">
        <v>13.83</v>
      </c>
      <c r="G503" s="210">
        <f t="shared" si="15"/>
        <v>2.0135040437904251E-2</v>
      </c>
    </row>
    <row r="504" spans="1:7">
      <c r="A504" s="126" t="s">
        <v>1351</v>
      </c>
      <c r="B504" s="209" t="s">
        <v>1123</v>
      </c>
      <c r="C504" s="210">
        <v>8.8300101707969357E-4</v>
      </c>
      <c r="D504" s="211" t="s">
        <v>1193</v>
      </c>
      <c r="E504" s="210" t="str">
        <f t="shared" si="14"/>
        <v>n/a</v>
      </c>
      <c r="F504" s="212">
        <v>12.795</v>
      </c>
      <c r="G504" s="210">
        <f t="shared" si="15"/>
        <v>1.1297998013534679E-2</v>
      </c>
    </row>
    <row r="505" spans="1:7">
      <c r="A505" s="126" t="s">
        <v>1124</v>
      </c>
      <c r="B505" s="209" t="s">
        <v>1125</v>
      </c>
      <c r="C505" s="210">
        <v>1.109354057057129E-4</v>
      </c>
      <c r="D505" s="211">
        <v>1.3991</v>
      </c>
      <c r="E505" s="210">
        <f t="shared" si="14"/>
        <v>1.5520972612286291E-4</v>
      </c>
      <c r="F505" s="212">
        <v>-14.23</v>
      </c>
      <c r="G505" s="210">
        <f t="shared" si="15"/>
        <v>-1.5786108231922945E-3</v>
      </c>
    </row>
    <row r="506" spans="1:7">
      <c r="A506" s="126" t="s">
        <v>1126</v>
      </c>
      <c r="B506" s="209" t="s">
        <v>1127</v>
      </c>
      <c r="C506" s="210">
        <v>6.9555664636141616E-4</v>
      </c>
      <c r="D506" s="211" t="s">
        <v>1193</v>
      </c>
      <c r="E506" s="210" t="str">
        <f t="shared" si="14"/>
        <v>n/a</v>
      </c>
      <c r="F506" s="212">
        <v>15</v>
      </c>
      <c r="G506" s="210">
        <f t="shared" si="15"/>
        <v>1.0433349695421243E-2</v>
      </c>
    </row>
    <row r="507" spans="1:7">
      <c r="A507" s="126" t="s">
        <v>1128</v>
      </c>
      <c r="B507" s="209" t="s">
        <v>1129</v>
      </c>
      <c r="C507" s="210">
        <v>1.7347800105567244E-4</v>
      </c>
      <c r="D507" s="211">
        <v>9.4967000000000006</v>
      </c>
      <c r="E507" s="210">
        <f t="shared" si="14"/>
        <v>1.6474685326254045E-3</v>
      </c>
      <c r="F507" s="212">
        <v>-0.313</v>
      </c>
      <c r="G507" s="210">
        <f t="shared" si="15"/>
        <v>-5.4298614330425473E-5</v>
      </c>
    </row>
    <row r="508" spans="1:7">
      <c r="A508" s="126" t="s">
        <v>1130</v>
      </c>
      <c r="B508" s="209" t="s">
        <v>1131</v>
      </c>
      <c r="C508" s="210">
        <v>6.6532239077892494E-4</v>
      </c>
      <c r="D508" s="211">
        <v>0.80259999999999998</v>
      </c>
      <c r="E508" s="210">
        <f t="shared" si="14"/>
        <v>5.3398775083916513E-4</v>
      </c>
      <c r="F508" s="212">
        <v>15.993</v>
      </c>
      <c r="G508" s="210">
        <f t="shared" si="15"/>
        <v>1.0640500995727347E-2</v>
      </c>
    </row>
    <row r="509" spans="1:7">
      <c r="A509" s="126" t="s">
        <v>1132</v>
      </c>
      <c r="B509" s="209" t="s">
        <v>1133</v>
      </c>
      <c r="C509" s="210">
        <v>4.7384310881824123E-3</v>
      </c>
      <c r="D509" s="211" t="s">
        <v>1193</v>
      </c>
      <c r="E509" s="210" t="str">
        <f t="shared" si="14"/>
        <v>n/a</v>
      </c>
      <c r="F509" s="212">
        <v>19.584</v>
      </c>
      <c r="G509" s="210">
        <f t="shared" si="15"/>
        <v>9.279743443096436E-2</v>
      </c>
    </row>
    <row r="510" spans="1:7">
      <c r="A510" s="126" t="s">
        <v>1134</v>
      </c>
      <c r="B510" s="209" t="s">
        <v>1135</v>
      </c>
      <c r="C510" s="210">
        <v>3.0816426416412844E-4</v>
      </c>
      <c r="D510" s="211">
        <v>4.7573999999999996</v>
      </c>
      <c r="E510" s="210">
        <f t="shared" si="14"/>
        <v>1.4660606703344246E-3</v>
      </c>
      <c r="F510" s="212">
        <v>7.03</v>
      </c>
      <c r="G510" s="210">
        <f t="shared" si="15"/>
        <v>2.1663947770738231E-3</v>
      </c>
    </row>
    <row r="511" spans="1:7">
      <c r="A511" s="126" t="s">
        <v>1136</v>
      </c>
      <c r="B511" s="209" t="s">
        <v>1137</v>
      </c>
      <c r="C511" s="210">
        <v>3.3702499132626544E-4</v>
      </c>
      <c r="D511" s="211" t="s">
        <v>1193</v>
      </c>
      <c r="E511" s="210" t="str">
        <f t="shared" si="14"/>
        <v>n/a</v>
      </c>
      <c r="F511" s="212">
        <v>-8.61</v>
      </c>
      <c r="G511" s="210">
        <f t="shared" si="15"/>
        <v>-2.9017851753191451E-3</v>
      </c>
    </row>
    <row r="512" spans="1:7">
      <c r="A512" s="126" t="s">
        <v>1352</v>
      </c>
      <c r="B512" s="209" t="s">
        <v>1353</v>
      </c>
      <c r="C512" s="210">
        <v>1.3766889536534974E-3</v>
      </c>
      <c r="D512" s="211">
        <v>5.8761999999999999</v>
      </c>
      <c r="E512" s="210">
        <f t="shared" si="14"/>
        <v>8.0896996294586802E-3</v>
      </c>
      <c r="F512" s="212">
        <v>14.41</v>
      </c>
      <c r="G512" s="210">
        <f t="shared" si="15"/>
        <v>1.9838087822146896E-2</v>
      </c>
    </row>
    <row r="513" spans="1:7">
      <c r="A513" s="126" t="s">
        <v>1138</v>
      </c>
      <c r="B513" s="209" t="s">
        <v>1139</v>
      </c>
      <c r="C513" s="210">
        <v>8.5370576780553233E-4</v>
      </c>
      <c r="D513" s="211" t="s">
        <v>1193</v>
      </c>
      <c r="E513" s="210" t="str">
        <f t="shared" si="14"/>
        <v>n/a</v>
      </c>
      <c r="F513" s="212">
        <v>14.7</v>
      </c>
      <c r="G513" s="210">
        <f t="shared" si="15"/>
        <v>1.2549474786741325E-2</v>
      </c>
    </row>
    <row r="514" spans="1:7">
      <c r="A514" s="126" t="s">
        <v>1140</v>
      </c>
      <c r="B514" s="209" t="s">
        <v>1141</v>
      </c>
      <c r="C514" s="210">
        <v>4.2141480372002592E-4</v>
      </c>
      <c r="D514" s="211">
        <v>2.1046</v>
      </c>
      <c r="E514" s="210">
        <f t="shared" si="14"/>
        <v>8.8690959590916659E-4</v>
      </c>
      <c r="F514" s="212">
        <v>10</v>
      </c>
      <c r="G514" s="210">
        <f t="shared" si="15"/>
        <v>4.2141480372002594E-3</v>
      </c>
    </row>
    <row r="515" spans="1:7">
      <c r="A515" s="126" t="s">
        <v>1142</v>
      </c>
      <c r="B515" s="209" t="s">
        <v>1143</v>
      </c>
      <c r="C515" s="210">
        <v>5.0689326394636879E-4</v>
      </c>
      <c r="D515" s="211" t="s">
        <v>1193</v>
      </c>
      <c r="E515" s="210" t="str">
        <f t="shared" si="14"/>
        <v>n/a</v>
      </c>
      <c r="F515" s="212">
        <v>15.83</v>
      </c>
      <c r="G515" s="210">
        <f t="shared" si="15"/>
        <v>8.0241203682710188E-3</v>
      </c>
    </row>
    <row r="516" spans="1:7">
      <c r="A516" s="126" t="s">
        <v>1124</v>
      </c>
      <c r="B516" s="209" t="s">
        <v>1144</v>
      </c>
      <c r="C516" s="210">
        <v>2.0868303763313818E-4</v>
      </c>
      <c r="D516" s="211">
        <v>1.4368000000000001</v>
      </c>
      <c r="E516" s="210">
        <f t="shared" si="14"/>
        <v>2.9983578847129295E-4</v>
      </c>
      <c r="F516" s="212">
        <v>-14.23</v>
      </c>
      <c r="G516" s="210">
        <f t="shared" si="15"/>
        <v>-2.9695596255195564E-3</v>
      </c>
    </row>
    <row r="517" spans="1:7">
      <c r="A517" s="126" t="s">
        <v>582</v>
      </c>
      <c r="B517" s="209" t="s">
        <v>583</v>
      </c>
      <c r="C517" s="210">
        <v>1.8215768147148189E-3</v>
      </c>
      <c r="D517" s="211">
        <v>3.0013999999999998</v>
      </c>
      <c r="E517" s="210">
        <f t="shared" si="14"/>
        <v>5.4672806516850572E-3</v>
      </c>
      <c r="F517" s="212">
        <v>2.7279999999999998</v>
      </c>
      <c r="G517" s="210">
        <f t="shared" si="15"/>
        <v>4.969261550542026E-3</v>
      </c>
    </row>
    <row r="518" spans="1:7">
      <c r="A518" s="126" t="s">
        <v>1145</v>
      </c>
      <c r="B518" s="209" t="s">
        <v>1146</v>
      </c>
      <c r="C518" s="210">
        <v>1.8546401156987957E-3</v>
      </c>
      <c r="D518" s="211">
        <v>2.52E-2</v>
      </c>
      <c r="E518" s="210">
        <f t="shared" si="14"/>
        <v>4.6736930915609648E-5</v>
      </c>
      <c r="F518" s="212">
        <v>17.132999999999999</v>
      </c>
      <c r="G518" s="210">
        <f t="shared" si="15"/>
        <v>3.1775549102267465E-2</v>
      </c>
    </row>
    <row r="519" spans="1:7">
      <c r="A519" s="126" t="s">
        <v>1147</v>
      </c>
      <c r="B519" s="209" t="s">
        <v>1148</v>
      </c>
      <c r="C519" s="210">
        <v>2.2466930080816796E-3</v>
      </c>
      <c r="D519" s="211">
        <v>3.2372000000000001</v>
      </c>
      <c r="E519" s="210">
        <f t="shared" si="14"/>
        <v>7.2729946057620131E-3</v>
      </c>
      <c r="F519" s="212">
        <v>17.067</v>
      </c>
      <c r="G519" s="210">
        <f t="shared" si="15"/>
        <v>3.8344309568930028E-2</v>
      </c>
    </row>
    <row r="520" spans="1:7">
      <c r="A520" s="126" t="s">
        <v>1149</v>
      </c>
      <c r="B520" s="209" t="s">
        <v>1150</v>
      </c>
      <c r="C520" s="210">
        <v>8.7063930794540972E-4</v>
      </c>
      <c r="D520" s="211">
        <v>1.0065999999999999</v>
      </c>
      <c r="E520" s="210">
        <f t="shared" si="14"/>
        <v>8.7638552737784932E-4</v>
      </c>
      <c r="F520" s="212">
        <v>5.9950000000000001</v>
      </c>
      <c r="G520" s="210">
        <f t="shared" si="15"/>
        <v>5.2194826511327312E-3</v>
      </c>
    </row>
    <row r="521" spans="1:7">
      <c r="A521" s="126" t="s">
        <v>1151</v>
      </c>
      <c r="B521" s="209" t="s">
        <v>1152</v>
      </c>
      <c r="C521" s="210">
        <v>4.5900228346421664E-4</v>
      </c>
      <c r="D521" s="211">
        <v>0.14510000000000001</v>
      </c>
      <c r="E521" s="210">
        <f t="shared" si="14"/>
        <v>6.6601231330657844E-5</v>
      </c>
      <c r="F521" s="212">
        <v>15.313000000000001</v>
      </c>
      <c r="G521" s="210">
        <f t="shared" si="15"/>
        <v>7.0287019666875495E-3</v>
      </c>
    </row>
    <row r="522" spans="1:7">
      <c r="A522" s="126" t="s">
        <v>1176</v>
      </c>
      <c r="B522" s="209" t="s">
        <v>1177</v>
      </c>
      <c r="C522" s="210">
        <v>1.9539514519707594E-4</v>
      </c>
      <c r="D522" s="211" t="s">
        <v>1193</v>
      </c>
      <c r="E522" s="210" t="str">
        <f t="shared" si="14"/>
        <v>n/a</v>
      </c>
      <c r="F522" s="212">
        <v>5.516</v>
      </c>
      <c r="G522" s="210">
        <f t="shared" si="15"/>
        <v>1.0777996209070709E-3</v>
      </c>
    </row>
    <row r="523" spans="1:7">
      <c r="A523" s="126" t="s">
        <v>1153</v>
      </c>
      <c r="B523" s="209" t="s">
        <v>1154</v>
      </c>
      <c r="C523" s="210">
        <v>5.6174072509405438E-4</v>
      </c>
      <c r="D523" s="211" t="s">
        <v>1193</v>
      </c>
      <c r="E523" s="210" t="str">
        <f t="shared" si="14"/>
        <v>n/a</v>
      </c>
      <c r="F523" s="212">
        <v>20.507999999999999</v>
      </c>
      <c r="G523" s="210">
        <f t="shared" si="15"/>
        <v>1.1520178790228867E-2</v>
      </c>
    </row>
    <row r="524" spans="1:7">
      <c r="A524" s="126" t="s">
        <v>1155</v>
      </c>
      <c r="B524" s="209" t="s">
        <v>1156</v>
      </c>
      <c r="C524" s="210">
        <v>1.7384624168203381E-3</v>
      </c>
      <c r="D524" s="211" t="s">
        <v>1193</v>
      </c>
      <c r="E524" s="210" t="str">
        <f t="shared" si="14"/>
        <v>n/a</v>
      </c>
      <c r="F524" s="212">
        <v>16.143000000000001</v>
      </c>
      <c r="G524" s="210">
        <f t="shared" si="15"/>
        <v>2.8063998794730718E-2</v>
      </c>
    </row>
    <row r="525" spans="1:7">
      <c r="A525" s="126" t="s">
        <v>1157</v>
      </c>
      <c r="B525" s="209" t="s">
        <v>1158</v>
      </c>
      <c r="C525" s="210">
        <v>2.5451591118033694E-4</v>
      </c>
      <c r="D525" s="211">
        <v>1.9668000000000001</v>
      </c>
      <c r="E525" s="210">
        <f t="shared" si="14"/>
        <v>5.005818941094867E-4</v>
      </c>
      <c r="F525" s="212">
        <v>9.1329999999999991</v>
      </c>
      <c r="G525" s="210">
        <f t="shared" si="15"/>
        <v>2.3244938168100172E-3</v>
      </c>
    </row>
    <row r="526" spans="1:7">
      <c r="A526" s="126" t="s">
        <v>1159</v>
      </c>
      <c r="B526" s="209" t="s">
        <v>1160</v>
      </c>
      <c r="C526" s="210">
        <v>3.7680836837530147E-4</v>
      </c>
      <c r="D526" s="211" t="s">
        <v>1193</v>
      </c>
      <c r="E526" s="210" t="str">
        <f t="shared" si="14"/>
        <v>n/a</v>
      </c>
      <c r="F526" s="212">
        <v>13.5</v>
      </c>
      <c r="G526" s="210">
        <f t="shared" si="15"/>
        <v>5.0869129730665699E-3</v>
      </c>
    </row>
    <row r="527" spans="1:7">
      <c r="A527" s="126" t="s">
        <v>1161</v>
      </c>
      <c r="B527" s="209" t="s">
        <v>1162</v>
      </c>
      <c r="C527" s="210">
        <v>2.9381317281696275E-4</v>
      </c>
      <c r="D527" s="211">
        <v>6.5881999999999996</v>
      </c>
      <c r="E527" s="210">
        <f t="shared" si="14"/>
        <v>1.9356999451527138E-3</v>
      </c>
      <c r="F527" s="212">
        <v>12</v>
      </c>
      <c r="G527" s="210">
        <f t="shared" si="15"/>
        <v>3.525758073803553E-3</v>
      </c>
    </row>
    <row r="528" spans="1:7">
      <c r="A528" s="126" t="s">
        <v>1163</v>
      </c>
      <c r="B528" s="209" t="s">
        <v>1164</v>
      </c>
      <c r="C528" s="210">
        <v>6.2586264089830158E-4</v>
      </c>
      <c r="D528" s="211">
        <v>2.6922000000000001</v>
      </c>
      <c r="E528" s="210">
        <f t="shared" si="14"/>
        <v>1.6849474018264077E-3</v>
      </c>
      <c r="F528" s="212">
        <v>6.66</v>
      </c>
      <c r="G528" s="210">
        <f t="shared" si="15"/>
        <v>4.1682451883826889E-3</v>
      </c>
    </row>
    <row r="529" spans="1:7">
      <c r="A529" s="126" t="s">
        <v>1165</v>
      </c>
      <c r="B529" s="209" t="s">
        <v>1166</v>
      </c>
      <c r="C529" s="210">
        <v>1.8907767600682304E-4</v>
      </c>
      <c r="D529" s="211">
        <v>1.6688000000000001</v>
      </c>
      <c r="E529" s="210">
        <f t="shared" si="14"/>
        <v>3.1553282572018628E-4</v>
      </c>
      <c r="F529" s="212">
        <v>26.164999999999999</v>
      </c>
      <c r="G529" s="210">
        <f t="shared" si="15"/>
        <v>4.9472173927185246E-3</v>
      </c>
    </row>
    <row r="530" spans="1:7">
      <c r="A530" s="126" t="s">
        <v>1167</v>
      </c>
      <c r="B530" s="209" t="s">
        <v>1168</v>
      </c>
      <c r="C530" s="210">
        <v>2.3129674447062926E-3</v>
      </c>
      <c r="D530" s="211">
        <v>0.52649999999999997</v>
      </c>
      <c r="E530" s="210">
        <f t="shared" si="14"/>
        <v>1.2177773596378631E-3</v>
      </c>
      <c r="F530" s="212">
        <v>10.23</v>
      </c>
      <c r="G530" s="210">
        <f t="shared" si="15"/>
        <v>2.3661656959345374E-2</v>
      </c>
    </row>
    <row r="531" spans="1:7">
      <c r="A531" s="126" t="s">
        <v>1171</v>
      </c>
      <c r="B531" s="209" t="s">
        <v>1172</v>
      </c>
      <c r="C531" s="210">
        <v>1.901860283369526E-3</v>
      </c>
      <c r="D531" s="211">
        <v>1.706</v>
      </c>
      <c r="E531" s="210">
        <f t="shared" si="14"/>
        <v>3.2445736434284114E-3</v>
      </c>
      <c r="F531" s="212">
        <v>19.242999999999999</v>
      </c>
      <c r="G531" s="210">
        <f t="shared" si="15"/>
        <v>3.6597497432879787E-2</v>
      </c>
    </row>
    <row r="532" spans="1:7">
      <c r="A532" s="126" t="s">
        <v>1169</v>
      </c>
      <c r="B532" s="209" t="s">
        <v>1170</v>
      </c>
      <c r="C532" s="210">
        <v>1.0513498882092469E-3</v>
      </c>
      <c r="D532" s="211">
        <v>3.3279000000000001</v>
      </c>
      <c r="E532" s="210">
        <f t="shared" si="14"/>
        <v>3.4987872929715526E-3</v>
      </c>
      <c r="F532" s="212">
        <v>17.196999999999999</v>
      </c>
      <c r="G532" s="210">
        <f t="shared" si="15"/>
        <v>1.8080064027534416E-2</v>
      </c>
    </row>
    <row r="533" spans="1:7" ht="13.5" thickBot="1">
      <c r="A533" s="145" t="s">
        <v>1035</v>
      </c>
      <c r="B533" s="216" t="s">
        <v>1173</v>
      </c>
      <c r="C533" s="217">
        <v>3.5705976389956097E-4</v>
      </c>
      <c r="D533" s="218" t="s">
        <v>1193</v>
      </c>
      <c r="E533" s="217" t="str">
        <f t="shared" si="14"/>
        <v>n/a</v>
      </c>
      <c r="F533" s="219">
        <v>12.567</v>
      </c>
      <c r="G533" s="217">
        <f t="shared" si="15"/>
        <v>4.4871700529257831E-3</v>
      </c>
    </row>
    <row r="534" spans="1:7">
      <c r="A534" s="126"/>
      <c r="B534" s="209"/>
      <c r="C534" s="210"/>
      <c r="D534" s="210"/>
      <c r="E534" s="210"/>
      <c r="F534" s="210"/>
      <c r="G534" s="210"/>
    </row>
    <row r="535" spans="1:7">
      <c r="A535" s="126"/>
      <c r="B535" s="209"/>
      <c r="C535" s="210"/>
      <c r="D535" s="210"/>
      <c r="E535" s="210"/>
      <c r="F535" s="210"/>
      <c r="G535" s="210"/>
    </row>
    <row r="536" spans="1:7">
      <c r="A536" s="213" t="s">
        <v>23</v>
      </c>
      <c r="B536" s="209"/>
      <c r="C536" s="210"/>
      <c r="D536" s="210"/>
      <c r="E536" s="210"/>
      <c r="F536" s="210"/>
      <c r="G536" s="210"/>
    </row>
    <row r="537" spans="1:7">
      <c r="A537" s="348" t="s">
        <v>1536</v>
      </c>
      <c r="B537" s="209"/>
      <c r="C537" s="210"/>
      <c r="D537" s="210"/>
      <c r="E537" s="210"/>
      <c r="F537" s="210"/>
      <c r="G537" s="210"/>
    </row>
    <row r="538" spans="1:7">
      <c r="A538" s="348" t="s">
        <v>1537</v>
      </c>
      <c r="B538" s="209"/>
      <c r="C538" s="210"/>
      <c r="D538" s="210"/>
      <c r="E538" s="210"/>
      <c r="F538" s="210"/>
      <c r="G538" s="210"/>
    </row>
    <row r="539" spans="1:7">
      <c r="A539" s="348" t="s">
        <v>1354</v>
      </c>
      <c r="B539" s="209"/>
      <c r="C539" s="210"/>
      <c r="D539" s="210"/>
      <c r="E539" s="210"/>
      <c r="F539" s="210"/>
      <c r="G539" s="210"/>
    </row>
    <row r="540" spans="1:7">
      <c r="A540" s="197" t="s">
        <v>1538</v>
      </c>
      <c r="E540" s="126"/>
    </row>
    <row r="541" spans="1:7">
      <c r="A541" s="197" t="s">
        <v>1539</v>
      </c>
    </row>
    <row r="542" spans="1:7">
      <c r="A542" s="197" t="s">
        <v>1540</v>
      </c>
    </row>
    <row r="543" spans="1:7">
      <c r="A543" s="197" t="s">
        <v>1541</v>
      </c>
    </row>
    <row r="544" spans="1:7">
      <c r="A544" s="197" t="s">
        <v>1542</v>
      </c>
    </row>
    <row r="545" spans="1:1">
      <c r="A545" s="197" t="s">
        <v>1543</v>
      </c>
    </row>
    <row r="546" spans="1:1">
      <c r="A546" s="197" t="s">
        <v>1544</v>
      </c>
    </row>
    <row r="547" spans="1:1">
      <c r="A547" s="197" t="s">
        <v>1545</v>
      </c>
    </row>
  </sheetData>
  <mergeCells count="2">
    <mergeCell ref="A11:G11"/>
    <mergeCell ref="A2:G2"/>
  </mergeCells>
  <printOptions horizontalCentered="1"/>
  <pageMargins left="0.7" right="0.7" top="1" bottom="0.75" header="0.3" footer="0.3"/>
  <pageSetup scale="60" firstPageNumber="7" fitToHeight="6" orientation="portrait" useFirstPageNumber="1" r:id="rId1"/>
  <headerFooter>
    <oddHeader>&amp;RDocket No. UE-19____
PacifiCorp
Exhibit No. AEB-8
Page &amp;P of 13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R139"/>
  <sheetViews>
    <sheetView topLeftCell="B1" zoomScale="85" zoomScaleNormal="85" workbookViewId="0"/>
  </sheetViews>
  <sheetFormatPr defaultColWidth="9" defaultRowHeight="12.75"/>
  <cols>
    <col min="1" max="1" width="2.28515625" style="27" customWidth="1"/>
    <col min="2" max="2" width="9.85546875" style="27" customWidth="1"/>
    <col min="3" max="3" width="9.85546875" style="27" bestFit="1" customWidth="1"/>
    <col min="4" max="4" width="9.85546875" style="27" customWidth="1"/>
    <col min="5" max="5" width="11" style="27" customWidth="1"/>
    <col min="6" max="6" width="9" style="27"/>
    <col min="7" max="7" width="40.28515625" style="27" customWidth="1"/>
    <col min="8" max="8" width="12.5703125" style="27" bestFit="1" customWidth="1"/>
    <col min="9" max="9" width="13.85546875" style="27" bestFit="1" customWidth="1"/>
    <col min="10" max="10" width="11.85546875" style="27" bestFit="1" customWidth="1"/>
    <col min="11" max="11" width="13.7109375" style="27" bestFit="1" customWidth="1"/>
    <col min="12" max="12" width="13.85546875" style="27" bestFit="1" customWidth="1"/>
    <col min="13" max="13" width="11" style="27" bestFit="1" customWidth="1"/>
    <col min="14" max="15" width="12.28515625" style="27" bestFit="1" customWidth="1"/>
    <col min="16" max="16" width="3.28515625" style="27" customWidth="1"/>
    <col min="17" max="16384" width="9" style="27"/>
  </cols>
  <sheetData>
    <row r="1" spans="2:18" ht="12.75" customHeight="1">
      <c r="B1" s="72"/>
      <c r="C1" s="72"/>
      <c r="D1" s="72"/>
      <c r="E1" s="72"/>
    </row>
    <row r="2" spans="2:18" ht="12.75" customHeight="1">
      <c r="B2" s="395" t="s">
        <v>1204</v>
      </c>
      <c r="C2" s="395"/>
      <c r="D2" s="395"/>
      <c r="E2" s="395"/>
    </row>
    <row r="4" spans="2:18" ht="13.5" thickBot="1">
      <c r="C4" s="30" t="s">
        <v>4</v>
      </c>
      <c r="D4" s="30" t="s">
        <v>5</v>
      </c>
      <c r="E4" s="30" t="s">
        <v>6</v>
      </c>
    </row>
    <row r="5" spans="2:18" ht="51">
      <c r="B5" s="73"/>
      <c r="C5" s="74" t="s">
        <v>1361</v>
      </c>
      <c r="D5" s="74" t="s">
        <v>82</v>
      </c>
      <c r="E5" s="74" t="s">
        <v>28</v>
      </c>
    </row>
    <row r="6" spans="2:18">
      <c r="B6" s="29" t="s">
        <v>89</v>
      </c>
      <c r="C6" s="75">
        <v>0.12380999999999998</v>
      </c>
      <c r="D6" s="76">
        <v>7.8020624999999968E-2</v>
      </c>
      <c r="E6" s="75">
        <f>C6-D6</f>
        <v>4.5789375000000007E-2</v>
      </c>
      <c r="Q6" s="77"/>
      <c r="R6" s="28"/>
    </row>
    <row r="7" spans="2:18">
      <c r="B7" s="29" t="s">
        <v>90</v>
      </c>
      <c r="C7" s="75">
        <v>0.11827500000000002</v>
      </c>
      <c r="D7" s="75">
        <v>7.8934374999999987E-2</v>
      </c>
      <c r="E7" s="75">
        <f t="shared" ref="E7:E70" si="0">C7-D7</f>
        <v>3.9340625000000032E-2</v>
      </c>
      <c r="Q7" s="77"/>
      <c r="R7" s="28"/>
    </row>
    <row r="8" spans="2:18">
      <c r="B8" s="29" t="s">
        <v>91</v>
      </c>
      <c r="C8" s="75">
        <v>0.1203125</v>
      </c>
      <c r="D8" s="75">
        <v>7.4454461538461553E-2</v>
      </c>
      <c r="E8" s="75">
        <f t="shared" si="0"/>
        <v>4.585803846153845E-2</v>
      </c>
      <c r="Q8" s="77"/>
      <c r="R8" s="28"/>
    </row>
    <row r="9" spans="2:18">
      <c r="B9" s="29" t="s">
        <v>92</v>
      </c>
      <c r="C9" s="75">
        <v>0.12140666666666666</v>
      </c>
      <c r="D9" s="75">
        <v>7.5184696969696943E-2</v>
      </c>
      <c r="E9" s="75">
        <f t="shared" si="0"/>
        <v>4.622196969696972E-2</v>
      </c>
      <c r="Q9" s="77"/>
      <c r="R9" s="28"/>
    </row>
    <row r="10" spans="2:18">
      <c r="B10" s="29" t="s">
        <v>93</v>
      </c>
      <c r="C10" s="75">
        <v>0.11835714285714286</v>
      </c>
      <c r="D10" s="75">
        <v>7.0683968253968263E-2</v>
      </c>
      <c r="E10" s="75">
        <f t="shared" si="0"/>
        <v>4.7673174603174592E-2</v>
      </c>
      <c r="Q10" s="77"/>
      <c r="R10" s="28"/>
    </row>
    <row r="11" spans="2:18">
      <c r="B11" s="29" t="s">
        <v>94</v>
      </c>
      <c r="C11" s="75">
        <v>0.11641111111111109</v>
      </c>
      <c r="D11" s="75">
        <v>6.8553230769230741E-2</v>
      </c>
      <c r="E11" s="75">
        <f t="shared" si="0"/>
        <v>4.7857880341880349E-2</v>
      </c>
      <c r="Q11" s="77"/>
      <c r="R11" s="28"/>
    </row>
    <row r="12" spans="2:18">
      <c r="B12" s="30" t="s">
        <v>95</v>
      </c>
      <c r="C12" s="75">
        <v>0.11151666666666667</v>
      </c>
      <c r="D12" s="75">
        <v>6.3142727272727309E-2</v>
      </c>
      <c r="E12" s="75">
        <f t="shared" si="0"/>
        <v>4.8373939393939358E-2</v>
      </c>
      <c r="Q12" s="77"/>
      <c r="R12" s="28"/>
    </row>
    <row r="13" spans="2:18">
      <c r="B13" s="30" t="s">
        <v>96</v>
      </c>
      <c r="C13" s="75">
        <v>0.11041666666666666</v>
      </c>
      <c r="D13" s="75">
        <v>6.1389999999999986E-2</v>
      </c>
      <c r="E13" s="75">
        <f t="shared" si="0"/>
        <v>4.9026666666666677E-2</v>
      </c>
      <c r="Q13" s="77"/>
      <c r="R13" s="28"/>
    </row>
    <row r="14" spans="2:18">
      <c r="B14" s="30" t="s">
        <v>97</v>
      </c>
      <c r="C14" s="75">
        <v>0.11067</v>
      </c>
      <c r="D14" s="75">
        <v>6.5745156249999992E-2</v>
      </c>
      <c r="E14" s="75">
        <f t="shared" si="0"/>
        <v>4.4924843750000013E-2</v>
      </c>
      <c r="Q14" s="77"/>
      <c r="R14" s="28"/>
    </row>
    <row r="15" spans="2:18">
      <c r="B15" s="30" t="s">
        <v>98</v>
      </c>
      <c r="C15" s="75">
        <v>0.1113</v>
      </c>
      <c r="D15" s="75">
        <v>7.3526307692307669E-2</v>
      </c>
      <c r="E15" s="75">
        <f t="shared" si="0"/>
        <v>3.7773692307692328E-2</v>
      </c>
      <c r="Q15" s="77"/>
      <c r="R15" s="28"/>
    </row>
    <row r="16" spans="2:18">
      <c r="B16" s="30" t="s">
        <v>99</v>
      </c>
      <c r="C16" s="75">
        <v>0.1275</v>
      </c>
      <c r="D16" s="75">
        <v>7.5847727272727289E-2</v>
      </c>
      <c r="E16" s="75">
        <f t="shared" si="0"/>
        <v>5.1652272727272713E-2</v>
      </c>
      <c r="Q16" s="77"/>
      <c r="R16" s="28"/>
    </row>
    <row r="17" spans="2:18">
      <c r="B17" s="30" t="s">
        <v>100</v>
      </c>
      <c r="C17" s="75">
        <v>0.11238333333333335</v>
      </c>
      <c r="D17" s="75">
        <v>7.9568461538461532E-2</v>
      </c>
      <c r="E17" s="75">
        <f t="shared" si="0"/>
        <v>3.2814871794871817E-2</v>
      </c>
      <c r="Q17" s="77"/>
      <c r="R17" s="28"/>
    </row>
    <row r="18" spans="2:18">
      <c r="B18" s="30">
        <v>1995.1</v>
      </c>
      <c r="C18" s="75">
        <v>0.1196125</v>
      </c>
      <c r="D18" s="75">
        <v>7.6257230769230799E-2</v>
      </c>
      <c r="E18" s="75">
        <f t="shared" si="0"/>
        <v>4.3355269230769197E-2</v>
      </c>
      <c r="Q18" s="77"/>
      <c r="R18" s="28"/>
    </row>
    <row r="19" spans="2:18">
      <c r="B19" s="30" t="s">
        <v>101</v>
      </c>
      <c r="C19" s="75">
        <v>0.1131625</v>
      </c>
      <c r="D19" s="75">
        <v>6.9425846153846171E-2</v>
      </c>
      <c r="E19" s="75">
        <f t="shared" si="0"/>
        <v>4.3736653846153828E-2</v>
      </c>
      <c r="Q19" s="77"/>
      <c r="R19" s="28"/>
    </row>
    <row r="20" spans="2:18">
      <c r="B20" s="30" t="s">
        <v>102</v>
      </c>
      <c r="C20" s="75">
        <v>0.1137</v>
      </c>
      <c r="D20" s="75">
        <v>6.7118615384615374E-2</v>
      </c>
      <c r="E20" s="75">
        <f t="shared" si="0"/>
        <v>4.6581384615384622E-2</v>
      </c>
      <c r="Q20" s="77"/>
      <c r="R20" s="28"/>
    </row>
    <row r="21" spans="2:18">
      <c r="B21" s="30" t="s">
        <v>103</v>
      </c>
      <c r="C21" s="75">
        <v>0.11584285714285715</v>
      </c>
      <c r="D21" s="75">
        <v>6.2348153846153817E-2</v>
      </c>
      <c r="E21" s="75">
        <f t="shared" si="0"/>
        <v>5.3494703296703333E-2</v>
      </c>
      <c r="Q21" s="77"/>
      <c r="R21" s="28"/>
    </row>
    <row r="22" spans="2:18">
      <c r="B22" s="30" t="s">
        <v>104</v>
      </c>
      <c r="C22" s="75">
        <v>0.11460000000000001</v>
      </c>
      <c r="D22" s="75">
        <v>6.2925692307692321E-2</v>
      </c>
      <c r="E22" s="75">
        <f t="shared" si="0"/>
        <v>5.1674307692307686E-2</v>
      </c>
      <c r="Q22" s="77"/>
      <c r="R22" s="28"/>
    </row>
    <row r="23" spans="2:18">
      <c r="B23" s="30" t="s">
        <v>105</v>
      </c>
      <c r="C23" s="75">
        <v>0.11458888888888891</v>
      </c>
      <c r="D23" s="75">
        <v>6.9183230769230789E-2</v>
      </c>
      <c r="E23" s="75">
        <f t="shared" si="0"/>
        <v>4.5405658119658118E-2</v>
      </c>
      <c r="Q23" s="77"/>
      <c r="R23" s="28"/>
    </row>
    <row r="24" spans="2:18">
      <c r="B24" s="30" t="s">
        <v>106</v>
      </c>
      <c r="C24" s="75">
        <v>0.10700000000000001</v>
      </c>
      <c r="D24" s="75">
        <v>6.9644696969696968E-2</v>
      </c>
      <c r="E24" s="75">
        <f t="shared" si="0"/>
        <v>3.7355303030303044E-2</v>
      </c>
      <c r="R24" s="28"/>
    </row>
    <row r="25" spans="2:18">
      <c r="B25" s="30" t="s">
        <v>107</v>
      </c>
      <c r="C25" s="75">
        <v>0.11559999999999999</v>
      </c>
      <c r="D25" s="75">
        <v>6.6189999999999999E-2</v>
      </c>
      <c r="E25" s="75">
        <f t="shared" si="0"/>
        <v>4.9409999999999996E-2</v>
      </c>
      <c r="G25" t="s">
        <v>30</v>
      </c>
      <c r="H25"/>
      <c r="I25"/>
      <c r="J25"/>
      <c r="K25"/>
      <c r="L25"/>
      <c r="M25"/>
      <c r="N25"/>
      <c r="O25"/>
      <c r="R25" s="28"/>
    </row>
    <row r="26" spans="2:18" ht="13.5" thickBot="1">
      <c r="B26" s="30" t="s">
        <v>108</v>
      </c>
      <c r="C26" s="75">
        <v>0.1108</v>
      </c>
      <c r="D26" s="75">
        <v>6.8133281250000011E-2</v>
      </c>
      <c r="E26" s="75">
        <f t="shared" si="0"/>
        <v>4.2666718749999985E-2</v>
      </c>
      <c r="G26"/>
      <c r="H26"/>
      <c r="I26"/>
      <c r="J26"/>
      <c r="K26"/>
      <c r="L26"/>
      <c r="M26"/>
      <c r="N26"/>
      <c r="O26"/>
      <c r="R26" s="28"/>
    </row>
    <row r="27" spans="2:18">
      <c r="B27" s="30" t="s">
        <v>109</v>
      </c>
      <c r="C27" s="75">
        <v>0.11616666666666665</v>
      </c>
      <c r="D27" s="75">
        <v>6.9324153846153841E-2</v>
      </c>
      <c r="E27" s="75">
        <f t="shared" si="0"/>
        <v>4.6842512820512813E-2</v>
      </c>
      <c r="G27" s="274" t="s">
        <v>31</v>
      </c>
      <c r="H27" s="274"/>
      <c r="I27"/>
      <c r="J27"/>
      <c r="K27"/>
      <c r="L27"/>
      <c r="M27"/>
      <c r="N27"/>
      <c r="O27"/>
      <c r="R27" s="28"/>
    </row>
    <row r="28" spans="2:18">
      <c r="B28" s="29" t="s">
        <v>110</v>
      </c>
      <c r="C28" s="75">
        <v>0.12</v>
      </c>
      <c r="D28" s="75">
        <v>6.5281666666666668E-2</v>
      </c>
      <c r="E28" s="75">
        <f t="shared" si="0"/>
        <v>5.4718333333333327E-2</v>
      </c>
      <c r="G28" t="s">
        <v>32</v>
      </c>
      <c r="H28" s="275">
        <v>0.89442466192295866</v>
      </c>
      <c r="I28"/>
      <c r="J28"/>
      <c r="K28"/>
      <c r="L28"/>
      <c r="M28"/>
      <c r="N28"/>
      <c r="O28"/>
      <c r="R28" s="28"/>
    </row>
    <row r="29" spans="2:18">
      <c r="B29" s="30" t="s">
        <v>111</v>
      </c>
      <c r="C29" s="75">
        <v>0.1106</v>
      </c>
      <c r="D29" s="75">
        <v>6.1372272727272741E-2</v>
      </c>
      <c r="E29" s="75">
        <f t="shared" si="0"/>
        <v>4.9227727272727263E-2</v>
      </c>
      <c r="G29" t="s">
        <v>33</v>
      </c>
      <c r="H29" s="275">
        <v>0.79999547585599884</v>
      </c>
      <c r="I29"/>
      <c r="J29"/>
      <c r="K29"/>
      <c r="L29"/>
      <c r="M29"/>
      <c r="N29"/>
      <c r="O29"/>
      <c r="R29" s="28"/>
    </row>
    <row r="30" spans="2:18">
      <c r="B30" s="30">
        <v>1998.1</v>
      </c>
      <c r="C30" s="75">
        <v>0.113125</v>
      </c>
      <c r="D30" s="75">
        <v>5.8820156250000019E-2</v>
      </c>
      <c r="E30" s="75">
        <f t="shared" si="0"/>
        <v>5.4304843749999984E-2</v>
      </c>
      <c r="G30" t="s">
        <v>34</v>
      </c>
      <c r="H30" s="275">
        <v>0.79816057196476953</v>
      </c>
      <c r="I30"/>
      <c r="J30"/>
      <c r="K30"/>
      <c r="L30"/>
      <c r="M30"/>
      <c r="N30"/>
      <c r="O30"/>
      <c r="R30" s="28"/>
    </row>
    <row r="31" spans="2:18">
      <c r="B31" s="30" t="s">
        <v>112</v>
      </c>
      <c r="C31" s="75">
        <v>0.122</v>
      </c>
      <c r="D31" s="75">
        <v>5.8462461538461553E-2</v>
      </c>
      <c r="E31" s="75">
        <f t="shared" si="0"/>
        <v>6.3537538461538451E-2</v>
      </c>
      <c r="G31" t="s">
        <v>35</v>
      </c>
      <c r="H31" s="275">
        <v>4.3349386792440039E-3</v>
      </c>
      <c r="I31"/>
      <c r="J31"/>
      <c r="K31"/>
      <c r="L31"/>
      <c r="M31"/>
      <c r="N31"/>
      <c r="O31"/>
      <c r="R31" s="28"/>
    </row>
    <row r="32" spans="2:18" ht="13.5" thickBot="1">
      <c r="B32" s="29" t="s">
        <v>113</v>
      </c>
      <c r="C32" s="75">
        <v>0.11650000000000001</v>
      </c>
      <c r="D32" s="75">
        <v>5.4731969696969689E-2</v>
      </c>
      <c r="E32" s="75">
        <f t="shared" si="0"/>
        <v>6.1768030303030318E-2</v>
      </c>
      <c r="G32" s="276" t="s">
        <v>36</v>
      </c>
      <c r="H32" s="276">
        <v>111</v>
      </c>
      <c r="I32"/>
      <c r="J32"/>
      <c r="K32"/>
      <c r="L32"/>
      <c r="M32"/>
      <c r="N32"/>
      <c r="O32"/>
      <c r="R32" s="28"/>
    </row>
    <row r="33" spans="2:18">
      <c r="B33" s="29" t="s">
        <v>114</v>
      </c>
      <c r="C33" s="75">
        <v>0.123</v>
      </c>
      <c r="D33" s="75">
        <v>5.1047272727272747E-2</v>
      </c>
      <c r="E33" s="75">
        <f t="shared" si="0"/>
        <v>7.1952727272727252E-2</v>
      </c>
      <c r="G33"/>
      <c r="H33"/>
      <c r="I33"/>
      <c r="J33"/>
      <c r="K33"/>
      <c r="L33"/>
      <c r="M33"/>
      <c r="N33"/>
      <c r="O33"/>
      <c r="R33" s="28"/>
    </row>
    <row r="34" spans="2:18" ht="13.5" thickBot="1">
      <c r="B34" s="29" t="s">
        <v>115</v>
      </c>
      <c r="C34" s="75">
        <v>0.10400000000000001</v>
      </c>
      <c r="D34" s="75">
        <v>5.3729687500000019E-2</v>
      </c>
      <c r="E34" s="75">
        <f t="shared" si="0"/>
        <v>5.027031249999999E-2</v>
      </c>
      <c r="G34" t="s">
        <v>37</v>
      </c>
      <c r="H34"/>
      <c r="I34"/>
      <c r="J34"/>
      <c r="K34"/>
      <c r="L34"/>
      <c r="M34"/>
      <c r="N34"/>
      <c r="O34"/>
      <c r="R34" s="28"/>
    </row>
    <row r="35" spans="2:18">
      <c r="B35" s="30" t="s">
        <v>116</v>
      </c>
      <c r="C35" s="75">
        <v>0.1094</v>
      </c>
      <c r="D35" s="75">
        <v>5.794030769230768E-2</v>
      </c>
      <c r="E35" s="75">
        <f t="shared" si="0"/>
        <v>5.1459692307692317E-2</v>
      </c>
      <c r="G35" s="277"/>
      <c r="H35" s="277" t="s">
        <v>38</v>
      </c>
      <c r="I35" s="277" t="s">
        <v>39</v>
      </c>
      <c r="J35" s="277" t="s">
        <v>25</v>
      </c>
      <c r="K35" s="277" t="s">
        <v>24</v>
      </c>
      <c r="L35" s="277" t="s">
        <v>40</v>
      </c>
      <c r="M35"/>
      <c r="N35"/>
      <c r="O35"/>
      <c r="R35" s="28"/>
    </row>
    <row r="36" spans="2:18">
      <c r="B36" s="30">
        <v>1999.3</v>
      </c>
      <c r="C36" s="75">
        <v>0.1075</v>
      </c>
      <c r="D36" s="75">
        <v>6.0375606060606074E-2</v>
      </c>
      <c r="E36" s="75">
        <f t="shared" si="0"/>
        <v>4.7124393939393924E-2</v>
      </c>
      <c r="G36" t="s">
        <v>41</v>
      </c>
      <c r="H36">
        <v>1</v>
      </c>
      <c r="I36" s="278">
        <v>8.1929466375733201E-3</v>
      </c>
      <c r="J36" s="278">
        <v>8.1929466375733201E-3</v>
      </c>
      <c r="K36" s="278">
        <v>435.98767198646556</v>
      </c>
      <c r="L36" s="278">
        <v>6.8609508325080299E-40</v>
      </c>
      <c r="M36"/>
      <c r="N36"/>
      <c r="O36"/>
      <c r="R36" s="28"/>
    </row>
    <row r="37" spans="2:18">
      <c r="B37" s="30" t="s">
        <v>117</v>
      </c>
      <c r="C37" s="75">
        <v>0.111</v>
      </c>
      <c r="D37" s="75">
        <v>6.2528484848484861E-2</v>
      </c>
      <c r="E37" s="75">
        <f t="shared" si="0"/>
        <v>4.847151515151514E-2</v>
      </c>
      <c r="G37" t="s">
        <v>42</v>
      </c>
      <c r="H37">
        <v>109</v>
      </c>
      <c r="I37" s="278">
        <v>2.0482945754558271E-3</v>
      </c>
      <c r="J37" s="278">
        <v>1.8791693352805752E-5</v>
      </c>
      <c r="K37" s="278"/>
      <c r="L37" s="278"/>
      <c r="M37"/>
      <c r="N37"/>
      <c r="O37"/>
      <c r="R37" s="28"/>
    </row>
    <row r="38" spans="2:18" ht="13.5" thickBot="1">
      <c r="B38" s="30" t="s">
        <v>118</v>
      </c>
      <c r="C38" s="75">
        <v>0.112125</v>
      </c>
      <c r="D38" s="75">
        <v>6.2912615384615386E-2</v>
      </c>
      <c r="E38" s="75">
        <f t="shared" si="0"/>
        <v>4.9212384615384616E-2</v>
      </c>
      <c r="G38" s="276" t="s">
        <v>3</v>
      </c>
      <c r="H38" s="276">
        <v>110</v>
      </c>
      <c r="I38" s="279">
        <v>1.0241241213029148E-2</v>
      </c>
      <c r="J38" s="279"/>
      <c r="K38" s="279"/>
      <c r="L38" s="279"/>
      <c r="M38"/>
      <c r="N38"/>
      <c r="O38"/>
      <c r="R38" s="28"/>
    </row>
    <row r="39" spans="2:18" ht="13.5" thickBot="1">
      <c r="B39" s="29" t="s">
        <v>119</v>
      </c>
      <c r="C39" s="75">
        <v>0.11</v>
      </c>
      <c r="D39" s="75">
        <v>5.9723230769230765E-2</v>
      </c>
      <c r="E39" s="75">
        <f t="shared" si="0"/>
        <v>5.0276769230769236E-2</v>
      </c>
      <c r="G39"/>
      <c r="H39"/>
      <c r="I39"/>
      <c r="J39"/>
      <c r="K39"/>
      <c r="L39"/>
      <c r="M39"/>
      <c r="N39"/>
      <c r="O39"/>
      <c r="R39" s="28"/>
    </row>
    <row r="40" spans="2:18">
      <c r="B40" s="30" t="s">
        <v>120</v>
      </c>
      <c r="C40" s="75">
        <v>0.1168</v>
      </c>
      <c r="D40" s="75">
        <v>5.7871875000000017E-2</v>
      </c>
      <c r="E40" s="75">
        <f t="shared" si="0"/>
        <v>5.8928124999999984E-2</v>
      </c>
      <c r="G40" s="277"/>
      <c r="H40" s="277" t="s">
        <v>43</v>
      </c>
      <c r="I40" s="277" t="s">
        <v>35</v>
      </c>
      <c r="J40" s="277" t="s">
        <v>44</v>
      </c>
      <c r="K40" s="277" t="s">
        <v>45</v>
      </c>
      <c r="L40" s="277" t="s">
        <v>46</v>
      </c>
      <c r="M40" s="277" t="s">
        <v>47</v>
      </c>
      <c r="N40" s="277" t="s">
        <v>73</v>
      </c>
      <c r="O40" s="277" t="s">
        <v>74</v>
      </c>
      <c r="R40" s="28"/>
    </row>
    <row r="41" spans="2:18">
      <c r="B41" s="30" t="s">
        <v>121</v>
      </c>
      <c r="C41" s="75">
        <v>0.125</v>
      </c>
      <c r="D41" s="75">
        <v>5.686107692307691E-2</v>
      </c>
      <c r="E41" s="75">
        <f t="shared" si="0"/>
        <v>6.8138923076923097E-2</v>
      </c>
      <c r="G41" t="s">
        <v>48</v>
      </c>
      <c r="H41" s="280">
        <v>8.6550935089678094E-2</v>
      </c>
      <c r="I41" s="281">
        <v>1.3758417797734939E-3</v>
      </c>
      <c r="J41" s="282">
        <v>62.907622345882722</v>
      </c>
      <c r="K41" s="278">
        <v>1.6826653862525487E-87</v>
      </c>
      <c r="L41" s="278">
        <v>8.3824061411145845E-2</v>
      </c>
      <c r="M41" s="278">
        <v>8.9277808768210343E-2</v>
      </c>
      <c r="N41" s="278">
        <v>8.3824061411145845E-2</v>
      </c>
      <c r="O41" s="278">
        <v>8.9277808768210343E-2</v>
      </c>
      <c r="R41" s="28"/>
    </row>
    <row r="42" spans="2:18" ht="13.5" thickBot="1">
      <c r="B42" s="29" t="s">
        <v>122</v>
      </c>
      <c r="C42" s="75">
        <v>0.11375</v>
      </c>
      <c r="D42" s="75">
        <v>5.4425937500000014E-2</v>
      </c>
      <c r="E42" s="75">
        <f t="shared" si="0"/>
        <v>5.932406249999999E-2</v>
      </c>
      <c r="G42" s="276" t="s">
        <v>82</v>
      </c>
      <c r="H42" s="283">
        <v>-0.56837719129336417</v>
      </c>
      <c r="I42" s="284">
        <v>2.722071552617799E-2</v>
      </c>
      <c r="J42" s="285">
        <v>-20.880317813349155</v>
      </c>
      <c r="K42" s="279">
        <v>6.8609508325077371E-40</v>
      </c>
      <c r="L42" s="279">
        <v>-0.62232776451361416</v>
      </c>
      <c r="M42" s="279">
        <v>-0.51442661807311418</v>
      </c>
      <c r="N42" s="279">
        <v>-0.62232776451361416</v>
      </c>
      <c r="O42" s="279">
        <v>-0.51442661807311418</v>
      </c>
      <c r="R42" s="28"/>
    </row>
    <row r="43" spans="2:18">
      <c r="B43" s="30" t="s">
        <v>123</v>
      </c>
      <c r="C43" s="75">
        <v>0.11</v>
      </c>
      <c r="D43" s="75">
        <v>5.699338461538464E-2</v>
      </c>
      <c r="E43" s="75">
        <f t="shared" si="0"/>
        <v>5.300661538461536E-2</v>
      </c>
      <c r="G43" s="13"/>
      <c r="H43" s="13"/>
      <c r="I43" s="13"/>
      <c r="J43" s="13"/>
      <c r="K43" s="13"/>
      <c r="L43" s="13"/>
      <c r="M43" s="13"/>
      <c r="N43" s="13"/>
      <c r="O43" s="13"/>
      <c r="R43" s="28"/>
    </row>
    <row r="44" spans="2:18">
      <c r="B44" s="30">
        <v>2001.3</v>
      </c>
      <c r="C44" s="75">
        <v>0.10755714285714284</v>
      </c>
      <c r="D44" s="75">
        <v>5.5225625000000021E-2</v>
      </c>
      <c r="E44" s="75">
        <f t="shared" si="0"/>
        <v>5.2331517857142816E-2</v>
      </c>
      <c r="G44" s="13"/>
      <c r="H44" s="13"/>
      <c r="I44" s="13"/>
      <c r="J44" s="13"/>
      <c r="K44" s="13"/>
      <c r="L44" s="13"/>
      <c r="M44" s="13"/>
      <c r="N44" s="13"/>
      <c r="O44" s="13"/>
      <c r="R44" s="28"/>
    </row>
    <row r="45" spans="2:18">
      <c r="B45" s="29" t="s">
        <v>124</v>
      </c>
      <c r="C45" s="75">
        <v>0.11993333333333334</v>
      </c>
      <c r="D45" s="75">
        <v>5.2970909090909089E-2</v>
      </c>
      <c r="E45" s="75">
        <f t="shared" si="0"/>
        <v>6.696242424242424E-2</v>
      </c>
      <c r="G45" s="13"/>
      <c r="H45" s="13"/>
      <c r="I45" s="13"/>
      <c r="J45" s="13"/>
      <c r="K45" s="13"/>
      <c r="L45" s="13"/>
      <c r="M45" s="13"/>
      <c r="N45" s="13"/>
      <c r="O45" s="13"/>
      <c r="R45" s="28"/>
    </row>
    <row r="46" spans="2:18" ht="13.5" thickBot="1">
      <c r="B46" s="30" t="s">
        <v>125</v>
      </c>
      <c r="C46" s="75">
        <v>0.10050000000000001</v>
      </c>
      <c r="D46" s="75">
        <v>5.5132187499999999E-2</v>
      </c>
      <c r="E46" s="75">
        <f t="shared" si="0"/>
        <v>4.5367812500000007E-2</v>
      </c>
      <c r="G46" s="13"/>
      <c r="H46" s="13"/>
      <c r="I46" s="13"/>
      <c r="J46" s="79" t="s">
        <v>10</v>
      </c>
      <c r="K46" s="79" t="s">
        <v>11</v>
      </c>
      <c r="L46" s="79" t="s">
        <v>12</v>
      </c>
      <c r="R46" s="28"/>
    </row>
    <row r="47" spans="2:18">
      <c r="B47" s="30" t="s">
        <v>126</v>
      </c>
      <c r="C47" s="75">
        <v>0.11405</v>
      </c>
      <c r="D47" s="75">
        <v>5.6129153846153849E-2</v>
      </c>
      <c r="E47" s="75">
        <f t="shared" si="0"/>
        <v>5.7920846153846149E-2</v>
      </c>
      <c r="G47" s="31"/>
      <c r="H47" s="31"/>
      <c r="I47" s="31"/>
      <c r="J47" s="32" t="s">
        <v>75</v>
      </c>
      <c r="K47" s="32"/>
      <c r="L47" s="32"/>
      <c r="R47" s="28"/>
    </row>
    <row r="48" spans="2:18">
      <c r="B48" s="30" t="s">
        <v>127</v>
      </c>
      <c r="C48" s="75">
        <v>0.11650000000000001</v>
      </c>
      <c r="D48" s="75">
        <v>5.0848590909090899E-2</v>
      </c>
      <c r="E48" s="75">
        <f t="shared" si="0"/>
        <v>6.5651409090909107E-2</v>
      </c>
      <c r="J48" s="30" t="s">
        <v>76</v>
      </c>
      <c r="K48" s="30" t="s">
        <v>49</v>
      </c>
      <c r="L48" s="30"/>
      <c r="R48" s="28"/>
    </row>
    <row r="49" spans="2:18">
      <c r="B49" s="30" t="s">
        <v>128</v>
      </c>
      <c r="C49" s="75">
        <v>0.11566666666666665</v>
      </c>
      <c r="D49" s="75">
        <v>4.9307318181818195E-2</v>
      </c>
      <c r="E49" s="75">
        <f t="shared" si="0"/>
        <v>6.6359348484848452E-2</v>
      </c>
      <c r="G49" s="33"/>
      <c r="H49" s="33"/>
      <c r="I49" s="33"/>
      <c r="J49" s="34" t="s">
        <v>77</v>
      </c>
      <c r="K49" s="34" t="s">
        <v>50</v>
      </c>
      <c r="L49" s="34" t="s">
        <v>51</v>
      </c>
      <c r="R49" s="28"/>
    </row>
    <row r="50" spans="2:18">
      <c r="B50" s="30" t="s">
        <v>129</v>
      </c>
      <c r="C50" s="75">
        <v>0.1172</v>
      </c>
      <c r="D50" s="75">
        <v>4.8490953125E-2</v>
      </c>
      <c r="E50" s="75">
        <f t="shared" si="0"/>
        <v>6.8709046874999999E-2</v>
      </c>
      <c r="R50" s="28"/>
    </row>
    <row r="51" spans="2:18">
      <c r="B51" s="30" t="s">
        <v>130</v>
      </c>
      <c r="C51" s="75">
        <v>0.111625</v>
      </c>
      <c r="D51" s="75">
        <v>4.5979046153846168E-2</v>
      </c>
      <c r="E51" s="75">
        <f t="shared" si="0"/>
        <v>6.5645953846153834E-2</v>
      </c>
      <c r="G51" s="27" t="s">
        <v>1205</v>
      </c>
      <c r="J51" s="71">
        <f>'Exhibit AEB-8 CAPM 1'!D9</f>
        <v>2.112E-2</v>
      </c>
      <c r="K51" s="75">
        <f>$H$41+($H$42*J51)</f>
        <v>7.4546808809562243E-2</v>
      </c>
      <c r="L51" s="75">
        <f>SUM(J51:K51)</f>
        <v>9.5666808809562243E-2</v>
      </c>
      <c r="R51" s="28"/>
    </row>
    <row r="52" spans="2:18">
      <c r="B52" s="30" t="s">
        <v>131</v>
      </c>
      <c r="C52" s="75">
        <v>0.105</v>
      </c>
      <c r="D52" s="75">
        <v>5.1104863636363636E-2</v>
      </c>
      <c r="E52" s="75">
        <f t="shared" si="0"/>
        <v>5.389513636363636E-2</v>
      </c>
      <c r="G52" s="27" t="s">
        <v>1367</v>
      </c>
      <c r="J52" s="71">
        <f>'Exhibit AEB-8 CAPM 1'!D49</f>
        <v>2.3199999999999998E-2</v>
      </c>
      <c r="K52" s="75">
        <f>$H$41+($H$42*J52)</f>
        <v>7.3364584251672041E-2</v>
      </c>
      <c r="L52" s="75">
        <f>SUM(J52:K52)</f>
        <v>9.6564584251672039E-2</v>
      </c>
      <c r="R52" s="28"/>
    </row>
    <row r="53" spans="2:18">
      <c r="B53" s="30" t="s">
        <v>132</v>
      </c>
      <c r="C53" s="75">
        <v>0.11339999999999999</v>
      </c>
      <c r="D53" s="75">
        <v>5.1142196969696983E-2</v>
      </c>
      <c r="E53" s="75">
        <f t="shared" si="0"/>
        <v>6.2257803030303004E-2</v>
      </c>
      <c r="G53" s="33" t="s">
        <v>1362</v>
      </c>
      <c r="H53" s="33"/>
      <c r="I53" s="33"/>
      <c r="J53" s="71">
        <f>'Exhibit AEB-8 CAPM 1'!D89</f>
        <v>3.5999999999999997E-2</v>
      </c>
      <c r="K53" s="80">
        <f>$H$41+($H$42*J53)</f>
        <v>6.6089356203116983E-2</v>
      </c>
      <c r="L53" s="80">
        <f>SUM(J53:K53)</f>
        <v>0.10208935620311699</v>
      </c>
      <c r="R53" s="28"/>
    </row>
    <row r="54" spans="2:18" ht="13.5" thickBot="1">
      <c r="B54" s="30" t="s">
        <v>133</v>
      </c>
      <c r="C54" s="75">
        <v>0.10999999999999999</v>
      </c>
      <c r="D54" s="75">
        <v>4.8753138461538476E-2</v>
      </c>
      <c r="E54" s="75">
        <f t="shared" si="0"/>
        <v>6.1246861538461511E-2</v>
      </c>
      <c r="G54" s="81" t="s">
        <v>29</v>
      </c>
      <c r="H54" s="81"/>
      <c r="I54" s="81"/>
      <c r="J54" s="82"/>
      <c r="K54" s="83"/>
      <c r="L54" s="83">
        <f>AVERAGE(L51:L53)</f>
        <v>9.8106916421450419E-2</v>
      </c>
      <c r="R54" s="28"/>
    </row>
    <row r="55" spans="2:18">
      <c r="B55" s="29" t="s">
        <v>134</v>
      </c>
      <c r="C55" s="75">
        <v>0.10638571428571429</v>
      </c>
      <c r="D55" s="75">
        <v>5.3192861538461533E-2</v>
      </c>
      <c r="E55" s="75">
        <f t="shared" si="0"/>
        <v>5.3192852747252758E-2</v>
      </c>
      <c r="L55" s="84"/>
      <c r="R55" s="28"/>
    </row>
    <row r="56" spans="2:18">
      <c r="B56" s="30" t="s">
        <v>135</v>
      </c>
      <c r="C56" s="75">
        <v>0.1075</v>
      </c>
      <c r="D56" s="75">
        <v>5.0588015151515148E-2</v>
      </c>
      <c r="E56" s="75">
        <f t="shared" si="0"/>
        <v>5.6911984848484851E-2</v>
      </c>
      <c r="R56" s="28"/>
    </row>
    <row r="57" spans="2:18">
      <c r="B57" s="30" t="s">
        <v>136</v>
      </c>
      <c r="C57" s="75">
        <v>0.11244000000000001</v>
      </c>
      <c r="D57" s="75">
        <v>4.864845454545455E-2</v>
      </c>
      <c r="E57" s="75">
        <f t="shared" si="0"/>
        <v>6.3791545454545462E-2</v>
      </c>
      <c r="G57" s="85" t="s">
        <v>23</v>
      </c>
      <c r="Q57" s="77"/>
      <c r="R57" s="28"/>
    </row>
    <row r="58" spans="2:18">
      <c r="B58" s="30" t="s">
        <v>137</v>
      </c>
      <c r="C58" s="75">
        <v>0.10625</v>
      </c>
      <c r="D58" s="75">
        <v>4.6927312499999985E-2</v>
      </c>
      <c r="E58" s="75">
        <f t="shared" si="0"/>
        <v>5.9322687500000013E-2</v>
      </c>
      <c r="G58" s="86" t="s">
        <v>1366</v>
      </c>
      <c r="Q58" s="77"/>
      <c r="R58" s="28"/>
    </row>
    <row r="59" spans="2:18">
      <c r="B59" s="30" t="s">
        <v>138</v>
      </c>
      <c r="C59" s="75">
        <v>0.10312499999999999</v>
      </c>
      <c r="D59" s="75">
        <v>4.4650938461538468E-2</v>
      </c>
      <c r="E59" s="75">
        <f t="shared" si="0"/>
        <v>5.8474061538461526E-2</v>
      </c>
      <c r="G59" s="86" t="s">
        <v>142</v>
      </c>
      <c r="Q59" s="77"/>
      <c r="R59" s="28"/>
    </row>
    <row r="60" spans="2:18">
      <c r="B60" s="30" t="s">
        <v>139</v>
      </c>
      <c r="C60" s="75">
        <v>0.11083333333333334</v>
      </c>
      <c r="D60" s="75">
        <v>4.4381742424242414E-2</v>
      </c>
      <c r="E60" s="75">
        <f t="shared" si="0"/>
        <v>6.6451590909090918E-2</v>
      </c>
      <c r="G60" s="86" t="s">
        <v>78</v>
      </c>
      <c r="Q60" s="77"/>
      <c r="R60" s="28"/>
    </row>
    <row r="61" spans="2:18">
      <c r="B61" s="30" t="s">
        <v>140</v>
      </c>
      <c r="C61" s="75">
        <v>0.1063125</v>
      </c>
      <c r="D61" s="75">
        <v>4.6829078125E-2</v>
      </c>
      <c r="E61" s="75">
        <f t="shared" si="0"/>
        <v>5.9483421875000005E-2</v>
      </c>
      <c r="G61" s="86" t="s">
        <v>1365</v>
      </c>
      <c r="Q61" s="77"/>
      <c r="R61" s="28"/>
    </row>
    <row r="62" spans="2:18">
      <c r="B62" s="30" t="s">
        <v>141</v>
      </c>
      <c r="C62" s="75">
        <v>0.10695</v>
      </c>
      <c r="D62" s="75">
        <v>4.633183076923076E-2</v>
      </c>
      <c r="E62" s="75">
        <f t="shared" si="0"/>
        <v>6.0618169230769244E-2</v>
      </c>
      <c r="G62" s="13" t="s">
        <v>1363</v>
      </c>
      <c r="Q62" s="77"/>
      <c r="R62" s="28"/>
    </row>
    <row r="63" spans="2:18">
      <c r="B63" s="30" t="s">
        <v>143</v>
      </c>
      <c r="C63" s="75">
        <v>0.10787499999999998</v>
      </c>
      <c r="D63" s="75">
        <v>5.1406507692307687E-2</v>
      </c>
      <c r="E63" s="75">
        <f t="shared" si="0"/>
        <v>5.6468492307692297E-2</v>
      </c>
      <c r="G63" s="13" t="s">
        <v>1364</v>
      </c>
      <c r="Q63" s="77"/>
      <c r="R63" s="28"/>
    </row>
    <row r="64" spans="2:18">
      <c r="B64" s="30" t="s">
        <v>144</v>
      </c>
      <c r="C64" s="75">
        <v>0.10346666666666667</v>
      </c>
      <c r="D64" s="75">
        <v>4.9925692307692303E-2</v>
      </c>
      <c r="E64" s="75">
        <f t="shared" si="0"/>
        <v>5.3540974358974362E-2</v>
      </c>
      <c r="G64" s="13" t="s">
        <v>1206</v>
      </c>
      <c r="Q64" s="77"/>
      <c r="R64" s="28"/>
    </row>
    <row r="65" spans="2:18">
      <c r="B65" s="30" t="s">
        <v>145</v>
      </c>
      <c r="C65" s="75">
        <v>0.1065</v>
      </c>
      <c r="D65" s="75">
        <v>4.739560000000001E-2</v>
      </c>
      <c r="E65" s="75">
        <f t="shared" si="0"/>
        <v>5.9104399999999988E-2</v>
      </c>
      <c r="G65" s="87" t="str">
        <f>"[8] Equals "&amp;TEXT(H41,"0.000000")&amp;" + ("&amp;TEXT(H42,"0.000000")&amp;" x Column [7])"</f>
        <v>[8] Equals 0.086551 + (-0.568377 x Column [7])</v>
      </c>
      <c r="Q65" s="77"/>
      <c r="R65" s="28"/>
    </row>
    <row r="66" spans="2:18">
      <c r="B66" s="30" t="s">
        <v>146</v>
      </c>
      <c r="C66" s="75">
        <v>0.10591666666666666</v>
      </c>
      <c r="D66" s="75">
        <v>4.7964107692307696E-2</v>
      </c>
      <c r="E66" s="75">
        <f t="shared" si="0"/>
        <v>5.7952558974358963E-2</v>
      </c>
      <c r="G66" s="86" t="s">
        <v>1207</v>
      </c>
      <c r="Q66" s="77"/>
      <c r="R66" s="28"/>
    </row>
    <row r="67" spans="2:18">
      <c r="B67" s="30" t="s">
        <v>147</v>
      </c>
      <c r="C67" s="75">
        <v>0.10324999999999999</v>
      </c>
      <c r="D67" s="75">
        <v>4.9891384615384615E-2</v>
      </c>
      <c r="E67" s="75">
        <f t="shared" si="0"/>
        <v>5.3358615384615379E-2</v>
      </c>
      <c r="Q67" s="77"/>
      <c r="R67" s="28"/>
    </row>
    <row r="68" spans="2:18">
      <c r="B68" s="30" t="s">
        <v>148</v>
      </c>
      <c r="C68" s="75">
        <v>0.10400000000000001</v>
      </c>
      <c r="D68" s="75">
        <v>4.9470430769230793E-2</v>
      </c>
      <c r="E68" s="75">
        <f t="shared" si="0"/>
        <v>5.4529569230769216E-2</v>
      </c>
      <c r="Q68" s="77"/>
      <c r="R68" s="28"/>
    </row>
    <row r="69" spans="2:18">
      <c r="B69" s="30" t="s">
        <v>149</v>
      </c>
      <c r="C69" s="75">
        <v>0.1065</v>
      </c>
      <c r="D69" s="75">
        <v>4.6137848484848476E-2</v>
      </c>
      <c r="E69" s="75">
        <f t="shared" si="0"/>
        <v>6.0362151515151521E-2</v>
      </c>
      <c r="Q69" s="77"/>
      <c r="R69" s="28"/>
    </row>
    <row r="70" spans="2:18">
      <c r="B70" s="30" t="s">
        <v>150</v>
      </c>
      <c r="C70" s="75">
        <v>0.10614999999999999</v>
      </c>
      <c r="D70" s="75">
        <v>4.4057984615384606E-2</v>
      </c>
      <c r="E70" s="75">
        <f t="shared" si="0"/>
        <v>6.2092015384615389E-2</v>
      </c>
      <c r="Q70" s="77"/>
      <c r="R70" s="28"/>
    </row>
    <row r="71" spans="2:18">
      <c r="B71" s="30" t="s">
        <v>151</v>
      </c>
      <c r="C71" s="75">
        <v>0.1053625</v>
      </c>
      <c r="D71" s="75">
        <v>4.5697861538461525E-2</v>
      </c>
      <c r="E71" s="75">
        <f t="shared" ref="E71:E116" si="1">C71-D71</f>
        <v>5.9664638461538473E-2</v>
      </c>
      <c r="Q71" s="77"/>
      <c r="R71" s="28"/>
    </row>
    <row r="72" spans="2:18">
      <c r="B72" s="30" t="s">
        <v>152</v>
      </c>
      <c r="C72" s="75">
        <v>0.10426666666666666</v>
      </c>
      <c r="D72" s="75">
        <v>4.4448575757575763E-2</v>
      </c>
      <c r="E72" s="75">
        <f t="shared" si="1"/>
        <v>5.9818090909090897E-2</v>
      </c>
      <c r="Q72" s="77"/>
      <c r="R72" s="28"/>
    </row>
    <row r="73" spans="2:18">
      <c r="B73" s="30" t="s">
        <v>153</v>
      </c>
      <c r="C73" s="75">
        <v>0.10387500000000001</v>
      </c>
      <c r="D73" s="75">
        <v>3.648545454545455E-2</v>
      </c>
      <c r="E73" s="75">
        <f t="shared" si="1"/>
        <v>6.7389545454545452E-2</v>
      </c>
      <c r="Q73" s="77"/>
      <c r="R73" s="28"/>
    </row>
    <row r="74" spans="2:18">
      <c r="B74" s="30" t="s">
        <v>154</v>
      </c>
      <c r="C74" s="75">
        <v>0.10751999999999999</v>
      </c>
      <c r="D74" s="75">
        <v>3.4371828125000004E-2</v>
      </c>
      <c r="E74" s="75">
        <f t="shared" si="1"/>
        <v>7.3148171874999987E-2</v>
      </c>
      <c r="Q74" s="77"/>
      <c r="R74" s="28"/>
    </row>
    <row r="75" spans="2:18">
      <c r="B75" s="30" t="s">
        <v>155</v>
      </c>
      <c r="C75" s="75">
        <v>0.1075</v>
      </c>
      <c r="D75" s="75">
        <v>4.1675338461538453E-2</v>
      </c>
      <c r="E75" s="75">
        <f t="shared" si="1"/>
        <v>6.5824661538461546E-2</v>
      </c>
      <c r="Q75" s="77"/>
      <c r="R75" s="28"/>
    </row>
    <row r="76" spans="2:18">
      <c r="B76" s="30" t="s">
        <v>156</v>
      </c>
      <c r="C76" s="75">
        <v>0.105</v>
      </c>
      <c r="D76" s="75">
        <v>4.3207924242424235E-2</v>
      </c>
      <c r="E76" s="75">
        <f t="shared" si="1"/>
        <v>6.1792075757575761E-2</v>
      </c>
      <c r="Q76" s="77"/>
      <c r="R76" s="28"/>
    </row>
    <row r="77" spans="2:18">
      <c r="B77" s="30" t="s">
        <v>157</v>
      </c>
      <c r="C77" s="75">
        <v>0.10592</v>
      </c>
      <c r="D77" s="75">
        <v>4.3369015151515151E-2</v>
      </c>
      <c r="E77" s="75">
        <f t="shared" si="1"/>
        <v>6.2550984848484842E-2</v>
      </c>
      <c r="Q77" s="77"/>
      <c r="R77" s="28"/>
    </row>
    <row r="78" spans="2:18">
      <c r="B78" s="30" t="s">
        <v>158</v>
      </c>
      <c r="C78" s="75">
        <v>0.10592500000000001</v>
      </c>
      <c r="D78" s="75">
        <v>4.6233281250000008E-2</v>
      </c>
      <c r="E78" s="75">
        <f t="shared" si="1"/>
        <v>5.9691718749999997E-2</v>
      </c>
      <c r="Q78" s="77"/>
      <c r="R78" s="28"/>
    </row>
    <row r="79" spans="2:18">
      <c r="B79" s="29" t="s">
        <v>159</v>
      </c>
      <c r="C79" s="75">
        <v>0.1018</v>
      </c>
      <c r="D79" s="75">
        <v>4.3635553846153849E-2</v>
      </c>
      <c r="E79" s="75">
        <f t="shared" si="1"/>
        <v>5.8164446153846153E-2</v>
      </c>
      <c r="Q79" s="77"/>
      <c r="R79" s="28"/>
    </row>
    <row r="80" spans="2:18">
      <c r="B80" s="29" t="s">
        <v>160</v>
      </c>
      <c r="C80" s="75">
        <v>0.10403333333333332</v>
      </c>
      <c r="D80" s="75">
        <v>3.855463636363636E-2</v>
      </c>
      <c r="E80" s="75">
        <f t="shared" si="1"/>
        <v>6.5478696969696965E-2</v>
      </c>
      <c r="Q80" s="77"/>
      <c r="R80" s="28"/>
    </row>
    <row r="81" spans="2:18">
      <c r="B81" s="29" t="s">
        <v>161</v>
      </c>
      <c r="C81" s="75">
        <v>0.10378666666666665</v>
      </c>
      <c r="D81" s="75">
        <v>4.1662787878787896E-2</v>
      </c>
      <c r="E81" s="75">
        <f t="shared" si="1"/>
        <v>6.2123878787878756E-2</v>
      </c>
      <c r="Q81" s="77"/>
      <c r="R81" s="28"/>
    </row>
    <row r="82" spans="2:18">
      <c r="B82" s="29" t="s">
        <v>162</v>
      </c>
      <c r="C82" s="75">
        <v>0.10091666666666667</v>
      </c>
      <c r="D82" s="75">
        <v>4.5583796874999978E-2</v>
      </c>
      <c r="E82" s="75">
        <f t="shared" si="1"/>
        <v>5.533286979166669E-2</v>
      </c>
      <c r="Q82" s="77"/>
      <c r="R82" s="28"/>
    </row>
    <row r="83" spans="2:18">
      <c r="B83" s="29" t="s">
        <v>163</v>
      </c>
      <c r="C83" s="75">
        <v>0.10262857142857143</v>
      </c>
      <c r="D83" s="75">
        <v>4.3380446153846154E-2</v>
      </c>
      <c r="E83" s="75">
        <f t="shared" si="1"/>
        <v>5.9248125274725276E-2</v>
      </c>
      <c r="Q83" s="77"/>
      <c r="R83" s="28"/>
    </row>
    <row r="84" spans="2:18">
      <c r="B84" s="29" t="s">
        <v>164</v>
      </c>
      <c r="C84" s="75">
        <v>0.10571666666666667</v>
      </c>
      <c r="D84" s="75">
        <v>3.692825757575758E-2</v>
      </c>
      <c r="E84" s="75">
        <f t="shared" si="1"/>
        <v>6.8788409090909081E-2</v>
      </c>
      <c r="Q84" s="77"/>
      <c r="R84" s="28"/>
    </row>
    <row r="85" spans="2:18">
      <c r="B85" s="29" t="s">
        <v>165</v>
      </c>
      <c r="C85" s="75">
        <v>0.10387777777777778</v>
      </c>
      <c r="D85" s="75">
        <v>3.0392815384615392E-2</v>
      </c>
      <c r="E85" s="75">
        <f t="shared" si="1"/>
        <v>7.3484962393162379E-2</v>
      </c>
      <c r="Q85" s="77"/>
      <c r="R85" s="28"/>
    </row>
    <row r="86" spans="2:18">
      <c r="B86" s="29" t="s">
        <v>166</v>
      </c>
      <c r="C86" s="75">
        <v>0.10302857142857143</v>
      </c>
      <c r="D86" s="75">
        <v>3.1351338461538467E-2</v>
      </c>
      <c r="E86" s="75">
        <f t="shared" si="1"/>
        <v>7.1677232967032961E-2</v>
      </c>
      <c r="Q86" s="77"/>
      <c r="R86" s="28"/>
    </row>
    <row r="87" spans="2:18">
      <c r="B87" s="29" t="s">
        <v>167</v>
      </c>
      <c r="C87" s="75">
        <v>9.9499999999999977E-2</v>
      </c>
      <c r="D87" s="75">
        <v>2.9340830769230764E-2</v>
      </c>
      <c r="E87" s="75">
        <f t="shared" si="1"/>
        <v>7.0159169230769217E-2</v>
      </c>
      <c r="Q87" s="77"/>
      <c r="R87" s="28"/>
    </row>
    <row r="88" spans="2:18">
      <c r="B88" s="29" t="s">
        <v>168</v>
      </c>
      <c r="C88" s="75">
        <v>9.9000000000000005E-2</v>
      </c>
      <c r="D88" s="75">
        <v>2.7412938461538462E-2</v>
      </c>
      <c r="E88" s="75">
        <f t="shared" si="1"/>
        <v>7.1587061538461547E-2</v>
      </c>
      <c r="Q88" s="77"/>
      <c r="R88" s="28"/>
    </row>
    <row r="89" spans="2:18">
      <c r="B89" s="29" t="s">
        <v>169</v>
      </c>
      <c r="C89" s="75">
        <v>0.10163529411764707</v>
      </c>
      <c r="D89" s="75">
        <v>2.8642166666666666E-2</v>
      </c>
      <c r="E89" s="75">
        <f t="shared" si="1"/>
        <v>7.2993127450980411E-2</v>
      </c>
      <c r="Q89" s="77"/>
      <c r="R89" s="28"/>
    </row>
    <row r="90" spans="2:18">
      <c r="B90" s="29" t="s">
        <v>170</v>
      </c>
      <c r="C90" s="75">
        <v>9.849999999999999E-2</v>
      </c>
      <c r="D90" s="75">
        <v>3.1295609374999998E-2</v>
      </c>
      <c r="E90" s="75">
        <f t="shared" si="1"/>
        <v>6.7204390624999999E-2</v>
      </c>
      <c r="Q90" s="77"/>
    </row>
    <row r="91" spans="2:18">
      <c r="B91" s="29" t="s">
        <v>171</v>
      </c>
      <c r="C91" s="75">
        <v>9.8599999999999993E-2</v>
      </c>
      <c r="D91" s="75">
        <v>3.1398800000000004E-2</v>
      </c>
      <c r="E91" s="75">
        <f t="shared" si="1"/>
        <v>6.7201199999999989E-2</v>
      </c>
      <c r="Q91" s="77"/>
    </row>
    <row r="92" spans="2:18">
      <c r="B92" s="29" t="s">
        <v>172</v>
      </c>
      <c r="C92" s="75">
        <v>0.1012</v>
      </c>
      <c r="D92" s="75">
        <v>3.7113621212121202E-2</v>
      </c>
      <c r="E92" s="75">
        <f t="shared" si="1"/>
        <v>6.4086378787878789E-2</v>
      </c>
      <c r="Q92" s="77"/>
    </row>
    <row r="93" spans="2:18">
      <c r="B93" s="29" t="s">
        <v>173</v>
      </c>
      <c r="C93" s="75">
        <v>9.9668750000000014E-2</v>
      </c>
      <c r="D93" s="75">
        <v>3.7872272727272713E-2</v>
      </c>
      <c r="E93" s="75">
        <f t="shared" si="1"/>
        <v>6.1796477272727302E-2</v>
      </c>
      <c r="Q93" s="77"/>
    </row>
    <row r="94" spans="2:18">
      <c r="B94" s="29" t="s">
        <v>174</v>
      </c>
      <c r="C94" s="75">
        <v>9.8549999999999999E-2</v>
      </c>
      <c r="D94" s="75">
        <v>3.6892906249999989E-2</v>
      </c>
      <c r="E94" s="75">
        <f t="shared" si="1"/>
        <v>6.165709375000001E-2</v>
      </c>
      <c r="Q94" s="77"/>
    </row>
    <row r="95" spans="2:18">
      <c r="B95" s="29" t="s">
        <v>175</v>
      </c>
      <c r="C95" s="75">
        <v>0.10100000000000001</v>
      </c>
      <c r="D95" s="75">
        <v>3.4420169230769224E-2</v>
      </c>
      <c r="E95" s="75">
        <f t="shared" si="1"/>
        <v>6.6579830769230783E-2</v>
      </c>
      <c r="Q95" s="77"/>
    </row>
    <row r="96" spans="2:18">
      <c r="B96" s="29" t="s">
        <v>176</v>
      </c>
      <c r="C96" s="75">
        <v>9.8999999999999991E-2</v>
      </c>
      <c r="D96" s="75">
        <v>3.2637651515151515E-2</v>
      </c>
      <c r="E96" s="75">
        <f t="shared" si="1"/>
        <v>6.6362348484848482E-2</v>
      </c>
      <c r="Q96" s="77"/>
    </row>
    <row r="97" spans="2:17">
      <c r="B97" s="29" t="s">
        <v>177</v>
      </c>
      <c r="C97" s="75">
        <v>9.9440000000000001E-2</v>
      </c>
      <c r="D97" s="75">
        <v>2.9634439393939404E-2</v>
      </c>
      <c r="E97" s="75">
        <f t="shared" si="1"/>
        <v>6.9805560606060593E-2</v>
      </c>
      <c r="Q97" s="77"/>
    </row>
    <row r="98" spans="2:17">
      <c r="B98" s="29" t="s">
        <v>178</v>
      </c>
      <c r="C98" s="75">
        <v>9.6374999999999988E-2</v>
      </c>
      <c r="D98" s="75">
        <v>2.5536187500000005E-2</v>
      </c>
      <c r="E98" s="75">
        <f t="shared" si="1"/>
        <v>7.0838812499999987E-2</v>
      </c>
      <c r="Q98" s="77"/>
    </row>
    <row r="99" spans="2:17">
      <c r="B99" s="29" t="s">
        <v>179</v>
      </c>
      <c r="C99" s="75">
        <v>9.8266666666666669E-2</v>
      </c>
      <c r="D99" s="75">
        <v>2.8846923076923076E-2</v>
      </c>
      <c r="E99" s="75">
        <f t="shared" si="1"/>
        <v>6.9419743589743593E-2</v>
      </c>
      <c r="Q99" s="77"/>
    </row>
    <row r="100" spans="2:17">
      <c r="B100" s="29" t="s">
        <v>180</v>
      </c>
      <c r="C100" s="75">
        <v>9.4E-2</v>
      </c>
      <c r="D100" s="75">
        <v>2.9591227272727273E-2</v>
      </c>
      <c r="E100" s="75">
        <f t="shared" si="1"/>
        <v>6.4408772727272731E-2</v>
      </c>
      <c r="Q100" s="77"/>
    </row>
    <row r="101" spans="2:17">
      <c r="B101" s="29" t="s">
        <v>181</v>
      </c>
      <c r="C101" s="75">
        <v>9.862499999999999E-2</v>
      </c>
      <c r="D101" s="75">
        <v>2.9592590909090898E-2</v>
      </c>
      <c r="E101" s="75">
        <f t="shared" si="1"/>
        <v>6.9032409090909089E-2</v>
      </c>
      <c r="Q101" s="77"/>
    </row>
    <row r="102" spans="2:17">
      <c r="B102" s="29" t="s">
        <v>182</v>
      </c>
      <c r="C102" s="75">
        <v>9.7000000000000017E-2</v>
      </c>
      <c r="D102" s="75">
        <v>2.7197200000000001E-2</v>
      </c>
      <c r="E102" s="75">
        <f t="shared" si="1"/>
        <v>6.9802800000000012E-2</v>
      </c>
    </row>
    <row r="103" spans="2:17">
      <c r="B103" s="29" t="s">
        <v>183</v>
      </c>
      <c r="C103" s="75">
        <v>9.4800000000000009E-2</v>
      </c>
      <c r="D103" s="75">
        <v>2.5666046153846152E-2</v>
      </c>
      <c r="E103" s="75">
        <f t="shared" si="1"/>
        <v>6.9133953846153853E-2</v>
      </c>
    </row>
    <row r="104" spans="2:17">
      <c r="B104" s="29" t="s">
        <v>184</v>
      </c>
      <c r="C104" s="75">
        <v>9.7350000000000006E-2</v>
      </c>
      <c r="D104" s="75">
        <v>2.2773333333333333E-2</v>
      </c>
      <c r="E104" s="75">
        <f t="shared" si="1"/>
        <v>7.457666666666668E-2</v>
      </c>
    </row>
    <row r="105" spans="2:17">
      <c r="B105" s="29" t="s">
        <v>185</v>
      </c>
      <c r="C105" s="75">
        <v>9.8319999999999991E-2</v>
      </c>
      <c r="D105" s="75">
        <v>2.8326507692307684E-2</v>
      </c>
      <c r="E105" s="75">
        <f t="shared" si="1"/>
        <v>6.9993492307692307E-2</v>
      </c>
    </row>
    <row r="106" spans="2:17">
      <c r="B106" s="29" t="s">
        <v>186</v>
      </c>
      <c r="C106" s="75">
        <v>9.718333333333333E-2</v>
      </c>
      <c r="D106" s="75">
        <v>3.0435492307692304E-2</v>
      </c>
      <c r="E106" s="75">
        <f t="shared" si="1"/>
        <v>6.6747841025641019E-2</v>
      </c>
    </row>
    <row r="107" spans="2:17">
      <c r="B107" s="29" t="s">
        <v>187</v>
      </c>
      <c r="C107" s="75">
        <v>9.6428571428571419E-2</v>
      </c>
      <c r="D107" s="75">
        <v>2.8955353846153841E-2</v>
      </c>
      <c r="E107" s="75">
        <f t="shared" si="1"/>
        <v>6.7473217582417575E-2</v>
      </c>
    </row>
    <row r="108" spans="2:17">
      <c r="B108" s="29" t="s">
        <v>188</v>
      </c>
      <c r="C108" s="75">
        <v>0.1</v>
      </c>
      <c r="D108" s="75">
        <v>2.8157476923076918E-2</v>
      </c>
      <c r="E108" s="75">
        <f t="shared" si="1"/>
        <v>7.1842523076923084E-2</v>
      </c>
    </row>
    <row r="109" spans="2:17">
      <c r="B109" s="29" t="s">
        <v>189</v>
      </c>
      <c r="C109" s="75">
        <v>9.9064285714285716E-2</v>
      </c>
      <c r="D109" s="75">
        <v>2.8170630769230768E-2</v>
      </c>
      <c r="E109" s="75">
        <f t="shared" si="1"/>
        <v>7.0893654945054951E-2</v>
      </c>
    </row>
    <row r="110" spans="2:17">
      <c r="B110" s="29" t="s">
        <v>190</v>
      </c>
      <c r="C110" s="75">
        <v>9.6883333333333335E-2</v>
      </c>
      <c r="D110" s="75">
        <v>3.0233969230769233E-2</v>
      </c>
      <c r="E110" s="75">
        <f t="shared" si="1"/>
        <v>6.6649364102564099E-2</v>
      </c>
    </row>
    <row r="111" spans="2:17">
      <c r="B111" s="29" t="s">
        <v>191</v>
      </c>
      <c r="C111" s="75">
        <v>9.7475000000000006E-2</v>
      </c>
      <c r="D111" s="75">
        <v>3.0863630769230772E-2</v>
      </c>
      <c r="E111" s="75">
        <f t="shared" si="1"/>
        <v>6.6611369230769241E-2</v>
      </c>
    </row>
    <row r="112" spans="2:17">
      <c r="B112" s="29">
        <v>2018.3</v>
      </c>
      <c r="C112" s="75">
        <v>9.6860000000000016E-2</v>
      </c>
      <c r="D112" s="75">
        <v>3.0584523076923074E-2</v>
      </c>
      <c r="E112" s="75">
        <f t="shared" si="1"/>
        <v>6.6275476923076948E-2</v>
      </c>
    </row>
    <row r="113" spans="2:5">
      <c r="B113" s="29">
        <v>2018.4</v>
      </c>
      <c r="C113" s="75">
        <v>9.5966666666666658E-2</v>
      </c>
      <c r="D113" s="75">
        <v>3.270189393939394E-2</v>
      </c>
      <c r="E113" s="75">
        <f t="shared" si="1"/>
        <v>6.3264772727272711E-2</v>
      </c>
    </row>
    <row r="114" spans="2:5">
      <c r="B114" s="29">
        <v>2019.1</v>
      </c>
      <c r="C114" s="75">
        <v>9.7166666666666665E-2</v>
      </c>
      <c r="D114" s="75">
        <v>3.0102703124999998E-2</v>
      </c>
      <c r="E114" s="75">
        <f t="shared" si="1"/>
        <v>6.706396354166666E-2</v>
      </c>
    </row>
    <row r="115" spans="2:5">
      <c r="B115" s="29">
        <v>2019.2</v>
      </c>
      <c r="C115" s="75">
        <v>9.5762499999999973E-2</v>
      </c>
      <c r="D115" s="75">
        <v>2.7823599999999997E-2</v>
      </c>
      <c r="E115" s="75">
        <f t="shared" si="1"/>
        <v>6.7938899999999969E-2</v>
      </c>
    </row>
    <row r="116" spans="2:5">
      <c r="B116" s="29">
        <v>2019.3</v>
      </c>
      <c r="C116" s="75">
        <v>0.1</v>
      </c>
      <c r="D116" s="75">
        <v>2.2855318181818182E-2</v>
      </c>
      <c r="E116" s="75">
        <f t="shared" si="1"/>
        <v>7.7144681818181821E-2</v>
      </c>
    </row>
    <row r="117" spans="2:5">
      <c r="B117" s="29"/>
      <c r="C117" s="75"/>
      <c r="D117" s="75"/>
      <c r="E117" s="75"/>
    </row>
    <row r="118" spans="2:5">
      <c r="B118" s="88" t="s">
        <v>29</v>
      </c>
      <c r="C118" s="89">
        <f>AVERAGE(C6:C116)</f>
        <v>0.10736845056190641</v>
      </c>
      <c r="D118" s="89">
        <f>AVERAGE(D6:D116)</f>
        <v>4.8230804888667413E-2</v>
      </c>
      <c r="E118" s="89">
        <f>AVERAGE(E6:E116)</f>
        <v>5.9137645673239057E-2</v>
      </c>
    </row>
    <row r="119" spans="2:5" ht="13.5" thickBot="1">
      <c r="B119" s="90" t="s">
        <v>53</v>
      </c>
      <c r="C119" s="91">
        <f>MEDIAN(C6:C116)</f>
        <v>0.10638571428571429</v>
      </c>
      <c r="D119" s="91">
        <f t="shared" ref="D119:E119" si="2">MEDIAN(D6:D116)</f>
        <v>4.7964107692307696E-2</v>
      </c>
      <c r="E119" s="91">
        <f t="shared" si="2"/>
        <v>6.0362151515151521E-2</v>
      </c>
    </row>
    <row r="120" spans="2:5">
      <c r="B120" s="29"/>
      <c r="C120" s="13"/>
      <c r="D120" s="75"/>
    </row>
    <row r="121" spans="2:5">
      <c r="C121" s="13"/>
      <c r="D121" s="75"/>
    </row>
    <row r="122" spans="2:5">
      <c r="B122" s="29"/>
      <c r="D122" s="75"/>
    </row>
    <row r="123" spans="2:5">
      <c r="B123" s="29"/>
      <c r="C123" s="92"/>
      <c r="D123" s="93"/>
      <c r="E123" s="92"/>
    </row>
    <row r="124" spans="2:5">
      <c r="C124" s="92"/>
      <c r="D124" s="93"/>
      <c r="E124" s="92"/>
    </row>
    <row r="125" spans="2:5">
      <c r="C125" s="92"/>
      <c r="D125" s="93"/>
      <c r="E125" s="92"/>
    </row>
    <row r="126" spans="2:5">
      <c r="C126" s="92"/>
      <c r="D126" s="93"/>
      <c r="E126" s="92"/>
    </row>
    <row r="127" spans="2:5">
      <c r="C127" s="92"/>
      <c r="D127" s="93"/>
      <c r="E127" s="92"/>
    </row>
    <row r="128" spans="2:5">
      <c r="C128" s="92"/>
      <c r="D128" s="93"/>
      <c r="E128" s="92"/>
    </row>
    <row r="139" spans="4:4">
      <c r="D139" s="94"/>
    </row>
  </sheetData>
  <mergeCells count="1">
    <mergeCell ref="B2:E2"/>
  </mergeCells>
  <printOptions horizontalCentered="1"/>
  <pageMargins left="0.7" right="0.7" top="1" bottom="0.75" header="0.3" footer="0.3"/>
  <pageSetup scale="65" fitToWidth="0" orientation="portrait" useFirstPageNumber="1" r:id="rId1"/>
  <headerFooter>
    <oddHeader>&amp;RDocket No. UE-19____
PacifiCorp
Exhibit No. AEB-9
Page &amp;P of 3</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667"/>
  <sheetViews>
    <sheetView zoomScale="90" zoomScaleNormal="90" zoomScaleSheetLayoutView="70" workbookViewId="0"/>
  </sheetViews>
  <sheetFormatPr defaultColWidth="9.140625" defaultRowHeight="15.75"/>
  <cols>
    <col min="1" max="1" width="3" style="97" customWidth="1"/>
    <col min="2" max="2" width="40.7109375" style="97" customWidth="1"/>
    <col min="3" max="3" width="10.7109375" style="97" customWidth="1"/>
    <col min="4" max="11" width="15.5703125" style="97" customWidth="1"/>
    <col min="12" max="13" width="14.5703125" style="97" customWidth="1"/>
    <col min="14" max="14" width="19" style="97" bestFit="1" customWidth="1"/>
    <col min="15" max="16384" width="9.140625" style="97"/>
  </cols>
  <sheetData>
    <row r="1" spans="1:15" ht="12.75" customHeight="1">
      <c r="A1" s="95"/>
      <c r="B1" s="96"/>
      <c r="C1" s="96"/>
      <c r="D1" s="96"/>
      <c r="E1" s="96"/>
      <c r="F1" s="96"/>
      <c r="G1" s="96"/>
      <c r="H1" s="96"/>
      <c r="I1" s="96"/>
      <c r="J1" s="96"/>
      <c r="K1" s="96"/>
      <c r="L1" s="96"/>
      <c r="M1" s="96"/>
    </row>
    <row r="2" spans="1:15" ht="12.75" customHeight="1">
      <c r="A2" s="95"/>
      <c r="B2" s="396" t="s">
        <v>1213</v>
      </c>
      <c r="C2" s="396"/>
      <c r="D2" s="396"/>
      <c r="E2" s="396"/>
      <c r="F2" s="396"/>
      <c r="G2" s="396"/>
      <c r="H2" s="396"/>
      <c r="I2" s="396"/>
      <c r="J2" s="396"/>
      <c r="K2" s="396"/>
      <c r="L2" s="396"/>
      <c r="M2" s="396"/>
    </row>
    <row r="3" spans="1:15" ht="12.75" customHeight="1">
      <c r="A3" s="95"/>
      <c r="B3" s="95"/>
      <c r="C3" s="95"/>
      <c r="D3" s="95"/>
      <c r="E3" s="95"/>
      <c r="F3" s="95"/>
      <c r="G3" s="95"/>
      <c r="H3" s="95"/>
      <c r="I3" s="95"/>
      <c r="J3" s="95"/>
      <c r="K3" s="95"/>
      <c r="L3" s="95"/>
      <c r="M3" s="95"/>
    </row>
    <row r="4" spans="1:15" ht="12.75" customHeight="1" thickBot="1">
      <c r="A4" s="95"/>
      <c r="B4" s="95"/>
      <c r="C4" s="95"/>
      <c r="D4" s="98" t="s">
        <v>4</v>
      </c>
      <c r="E4" s="98" t="s">
        <v>5</v>
      </c>
      <c r="F4" s="98" t="s">
        <v>6</v>
      </c>
      <c r="G4" s="98" t="s">
        <v>7</v>
      </c>
      <c r="H4" s="98" t="s">
        <v>8</v>
      </c>
      <c r="I4" s="98" t="s">
        <v>9</v>
      </c>
      <c r="J4" s="98" t="s">
        <v>10</v>
      </c>
      <c r="K4" s="98" t="s">
        <v>11</v>
      </c>
      <c r="L4" s="98" t="s">
        <v>12</v>
      </c>
      <c r="M4" s="98" t="s">
        <v>13</v>
      </c>
      <c r="O4" s="99"/>
    </row>
    <row r="5" spans="1:15" ht="63" customHeight="1">
      <c r="A5" s="100"/>
      <c r="B5" s="101"/>
      <c r="C5" s="101"/>
      <c r="D5" s="102" t="s">
        <v>1368</v>
      </c>
      <c r="E5" s="102" t="s">
        <v>1369</v>
      </c>
      <c r="F5" s="102" t="s">
        <v>1370</v>
      </c>
      <c r="G5" s="102" t="s">
        <v>1371</v>
      </c>
      <c r="H5" s="102" t="s">
        <v>1372</v>
      </c>
      <c r="I5" s="102" t="s">
        <v>1373</v>
      </c>
      <c r="J5" s="102" t="s">
        <v>1374</v>
      </c>
      <c r="K5" s="102" t="s">
        <v>1259</v>
      </c>
      <c r="L5" s="102" t="s">
        <v>1214</v>
      </c>
      <c r="M5" s="102" t="s">
        <v>1215</v>
      </c>
    </row>
    <row r="6" spans="1:15" ht="12.75" customHeight="1">
      <c r="A6" s="100"/>
      <c r="B6" s="95"/>
      <c r="C6" s="95"/>
      <c r="D6" s="100"/>
      <c r="E6" s="100"/>
      <c r="F6" s="100"/>
      <c r="G6" s="100"/>
      <c r="H6" s="100"/>
      <c r="I6" s="100"/>
      <c r="J6" s="100"/>
      <c r="K6" s="100"/>
      <c r="L6" s="100"/>
      <c r="M6" s="100"/>
      <c r="O6" s="103"/>
    </row>
    <row r="7" spans="1:15" ht="12.75" customHeight="1">
      <c r="A7" s="104"/>
      <c r="B7" s="14" t="s">
        <v>1267</v>
      </c>
      <c r="C7" s="8" t="s">
        <v>1268</v>
      </c>
      <c r="D7" s="105">
        <v>9.5000000000000001E-2</v>
      </c>
      <c r="E7" s="106">
        <v>3584.3</v>
      </c>
      <c r="F7" s="105">
        <v>0.60099999999999998</v>
      </c>
      <c r="G7" s="106">
        <f>E7*F7</f>
        <v>2154.1642999999999</v>
      </c>
      <c r="H7" s="106">
        <v>4275</v>
      </c>
      <c r="I7" s="105">
        <v>0.59</v>
      </c>
      <c r="J7" s="106">
        <f>H7*I7</f>
        <v>2522.25</v>
      </c>
      <c r="K7" s="107">
        <f>(J7/G7)^(1/5)-1</f>
        <v>3.20526689458287E-2</v>
      </c>
      <c r="L7" s="108">
        <f>2*(1+K7)/(2+K7)</f>
        <v>1.0157735424064853</v>
      </c>
      <c r="M7" s="109">
        <f>D7*L7</f>
        <v>9.6498486528616104E-2</v>
      </c>
      <c r="N7" s="110"/>
      <c r="O7" s="111"/>
    </row>
    <row r="8" spans="1:15" ht="12.75" customHeight="1">
      <c r="A8" s="104"/>
      <c r="B8" s="14" t="s">
        <v>1269</v>
      </c>
      <c r="C8" s="8" t="s">
        <v>1102</v>
      </c>
      <c r="D8" s="105">
        <v>0.1</v>
      </c>
      <c r="E8" s="106">
        <v>9832</v>
      </c>
      <c r="F8" s="105">
        <v>0.46700000000000003</v>
      </c>
      <c r="G8" s="106">
        <f t="shared" ref="G8:G29" si="0">E8*F8</f>
        <v>4591.5439999999999</v>
      </c>
      <c r="H8" s="106">
        <v>12000</v>
      </c>
      <c r="I8" s="105">
        <v>0.48</v>
      </c>
      <c r="J8" s="106">
        <f t="shared" ref="J8:J29" si="1">H8*I8</f>
        <v>5760</v>
      </c>
      <c r="K8" s="107">
        <f t="shared" ref="K8:K29" si="2">(J8/G8)^(1/5)-1</f>
        <v>4.6387990568202975E-2</v>
      </c>
      <c r="L8" s="108">
        <f t="shared" ref="L8:L29" si="3">2*(1+K8)/(2+K8)</f>
        <v>1.0226682284991924</v>
      </c>
      <c r="M8" s="109">
        <f t="shared" ref="M8:M29" si="4">D8*L8</f>
        <v>0.10226682284991924</v>
      </c>
    </row>
    <row r="9" spans="1:15" ht="12.75" customHeight="1">
      <c r="A9" s="104"/>
      <c r="B9" s="14" t="s">
        <v>1270</v>
      </c>
      <c r="C9" s="8" t="s">
        <v>930</v>
      </c>
      <c r="D9" s="105">
        <v>0.105</v>
      </c>
      <c r="E9" s="106">
        <v>15632</v>
      </c>
      <c r="F9" s="105">
        <v>0.48799999999999999</v>
      </c>
      <c r="G9" s="106">
        <f t="shared" si="0"/>
        <v>7628.4160000000002</v>
      </c>
      <c r="H9" s="106">
        <v>21000</v>
      </c>
      <c r="I9" s="105">
        <v>0.505</v>
      </c>
      <c r="J9" s="106">
        <f t="shared" si="1"/>
        <v>10605</v>
      </c>
      <c r="K9" s="107">
        <f t="shared" si="2"/>
        <v>6.8108228733407827E-2</v>
      </c>
      <c r="L9" s="108">
        <f t="shared" si="3"/>
        <v>1.0329326230548002</v>
      </c>
      <c r="M9" s="109">
        <f t="shared" si="4"/>
        <v>0.10845792542075401</v>
      </c>
    </row>
    <row r="10" spans="1:15" ht="12.75" customHeight="1">
      <c r="A10" s="104"/>
      <c r="B10" s="14" t="s">
        <v>1271</v>
      </c>
      <c r="C10" s="25" t="s">
        <v>319</v>
      </c>
      <c r="D10" s="105">
        <v>0.105</v>
      </c>
      <c r="E10" s="106">
        <v>40677</v>
      </c>
      <c r="F10" s="105">
        <v>0.46800000000000003</v>
      </c>
      <c r="G10" s="106">
        <f t="shared" si="0"/>
        <v>19036.835999999999</v>
      </c>
      <c r="H10" s="106">
        <v>53000</v>
      </c>
      <c r="I10" s="105">
        <v>0.46500000000000002</v>
      </c>
      <c r="J10" s="106">
        <f t="shared" si="1"/>
        <v>24645</v>
      </c>
      <c r="K10" s="107">
        <f t="shared" si="2"/>
        <v>5.2996216644000338E-2</v>
      </c>
      <c r="L10" s="108">
        <f t="shared" si="3"/>
        <v>1.0258140839297953</v>
      </c>
      <c r="M10" s="109">
        <f t="shared" si="4"/>
        <v>0.1077104788126285</v>
      </c>
    </row>
    <row r="11" spans="1:15" ht="12.75" customHeight="1">
      <c r="A11" s="104"/>
      <c r="B11" s="14" t="s">
        <v>1272</v>
      </c>
      <c r="C11" s="8" t="s">
        <v>1273</v>
      </c>
      <c r="D11" s="105">
        <v>0.08</v>
      </c>
      <c r="E11" s="106">
        <v>3580.3</v>
      </c>
      <c r="F11" s="105">
        <v>0.495</v>
      </c>
      <c r="G11" s="106">
        <f t="shared" si="0"/>
        <v>1772.2485000000001</v>
      </c>
      <c r="H11" s="106">
        <v>4550</v>
      </c>
      <c r="I11" s="105">
        <v>0.5</v>
      </c>
      <c r="J11" s="106">
        <f t="shared" si="1"/>
        <v>2275</v>
      </c>
      <c r="K11" s="107">
        <f t="shared" si="2"/>
        <v>5.1214533842601551E-2</v>
      </c>
      <c r="L11" s="108">
        <f t="shared" si="3"/>
        <v>1.0249679070607305</v>
      </c>
      <c r="M11" s="109">
        <f t="shared" si="4"/>
        <v>8.1997432564858447E-2</v>
      </c>
    </row>
    <row r="12" spans="1:15" ht="12.75" customHeight="1">
      <c r="A12" s="104"/>
      <c r="B12" s="14" t="s">
        <v>1274</v>
      </c>
      <c r="C12" s="8" t="s">
        <v>474</v>
      </c>
      <c r="D12" s="105">
        <v>0.1</v>
      </c>
      <c r="E12" s="106">
        <v>16740</v>
      </c>
      <c r="F12" s="105">
        <v>0.375</v>
      </c>
      <c r="G12" s="106">
        <f t="shared" si="0"/>
        <v>6277.5</v>
      </c>
      <c r="H12" s="106">
        <v>26700</v>
      </c>
      <c r="I12" s="105">
        <v>0.45</v>
      </c>
      <c r="J12" s="106">
        <f t="shared" si="1"/>
        <v>12015</v>
      </c>
      <c r="K12" s="107">
        <f t="shared" si="2"/>
        <v>0.138642554709693</v>
      </c>
      <c r="L12" s="108">
        <f t="shared" si="3"/>
        <v>1.0648273618255542</v>
      </c>
      <c r="M12" s="109">
        <f t="shared" si="4"/>
        <v>0.10648273618255542</v>
      </c>
    </row>
    <row r="13" spans="1:15" ht="12.75" customHeight="1">
      <c r="A13" s="104"/>
      <c r="B13" s="14" t="s">
        <v>1275</v>
      </c>
      <c r="C13" s="8" t="s">
        <v>381</v>
      </c>
      <c r="D13" s="105">
        <v>0.14000000000000001</v>
      </c>
      <c r="E13" s="106">
        <v>15476</v>
      </c>
      <c r="F13" s="105">
        <v>0.307</v>
      </c>
      <c r="G13" s="106">
        <f t="shared" si="0"/>
        <v>4751.1319999999996</v>
      </c>
      <c r="H13" s="106">
        <v>20000</v>
      </c>
      <c r="I13" s="105">
        <v>0.36499999999999999</v>
      </c>
      <c r="J13" s="106">
        <f t="shared" si="1"/>
        <v>7300</v>
      </c>
      <c r="K13" s="107">
        <f t="shared" si="2"/>
        <v>8.9695488151713576E-2</v>
      </c>
      <c r="L13" s="108">
        <f t="shared" si="3"/>
        <v>1.0429227553297955</v>
      </c>
      <c r="M13" s="109">
        <f t="shared" si="4"/>
        <v>0.14600918574617139</v>
      </c>
    </row>
    <row r="14" spans="1:15" ht="12.75" customHeight="1">
      <c r="A14" s="104"/>
      <c r="B14" s="14" t="s">
        <v>1276</v>
      </c>
      <c r="C14" s="8" t="s">
        <v>405</v>
      </c>
      <c r="D14" s="105">
        <v>0.13</v>
      </c>
      <c r="E14" s="106">
        <v>51251</v>
      </c>
      <c r="F14" s="105">
        <v>0.39200000000000002</v>
      </c>
      <c r="G14" s="106">
        <f t="shared" si="0"/>
        <v>20090.392</v>
      </c>
      <c r="H14" s="106">
        <v>84000</v>
      </c>
      <c r="I14" s="105">
        <v>0.41</v>
      </c>
      <c r="J14" s="106">
        <f t="shared" si="1"/>
        <v>34440</v>
      </c>
      <c r="K14" s="107">
        <f t="shared" si="2"/>
        <v>0.11381983202282475</v>
      </c>
      <c r="L14" s="108">
        <f t="shared" si="3"/>
        <v>1.053845569191157</v>
      </c>
      <c r="M14" s="109">
        <f t="shared" si="4"/>
        <v>0.13699992399485042</v>
      </c>
    </row>
    <row r="15" spans="1:15" ht="12.75" customHeight="1">
      <c r="A15" s="104"/>
      <c r="B15" s="14" t="s">
        <v>1277</v>
      </c>
      <c r="C15" s="8" t="s">
        <v>983</v>
      </c>
      <c r="D15" s="105">
        <v>0.105</v>
      </c>
      <c r="E15" s="106">
        <v>22371</v>
      </c>
      <c r="F15" s="105">
        <v>0.45800000000000002</v>
      </c>
      <c r="G15" s="106">
        <f t="shared" si="0"/>
        <v>10245.918</v>
      </c>
      <c r="H15" s="106">
        <v>32300</v>
      </c>
      <c r="I15" s="105">
        <v>0.45500000000000002</v>
      </c>
      <c r="J15" s="106">
        <f t="shared" si="1"/>
        <v>14696.5</v>
      </c>
      <c r="K15" s="107">
        <f t="shared" si="2"/>
        <v>7.4812252583393635E-2</v>
      </c>
      <c r="L15" s="108">
        <f t="shared" si="3"/>
        <v>1.0360573601251115</v>
      </c>
      <c r="M15" s="109">
        <f t="shared" si="4"/>
        <v>0.10878602281313671</v>
      </c>
    </row>
    <row r="16" spans="1:15" ht="12.75" customHeight="1">
      <c r="A16" s="104"/>
      <c r="B16" s="14" t="s">
        <v>1278</v>
      </c>
      <c r="C16" s="8" t="s">
        <v>409</v>
      </c>
      <c r="D16" s="105">
        <v>8.5000000000000006E-2</v>
      </c>
      <c r="E16" s="106">
        <v>94940</v>
      </c>
      <c r="F16" s="105">
        <v>0.46200000000000002</v>
      </c>
      <c r="G16" s="106">
        <f t="shared" si="0"/>
        <v>43862.28</v>
      </c>
      <c r="H16" s="106">
        <v>119500</v>
      </c>
      <c r="I16" s="105">
        <v>0.435</v>
      </c>
      <c r="J16" s="106">
        <f t="shared" si="1"/>
        <v>51982.5</v>
      </c>
      <c r="K16" s="107">
        <f t="shared" si="2"/>
        <v>3.4554065880317841E-2</v>
      </c>
      <c r="L16" s="108">
        <f t="shared" si="3"/>
        <v>1.0169836066093267</v>
      </c>
      <c r="M16" s="109">
        <f t="shared" si="4"/>
        <v>8.6443606561792785E-2</v>
      </c>
    </row>
    <row r="17" spans="1:13" ht="12.75" customHeight="1">
      <c r="A17" s="104"/>
      <c r="B17" s="14" t="s">
        <v>1279</v>
      </c>
      <c r="C17" s="8" t="s">
        <v>423</v>
      </c>
      <c r="D17" s="105">
        <v>0.11</v>
      </c>
      <c r="E17" s="106">
        <v>24602</v>
      </c>
      <c r="F17" s="105">
        <v>0.35899999999999999</v>
      </c>
      <c r="G17" s="106">
        <f t="shared" si="0"/>
        <v>8832.1180000000004</v>
      </c>
      <c r="H17" s="106">
        <v>30600</v>
      </c>
      <c r="I17" s="105">
        <v>0.4</v>
      </c>
      <c r="J17" s="106">
        <f t="shared" si="1"/>
        <v>12240</v>
      </c>
      <c r="K17" s="107">
        <f t="shared" si="2"/>
        <v>6.7439601817479211E-2</v>
      </c>
      <c r="L17" s="108">
        <f t="shared" si="3"/>
        <v>1.0326198655371568</v>
      </c>
      <c r="M17" s="109">
        <f t="shared" si="4"/>
        <v>0.11358818520908724</v>
      </c>
    </row>
    <row r="18" spans="1:13" ht="12.75" customHeight="1">
      <c r="A18" s="104"/>
      <c r="B18" s="14" t="s">
        <v>1281</v>
      </c>
      <c r="C18" s="8" t="s">
        <v>1034</v>
      </c>
      <c r="D18" s="105">
        <v>0.16</v>
      </c>
      <c r="E18" s="106">
        <v>24565</v>
      </c>
      <c r="F18" s="105">
        <v>0.27400000000000002</v>
      </c>
      <c r="G18" s="106">
        <f t="shared" si="0"/>
        <v>6730.81</v>
      </c>
      <c r="H18" s="106">
        <v>34100</v>
      </c>
      <c r="I18" s="105">
        <v>0.32</v>
      </c>
      <c r="J18" s="106">
        <f t="shared" si="1"/>
        <v>10912</v>
      </c>
      <c r="K18" s="107">
        <f t="shared" si="2"/>
        <v>0.10145663959510953</v>
      </c>
      <c r="L18" s="108">
        <f t="shared" si="3"/>
        <v>1.0482791972403758</v>
      </c>
      <c r="M18" s="109">
        <f t="shared" si="4"/>
        <v>0.16772467155846013</v>
      </c>
    </row>
    <row r="19" spans="1:13" ht="12.75" customHeight="1">
      <c r="A19" s="104"/>
      <c r="B19" s="14" t="s">
        <v>1280</v>
      </c>
      <c r="C19" s="8" t="s">
        <v>922</v>
      </c>
      <c r="D19" s="105">
        <v>8.5000000000000006E-2</v>
      </c>
      <c r="E19" s="106">
        <v>16716</v>
      </c>
      <c r="F19" s="105">
        <v>0.6</v>
      </c>
      <c r="G19" s="106">
        <f t="shared" si="0"/>
        <v>10029.6</v>
      </c>
      <c r="H19" s="106">
        <v>18600</v>
      </c>
      <c r="I19" s="105">
        <v>0.47499999999999998</v>
      </c>
      <c r="J19" s="106">
        <f t="shared" si="1"/>
        <v>8835</v>
      </c>
      <c r="K19" s="107">
        <f t="shared" si="2"/>
        <v>-2.5044961112981601E-2</v>
      </c>
      <c r="L19" s="108">
        <f t="shared" si="3"/>
        <v>0.98731871834049667</v>
      </c>
      <c r="M19" s="109">
        <f t="shared" si="4"/>
        <v>8.3922091058942216E-2</v>
      </c>
    </row>
    <row r="20" spans="1:13" ht="12.75" customHeight="1">
      <c r="A20" s="104"/>
      <c r="B20" s="14" t="s">
        <v>1282</v>
      </c>
      <c r="C20" s="8" t="s">
        <v>1283</v>
      </c>
      <c r="D20" s="105">
        <v>9.5000000000000001E-2</v>
      </c>
      <c r="E20" s="106">
        <v>4205.1000000000004</v>
      </c>
      <c r="F20" s="105">
        <v>0.56399999999999995</v>
      </c>
      <c r="G20" s="106">
        <f t="shared" si="0"/>
        <v>2371.6763999999998</v>
      </c>
      <c r="H20" s="106">
        <v>5000</v>
      </c>
      <c r="I20" s="105">
        <v>0.56999999999999995</v>
      </c>
      <c r="J20" s="106">
        <f t="shared" si="1"/>
        <v>2849.9999999999995</v>
      </c>
      <c r="K20" s="107">
        <f t="shared" si="2"/>
        <v>3.7427809484353425E-2</v>
      </c>
      <c r="L20" s="108">
        <f t="shared" si="3"/>
        <v>1.0183701279182136</v>
      </c>
      <c r="M20" s="109">
        <f t="shared" si="4"/>
        <v>9.6745162152230293E-2</v>
      </c>
    </row>
    <row r="21" spans="1:13" ht="12.75" customHeight="1">
      <c r="A21" s="104"/>
      <c r="B21" s="14" t="s">
        <v>1284</v>
      </c>
      <c r="C21" s="8" t="s">
        <v>438</v>
      </c>
      <c r="D21" s="105">
        <v>0.13500000000000001</v>
      </c>
      <c r="E21" s="106">
        <v>60926</v>
      </c>
      <c r="F21" s="105">
        <v>0.56000000000000005</v>
      </c>
      <c r="G21" s="106">
        <f t="shared" si="0"/>
        <v>34118.560000000005</v>
      </c>
      <c r="H21" s="106">
        <v>84600</v>
      </c>
      <c r="I21" s="105">
        <v>0.54</v>
      </c>
      <c r="J21" s="106">
        <f t="shared" si="1"/>
        <v>45684</v>
      </c>
      <c r="K21" s="107">
        <f t="shared" si="2"/>
        <v>6.0119165287952026E-2</v>
      </c>
      <c r="L21" s="108">
        <f t="shared" si="3"/>
        <v>1.0291823727000515</v>
      </c>
      <c r="M21" s="109">
        <f t="shared" si="4"/>
        <v>0.13893962031450696</v>
      </c>
    </row>
    <row r="22" spans="1:13" ht="12.75" customHeight="1">
      <c r="A22" s="104"/>
      <c r="B22" s="14" t="s">
        <v>1285</v>
      </c>
      <c r="C22" s="8" t="s">
        <v>1286</v>
      </c>
      <c r="D22" s="105">
        <v>0.09</v>
      </c>
      <c r="E22" s="106">
        <v>4064.6</v>
      </c>
      <c r="F22" s="105">
        <v>0.47799999999999998</v>
      </c>
      <c r="G22" s="106">
        <f t="shared" si="0"/>
        <v>1942.8788</v>
      </c>
      <c r="H22" s="106">
        <v>4400</v>
      </c>
      <c r="I22" s="105">
        <v>0.52</v>
      </c>
      <c r="J22" s="106">
        <f t="shared" si="1"/>
        <v>2288</v>
      </c>
      <c r="K22" s="107">
        <f t="shared" si="2"/>
        <v>3.3242025569625078E-2</v>
      </c>
      <c r="L22" s="108">
        <f t="shared" si="3"/>
        <v>1.0163492713368996</v>
      </c>
      <c r="M22" s="109">
        <f t="shared" si="4"/>
        <v>9.1471434420320963E-2</v>
      </c>
    </row>
    <row r="23" spans="1:13" ht="12.75" customHeight="1">
      <c r="A23" s="104"/>
      <c r="B23" s="14" t="s">
        <v>1287</v>
      </c>
      <c r="C23" s="8" t="s">
        <v>1288</v>
      </c>
      <c r="D23" s="105">
        <v>0.115</v>
      </c>
      <c r="E23" s="106">
        <v>6902</v>
      </c>
      <c r="F23" s="105">
        <v>0.57999999999999996</v>
      </c>
      <c r="G23" s="106">
        <f t="shared" si="0"/>
        <v>4003.16</v>
      </c>
      <c r="H23" s="106">
        <v>8650</v>
      </c>
      <c r="I23" s="105">
        <v>0.54500000000000004</v>
      </c>
      <c r="J23" s="106">
        <f t="shared" si="1"/>
        <v>4714.25</v>
      </c>
      <c r="K23" s="107">
        <f t="shared" si="2"/>
        <v>3.3241716538676247E-2</v>
      </c>
      <c r="L23" s="108">
        <f t="shared" si="3"/>
        <v>1.0163491218325316</v>
      </c>
      <c r="M23" s="109">
        <f t="shared" si="4"/>
        <v>0.11688014901074113</v>
      </c>
    </row>
    <row r="24" spans="1:13" ht="12.75" customHeight="1">
      <c r="A24" s="104"/>
      <c r="B24" s="14" t="s">
        <v>1289</v>
      </c>
      <c r="C24" s="8" t="s">
        <v>589</v>
      </c>
      <c r="D24" s="105">
        <v>0.105</v>
      </c>
      <c r="E24" s="106">
        <v>9861.1</v>
      </c>
      <c r="F24" s="105">
        <v>0.53</v>
      </c>
      <c r="G24" s="106">
        <f t="shared" si="0"/>
        <v>5226.3830000000007</v>
      </c>
      <c r="H24" s="106">
        <v>11275</v>
      </c>
      <c r="I24" s="105">
        <v>0.56999999999999995</v>
      </c>
      <c r="J24" s="106">
        <f t="shared" si="1"/>
        <v>6426.7499999999991</v>
      </c>
      <c r="K24" s="107">
        <f t="shared" si="2"/>
        <v>4.2216716594381198E-2</v>
      </c>
      <c r="L24" s="108">
        <f t="shared" si="3"/>
        <v>1.0206720061839385</v>
      </c>
      <c r="M24" s="109">
        <f t="shared" si="4"/>
        <v>0.10717056064931353</v>
      </c>
    </row>
    <row r="25" spans="1:13" ht="12.75" customHeight="1">
      <c r="A25" s="104"/>
      <c r="B25" s="14" t="s">
        <v>1290</v>
      </c>
      <c r="C25" s="8" t="s">
        <v>1291</v>
      </c>
      <c r="D25" s="105">
        <v>0.1</v>
      </c>
      <c r="E25" s="106">
        <v>4370</v>
      </c>
      <c r="F25" s="105">
        <v>0.38600000000000001</v>
      </c>
      <c r="G25" s="106">
        <f t="shared" si="0"/>
        <v>1686.82</v>
      </c>
      <c r="H25" s="106">
        <v>5575</v>
      </c>
      <c r="I25" s="105">
        <v>0.40500000000000003</v>
      </c>
      <c r="J25" s="106">
        <f t="shared" si="1"/>
        <v>2257.875</v>
      </c>
      <c r="K25" s="107">
        <f t="shared" si="2"/>
        <v>6.0049707800694963E-2</v>
      </c>
      <c r="L25" s="108">
        <f t="shared" si="3"/>
        <v>1.0291496402117424</v>
      </c>
      <c r="M25" s="109">
        <f t="shared" si="4"/>
        <v>0.10291496402117424</v>
      </c>
    </row>
    <row r="26" spans="1:13" ht="12.75" customHeight="1">
      <c r="A26" s="104"/>
      <c r="B26" s="14" t="s">
        <v>1292</v>
      </c>
      <c r="C26" s="8" t="s">
        <v>1293</v>
      </c>
      <c r="D26" s="105">
        <v>0.09</v>
      </c>
      <c r="E26" s="106">
        <v>4684</v>
      </c>
      <c r="F26" s="105">
        <v>0.53500000000000003</v>
      </c>
      <c r="G26" s="106">
        <f t="shared" si="0"/>
        <v>2505.94</v>
      </c>
      <c r="H26" s="106">
        <v>5725</v>
      </c>
      <c r="I26" s="105">
        <v>0.51500000000000001</v>
      </c>
      <c r="J26" s="106">
        <f t="shared" si="1"/>
        <v>2948.375</v>
      </c>
      <c r="K26" s="107">
        <f t="shared" si="2"/>
        <v>3.3052541117937206E-2</v>
      </c>
      <c r="L26" s="108">
        <f t="shared" si="3"/>
        <v>1.0162575931755125</v>
      </c>
      <c r="M26" s="109">
        <f t="shared" si="4"/>
        <v>9.1463183385796121E-2</v>
      </c>
    </row>
    <row r="27" spans="1:13" ht="12.75" customHeight="1">
      <c r="A27" s="104"/>
      <c r="B27" s="14" t="s">
        <v>1294</v>
      </c>
      <c r="C27" s="8" t="s">
        <v>581</v>
      </c>
      <c r="D27" s="105">
        <v>0.13</v>
      </c>
      <c r="E27" s="106">
        <v>31726</v>
      </c>
      <c r="F27" s="105">
        <v>0.36699999999999999</v>
      </c>
      <c r="G27" s="106">
        <f t="shared" si="0"/>
        <v>11643.441999999999</v>
      </c>
      <c r="H27" s="106">
        <v>37200</v>
      </c>
      <c r="I27" s="105">
        <v>0.45</v>
      </c>
      <c r="J27" s="106">
        <f t="shared" si="1"/>
        <v>16740</v>
      </c>
      <c r="K27" s="107">
        <f t="shared" si="2"/>
        <v>7.5312796131279391E-2</v>
      </c>
      <c r="L27" s="108">
        <f t="shared" si="3"/>
        <v>1.0362898529184008</v>
      </c>
      <c r="M27" s="109">
        <f t="shared" si="4"/>
        <v>0.13471768087939212</v>
      </c>
    </row>
    <row r="28" spans="1:13" ht="12.75" customHeight="1">
      <c r="A28" s="104"/>
      <c r="B28" s="14" t="s">
        <v>1295</v>
      </c>
      <c r="C28" s="8" t="s">
        <v>617</v>
      </c>
      <c r="D28" s="105">
        <v>0.125</v>
      </c>
      <c r="E28" s="106">
        <v>65750</v>
      </c>
      <c r="F28" s="105">
        <v>0.376</v>
      </c>
      <c r="G28" s="106">
        <f t="shared" si="0"/>
        <v>24722</v>
      </c>
      <c r="H28" s="106">
        <v>78500</v>
      </c>
      <c r="I28" s="105">
        <v>0.42</v>
      </c>
      <c r="J28" s="106">
        <f t="shared" si="1"/>
        <v>32970</v>
      </c>
      <c r="K28" s="107">
        <f t="shared" si="2"/>
        <v>5.9270966789170432E-2</v>
      </c>
      <c r="L28" s="108">
        <f t="shared" si="3"/>
        <v>1.0287825000910815</v>
      </c>
      <c r="M28" s="109">
        <f t="shared" si="4"/>
        <v>0.12859781251138519</v>
      </c>
    </row>
    <row r="29" spans="1:13" ht="12.75" customHeight="1">
      <c r="A29" s="104"/>
      <c r="B29" s="14" t="s">
        <v>1296</v>
      </c>
      <c r="C29" s="25" t="s">
        <v>733</v>
      </c>
      <c r="D29" s="105">
        <v>0.11</v>
      </c>
      <c r="E29" s="106">
        <v>28025</v>
      </c>
      <c r="F29" s="105">
        <v>0.436</v>
      </c>
      <c r="G29" s="106">
        <f t="shared" si="0"/>
        <v>12218.9</v>
      </c>
      <c r="H29" s="106">
        <v>36900</v>
      </c>
      <c r="I29" s="105">
        <v>0.42</v>
      </c>
      <c r="J29" s="106">
        <f t="shared" si="1"/>
        <v>15498</v>
      </c>
      <c r="K29" s="107">
        <f t="shared" si="2"/>
        <v>4.8693821229973899E-2</v>
      </c>
      <c r="L29" s="108">
        <f t="shared" si="3"/>
        <v>1.0237682276997055</v>
      </c>
      <c r="M29" s="109">
        <f t="shared" si="4"/>
        <v>0.11261450504696761</v>
      </c>
    </row>
    <row r="30" spans="1:13" ht="12.75" customHeight="1">
      <c r="A30" s="104"/>
      <c r="B30" s="95"/>
      <c r="C30" s="98"/>
      <c r="D30" s="105"/>
      <c r="E30" s="106"/>
      <c r="F30" s="105"/>
      <c r="G30" s="106"/>
      <c r="H30" s="106"/>
      <c r="I30" s="105"/>
      <c r="J30" s="106"/>
      <c r="K30" s="107"/>
      <c r="L30" s="108"/>
      <c r="M30" s="109"/>
    </row>
    <row r="31" spans="1:13" ht="12.75" customHeight="1">
      <c r="A31" s="104"/>
      <c r="B31" s="161" t="s">
        <v>1258</v>
      </c>
      <c r="C31" s="162"/>
      <c r="D31" s="163"/>
      <c r="E31" s="163"/>
      <c r="F31" s="163"/>
      <c r="G31" s="163"/>
      <c r="H31" s="163"/>
      <c r="I31" s="163"/>
      <c r="J31" s="163"/>
      <c r="K31" s="163"/>
      <c r="L31" s="164"/>
      <c r="M31" s="165">
        <f>AVERAGE(M7:M29)</f>
        <v>0.11166968007363484</v>
      </c>
    </row>
    <row r="32" spans="1:13" ht="12.75" customHeight="1" thickBot="1">
      <c r="A32" s="104"/>
      <c r="B32" s="158" t="s">
        <v>1203</v>
      </c>
      <c r="C32" s="159"/>
      <c r="D32" s="160"/>
      <c r="E32" s="160"/>
      <c r="F32" s="160"/>
      <c r="G32" s="160"/>
      <c r="H32" s="160"/>
      <c r="I32" s="160"/>
      <c r="J32" s="160"/>
      <c r="K32" s="160"/>
      <c r="L32" s="158"/>
      <c r="M32" s="166">
        <f>MEDIAN(M7:M29)</f>
        <v>0.1077104788126285</v>
      </c>
    </row>
    <row r="33" spans="1:14" ht="12.75" customHeight="1">
      <c r="A33" s="95"/>
      <c r="B33" s="113"/>
      <c r="C33" s="95"/>
      <c r="D33" s="95"/>
      <c r="E33" s="95"/>
      <c r="F33" s="95"/>
      <c r="G33" s="95"/>
      <c r="H33" s="95"/>
      <c r="I33" s="95"/>
      <c r="J33" s="95"/>
      <c r="K33" s="95"/>
      <c r="L33" s="95"/>
      <c r="M33" s="95"/>
    </row>
    <row r="34" spans="1:14" ht="12.75" customHeight="1">
      <c r="A34" s="95"/>
      <c r="B34" s="114" t="s">
        <v>23</v>
      </c>
      <c r="C34" s="95"/>
      <c r="D34" s="95"/>
      <c r="E34" s="95"/>
      <c r="F34" s="95"/>
      <c r="G34" s="95"/>
      <c r="H34" s="95"/>
      <c r="I34" s="95"/>
      <c r="J34" s="95"/>
      <c r="K34" s="95"/>
      <c r="L34" s="95"/>
      <c r="M34" s="95"/>
      <c r="N34" s="115"/>
    </row>
    <row r="35" spans="1:14" ht="12.75" customHeight="1">
      <c r="A35" s="95"/>
      <c r="B35" s="116" t="s">
        <v>1192</v>
      </c>
      <c r="C35" s="95"/>
      <c r="D35" s="95"/>
      <c r="E35" s="95"/>
      <c r="F35" s="95"/>
      <c r="G35" s="117"/>
      <c r="H35" s="118"/>
      <c r="I35" s="118"/>
      <c r="J35" s="118"/>
      <c r="K35" s="118"/>
      <c r="L35" s="118"/>
      <c r="M35" s="118"/>
      <c r="N35" s="119"/>
    </row>
    <row r="36" spans="1:14" ht="12.75" customHeight="1">
      <c r="A36" s="95"/>
      <c r="B36" s="116" t="s">
        <v>1191</v>
      </c>
      <c r="C36" s="95"/>
      <c r="D36" s="95"/>
      <c r="E36" s="95"/>
      <c r="F36" s="95"/>
      <c r="G36" s="120"/>
      <c r="H36" s="120"/>
      <c r="I36" s="120"/>
      <c r="J36" s="120"/>
      <c r="K36" s="120"/>
      <c r="L36" s="120"/>
      <c r="M36" s="95"/>
      <c r="N36" s="121"/>
    </row>
    <row r="37" spans="1:14" ht="12.75" customHeight="1">
      <c r="A37" s="95"/>
      <c r="B37" s="116" t="s">
        <v>1190</v>
      </c>
      <c r="C37" s="95"/>
      <c r="D37" s="95"/>
      <c r="E37" s="95"/>
      <c r="F37" s="95"/>
      <c r="G37" s="122"/>
      <c r="H37" s="122"/>
      <c r="I37" s="122"/>
      <c r="J37" s="122"/>
      <c r="K37" s="122"/>
      <c r="L37" s="122"/>
      <c r="M37" s="95"/>
      <c r="N37" s="111"/>
    </row>
    <row r="38" spans="1:14" ht="12.75" customHeight="1">
      <c r="A38" s="95"/>
      <c r="B38" s="116" t="s">
        <v>1217</v>
      </c>
      <c r="C38" s="95"/>
      <c r="D38" s="95"/>
      <c r="E38" s="95"/>
      <c r="F38" s="95"/>
      <c r="G38" s="95"/>
      <c r="H38" s="95"/>
      <c r="I38" s="95"/>
      <c r="J38" s="95"/>
      <c r="K38" s="95"/>
      <c r="L38" s="95"/>
      <c r="M38" s="95"/>
    </row>
    <row r="39" spans="1:14" ht="12.75" customHeight="1">
      <c r="A39" s="95"/>
      <c r="B39" s="116" t="s">
        <v>1189</v>
      </c>
      <c r="C39" s="95"/>
      <c r="D39" s="95"/>
      <c r="E39" s="95"/>
      <c r="F39" s="95"/>
      <c r="G39" s="95"/>
      <c r="H39" s="95"/>
      <c r="I39" s="95"/>
      <c r="J39" s="95"/>
      <c r="K39" s="95"/>
      <c r="L39" s="95"/>
      <c r="M39" s="95"/>
    </row>
    <row r="40" spans="1:14" ht="12.75" customHeight="1">
      <c r="A40" s="95"/>
      <c r="B40" s="116" t="s">
        <v>1188</v>
      </c>
      <c r="C40" s="95"/>
      <c r="D40" s="95"/>
      <c r="E40" s="95"/>
      <c r="F40" s="95"/>
      <c r="G40" s="95"/>
      <c r="H40" s="95"/>
      <c r="I40" s="95"/>
      <c r="J40" s="95"/>
      <c r="K40" s="95"/>
      <c r="L40" s="95"/>
      <c r="M40" s="95"/>
    </row>
    <row r="41" spans="1:14" ht="12.75" customHeight="1">
      <c r="A41" s="95"/>
      <c r="B41" s="116" t="s">
        <v>1218</v>
      </c>
      <c r="C41" s="95"/>
      <c r="D41" s="95"/>
      <c r="E41" s="95"/>
      <c r="F41" s="95"/>
      <c r="G41" s="95"/>
      <c r="H41" s="95"/>
      <c r="I41" s="95"/>
      <c r="J41" s="95"/>
      <c r="K41" s="95"/>
      <c r="L41" s="95"/>
      <c r="M41" s="95"/>
    </row>
    <row r="42" spans="1:14" ht="12.75" customHeight="1">
      <c r="A42" s="95"/>
      <c r="B42" s="116" t="s">
        <v>1219</v>
      </c>
      <c r="C42" s="95"/>
      <c r="D42" s="95"/>
      <c r="E42" s="95"/>
      <c r="F42" s="95"/>
      <c r="G42" s="95"/>
      <c r="H42" s="95"/>
      <c r="I42" s="95"/>
      <c r="J42" s="95"/>
      <c r="K42" s="95"/>
      <c r="L42" s="95"/>
      <c r="M42" s="95"/>
    </row>
    <row r="43" spans="1:14" ht="12.75" customHeight="1">
      <c r="A43" s="95"/>
      <c r="B43" s="116" t="s">
        <v>1220</v>
      </c>
      <c r="C43" s="95"/>
      <c r="D43" s="95"/>
      <c r="E43" s="95"/>
      <c r="F43" s="95"/>
      <c r="G43" s="95"/>
      <c r="H43" s="95"/>
      <c r="I43" s="95"/>
      <c r="J43" s="95"/>
      <c r="K43" s="95"/>
      <c r="L43" s="95"/>
      <c r="M43" s="95"/>
    </row>
    <row r="44" spans="1:14" ht="12.75" customHeight="1">
      <c r="A44" s="95"/>
      <c r="B44" s="116" t="s">
        <v>1221</v>
      </c>
      <c r="C44" s="95"/>
      <c r="D44" s="95"/>
      <c r="E44" s="95"/>
      <c r="F44" s="95"/>
      <c r="G44" s="95"/>
      <c r="H44" s="95"/>
      <c r="I44" s="95"/>
      <c r="J44" s="95"/>
      <c r="K44" s="95"/>
      <c r="L44" s="95"/>
      <c r="M44" s="95"/>
    </row>
    <row r="45" spans="1:14" ht="12.75" customHeight="1">
      <c r="A45" s="95"/>
      <c r="B45" s="116"/>
      <c r="C45" s="95"/>
      <c r="D45" s="95"/>
      <c r="E45" s="95"/>
      <c r="F45" s="95"/>
      <c r="G45" s="95"/>
      <c r="H45" s="95"/>
      <c r="I45" s="95"/>
      <c r="J45" s="95"/>
      <c r="K45" s="95"/>
      <c r="L45" s="95"/>
      <c r="M45" s="95"/>
    </row>
    <row r="46" spans="1:14" ht="12.75" customHeight="1">
      <c r="A46" s="95"/>
      <c r="B46" s="116"/>
      <c r="C46" s="95"/>
      <c r="D46" s="95"/>
      <c r="E46" s="95"/>
      <c r="F46" s="95"/>
      <c r="G46" s="95"/>
      <c r="H46" s="95"/>
      <c r="I46" s="95"/>
      <c r="J46" s="95"/>
      <c r="K46" s="95"/>
      <c r="L46" s="95"/>
      <c r="M46" s="95"/>
    </row>
    <row r="47" spans="1:14" ht="12.75" customHeight="1">
      <c r="B47" s="123"/>
    </row>
    <row r="48" spans="1:14"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sheetData>
  <mergeCells count="1">
    <mergeCell ref="B2:M2"/>
  </mergeCells>
  <conditionalFormatting sqref="D31:K32 D7:J30">
    <cfRule type="expression" dxfId="4" priority="3">
      <formula>$D7="Yes"</formula>
    </cfRule>
  </conditionalFormatting>
  <conditionalFormatting sqref="B7:C29">
    <cfRule type="expression" dxfId="3" priority="1">
      <formula>"(blank)"</formula>
    </cfRule>
  </conditionalFormatting>
  <conditionalFormatting sqref="B7:C29">
    <cfRule type="expression" dxfId="2" priority="2">
      <formula>#REF!</formula>
    </cfRule>
  </conditionalFormatting>
  <pageMargins left="0.7" right="0.7" top="1" bottom="0.75" header="0.3" footer="0.3"/>
  <pageSetup scale="59" orientation="landscape" useFirstPageNumber="1" r:id="rId1"/>
  <headerFooter>
    <oddHeader>&amp;RDocket No. UE-19____
PacifiCorp
Exhibit No. AEB-10
Page &amp;P of 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9A4C077C-0D50-4495-8C61-C69356C1E20D}"/>
</file>

<file path=customXml/itemProps2.xml><?xml version="1.0" encoding="utf-8"?>
<ds:datastoreItem xmlns:ds="http://schemas.openxmlformats.org/officeDocument/2006/customXml" ds:itemID="{BD942C42-5DAD-4978-A0F7-A690166CD243}"/>
</file>

<file path=customXml/itemProps3.xml><?xml version="1.0" encoding="utf-8"?>
<ds:datastoreItem xmlns:ds="http://schemas.openxmlformats.org/officeDocument/2006/customXml" ds:itemID="{DE5F863A-551B-44E7-BA07-6381FDFF6D15}"/>
</file>

<file path=customXml/itemProps4.xml><?xml version="1.0" encoding="utf-8"?>
<ds:datastoreItem xmlns:ds="http://schemas.openxmlformats.org/officeDocument/2006/customXml" ds:itemID="{6D01BB39-C63C-4E5D-80F0-8A462B054B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Exhibit AEB-4 Summary</vt:lpstr>
      <vt:lpstr>Exhibit AEB-5 Proxy Group</vt:lpstr>
      <vt:lpstr>Exhibit AEB-6 Constant DCF</vt:lpstr>
      <vt:lpstr>Exhibit AEB-7 Projected DCF</vt:lpstr>
      <vt:lpstr>Exhibit AEB-8 CAPM 1</vt:lpstr>
      <vt:lpstr>Exhibit AEB-8 CAPM 2</vt:lpstr>
      <vt:lpstr>Exhibit AEB-8 CAPM 3</vt:lpstr>
      <vt:lpstr>Exhibit AEB-9 Risk Premium</vt:lpstr>
      <vt:lpstr>Exhibit AEB-10 Expected Earning</vt:lpstr>
      <vt:lpstr>Exhibit AEB-11 CapEx 1</vt:lpstr>
      <vt:lpstr>Exhibit AEB-11 CapEx 2</vt:lpstr>
      <vt:lpstr>Exhibit AEB-12  Reg Risk</vt:lpstr>
      <vt:lpstr>Exhibit AEB-13 Cap. Str.</vt:lpstr>
      <vt:lpstr>'Exhibit AEB-10 Expected Earning'!Print_Area</vt:lpstr>
      <vt:lpstr>'Exhibit AEB-11 CapEx 1'!Print_Area</vt:lpstr>
      <vt:lpstr>'Exhibit AEB-11 CapEx 2'!Print_Area</vt:lpstr>
      <vt:lpstr>'Exhibit AEB-13 Cap. Str.'!Print_Area</vt:lpstr>
      <vt:lpstr>'Exhibit AEB-4 Summary'!Print_Area</vt:lpstr>
      <vt:lpstr>'Exhibit AEB-5 Proxy Group'!Print_Area</vt:lpstr>
      <vt:lpstr>'Exhibit AEB-8 CAPM 1'!Print_Area</vt:lpstr>
      <vt:lpstr>'Exhibit AEB-8 CAPM 2'!Print_Area</vt:lpstr>
      <vt:lpstr>'Exhibit AEB-8 CAPM 3'!Print_Area</vt:lpstr>
      <vt:lpstr>'Exhibit AEB-9 Risk Premium'!Print_Area</vt:lpstr>
      <vt:lpstr>'Exhibit AEB-11 CapEx 1'!Print_Titles</vt:lpstr>
      <vt:lpstr>'Exhibit AEB-12  Reg Risk'!Print_Titles</vt:lpstr>
      <vt:lpstr>'Exhibit AEB-8 CAPM 3'!Print_Titles</vt:lpstr>
      <vt:lpstr>'Exhibit AEB-9 Risk Premium'!Print_Titles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2019-12-12T20:07:16Z</dcterms:created>
  <dcterms:modified xsi:type="dcterms:W3CDTF">2019-12-12T20:07:21Z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0x0101006E56B4D1795A2E4DB2F0B01679ED314A00F81A148667A9E046AFA37F66E132B9CA</vt:lpwstr>
  </property>
  <property fmtid="{D5CDD505-2E9C-101B-9397-08002B2CF9AE}" pid="4" name="_docset_NoMedatataSyncRequired">
    <vt:lpwstr>False</vt:lpwstr>
  </property>
  <property fmtid="{D5CDD505-2E9C-101B-9397-08002B2CF9AE}" pid="5" name="IsEFSEC">
    <vt:bool>false</vt:bool>
  </property>
</Properties>
</file>