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080" windowWidth="19320" windowHeight="13545"/>
  </bookViews>
  <sheets>
    <sheet name="JAP-21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I39" i="4"/>
  <c r="G51"/>
  <c r="G39"/>
  <c r="H51"/>
  <c r="H39"/>
  <c r="H63"/>
  <c r="G27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C23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C24"/>
  <c r="C25"/>
  <c r="C26"/>
  <c r="C27"/>
  <c r="C28"/>
  <c r="F28"/>
  <c r="C29"/>
  <c r="F29"/>
  <c r="C30"/>
  <c r="F30"/>
  <c r="C31"/>
  <c r="F31"/>
  <c r="C32"/>
  <c r="F32"/>
  <c r="C33"/>
  <c r="F33"/>
  <c r="C34"/>
  <c r="F34"/>
  <c r="C35"/>
  <c r="F35"/>
  <c r="C36"/>
  <c r="F36"/>
  <c r="C37"/>
  <c r="F37"/>
  <c r="C38"/>
  <c r="F38"/>
  <c r="C39"/>
  <c r="H40"/>
  <c r="H41" s="1"/>
  <c r="H42" s="1"/>
  <c r="H43" s="1"/>
  <c r="H44" s="1"/>
  <c r="H45" s="1"/>
  <c r="H46" s="1"/>
  <c r="H47" s="1"/>
  <c r="H48" s="1"/>
  <c r="H49" s="1"/>
  <c r="H50" s="1"/>
  <c r="C40"/>
  <c r="G40"/>
  <c r="C41"/>
  <c r="C42"/>
  <c r="C43"/>
  <c r="C44"/>
  <c r="C45"/>
  <c r="C46"/>
  <c r="C47"/>
  <c r="D47"/>
  <c r="C48"/>
  <c r="D48"/>
  <c r="C49"/>
  <c r="D49"/>
  <c r="C50"/>
  <c r="D50"/>
  <c r="C51"/>
  <c r="D51"/>
  <c r="C52"/>
  <c r="D52"/>
  <c r="G52"/>
  <c r="H52"/>
  <c r="C53"/>
  <c r="D53"/>
  <c r="G53"/>
  <c r="H53"/>
  <c r="C54"/>
  <c r="D54"/>
  <c r="G54"/>
  <c r="H54"/>
  <c r="C55"/>
  <c r="D55"/>
  <c r="G55"/>
  <c r="H55"/>
  <c r="C56"/>
  <c r="D56"/>
  <c r="G56"/>
  <c r="H56"/>
  <c r="C57"/>
  <c r="D57"/>
  <c r="G57"/>
  <c r="H57"/>
  <c r="C58"/>
  <c r="D58"/>
  <c r="G58"/>
  <c r="H58"/>
  <c r="H59" s="1"/>
  <c r="H60" s="1"/>
  <c r="H61" s="1"/>
  <c r="H62" s="1"/>
  <c r="C59"/>
  <c r="G59"/>
  <c r="C60"/>
  <c r="G60"/>
  <c r="C61"/>
  <c r="G61"/>
  <c r="C62"/>
  <c r="G62"/>
  <c r="C63"/>
  <c r="G63"/>
  <c r="C64"/>
  <c r="D64"/>
  <c r="G64"/>
  <c r="H64"/>
  <c r="C65"/>
  <c r="D65"/>
  <c r="G65"/>
  <c r="H65"/>
  <c r="C66"/>
  <c r="D66"/>
  <c r="G66"/>
  <c r="H66"/>
  <c r="C67"/>
  <c r="D67"/>
  <c r="G67"/>
  <c r="H67"/>
  <c r="C68"/>
  <c r="D68"/>
  <c r="G68"/>
  <c r="H68"/>
  <c r="C69"/>
  <c r="D69"/>
  <c r="G69"/>
  <c r="H69"/>
  <c r="C70"/>
  <c r="D70"/>
  <c r="G70"/>
  <c r="H70"/>
  <c r="C71"/>
  <c r="D71"/>
  <c r="G71"/>
  <c r="H71"/>
  <c r="H72" s="1"/>
  <c r="H73" s="1"/>
  <c r="H74" s="1"/>
  <c r="C72"/>
  <c r="D72"/>
  <c r="G72"/>
  <c r="C73"/>
  <c r="D73"/>
  <c r="G73"/>
  <c r="C74"/>
  <c r="D74"/>
  <c r="G74"/>
  <c r="G41" l="1"/>
  <c r="G42" l="1"/>
  <c r="G43" l="1"/>
  <c r="G44" l="1"/>
  <c r="G45" l="1"/>
  <c r="G46" l="1"/>
  <c r="G47" l="1"/>
  <c r="G48" l="1"/>
  <c r="G49" l="1"/>
  <c r="G50" l="1"/>
  <c r="J27" l="1"/>
  <c r="G28"/>
  <c r="L27" l="1"/>
  <c r="M27" s="1"/>
  <c r="J28"/>
  <c r="G29"/>
  <c r="L28" l="1"/>
  <c r="M28" s="1"/>
  <c r="J29"/>
  <c r="G30"/>
  <c r="L29" l="1"/>
  <c r="M29" s="1"/>
  <c r="J30"/>
  <c r="G31"/>
  <c r="L30" l="1"/>
  <c r="M30" s="1"/>
  <c r="J31"/>
  <c r="G32"/>
  <c r="L31" l="1"/>
  <c r="M31" s="1"/>
  <c r="J32"/>
  <c r="G33"/>
  <c r="J33" l="1"/>
  <c r="G34"/>
  <c r="L32"/>
  <c r="M32" s="1"/>
  <c r="L33" l="1"/>
  <c r="M33" s="1"/>
  <c r="J34"/>
  <c r="G35"/>
  <c r="L34" l="1"/>
  <c r="M34" s="1"/>
  <c r="J35"/>
  <c r="G36"/>
  <c r="I41" l="1"/>
  <c r="J41" s="1"/>
  <c r="I47"/>
  <c r="J47" s="1"/>
  <c r="I40"/>
  <c r="J40" s="1"/>
  <c r="J39"/>
  <c r="I43"/>
  <c r="J43" s="1"/>
  <c r="I44"/>
  <c r="J44" s="1"/>
  <c r="I45"/>
  <c r="J45" s="1"/>
  <c r="I46"/>
  <c r="J46" s="1"/>
  <c r="I50"/>
  <c r="J50" s="1"/>
  <c r="I42"/>
  <c r="J42" s="1"/>
  <c r="I48"/>
  <c r="J48" s="1"/>
  <c r="I49"/>
  <c r="J49" s="1"/>
  <c r="J36"/>
  <c r="G37"/>
  <c r="L35"/>
  <c r="M35" s="1"/>
  <c r="J37" l="1"/>
  <c r="G38"/>
  <c r="J38" s="1"/>
  <c r="L49"/>
  <c r="M49" s="1"/>
  <c r="L42"/>
  <c r="M42" s="1"/>
  <c r="L46"/>
  <c r="M46" s="1"/>
  <c r="L44"/>
  <c r="M44" s="1"/>
  <c r="L39"/>
  <c r="M39"/>
  <c r="L47"/>
  <c r="M47" s="1"/>
  <c r="L36"/>
  <c r="M36" s="1"/>
  <c r="L48"/>
  <c r="M48" s="1"/>
  <c r="L50"/>
  <c r="M50" s="1"/>
  <c r="L45"/>
  <c r="M45"/>
  <c r="L43"/>
  <c r="M43"/>
  <c r="L40"/>
  <c r="M40" s="1"/>
  <c r="L41"/>
  <c r="M41" s="1"/>
  <c r="L38" l="1"/>
  <c r="M38" s="1"/>
  <c r="L37"/>
  <c r="M37" s="1"/>
  <c r="I59" l="1"/>
  <c r="J59" s="1"/>
  <c r="I53"/>
  <c r="J53" s="1"/>
  <c r="I57"/>
  <c r="J57" s="1"/>
  <c r="I61"/>
  <c r="J61" s="1"/>
  <c r="I54"/>
  <c r="J54" s="1"/>
  <c r="I58"/>
  <c r="J58" s="1"/>
  <c r="I51"/>
  <c r="J51" s="1"/>
  <c r="I55"/>
  <c r="J55" s="1"/>
  <c r="I60"/>
  <c r="J60" s="1"/>
  <c r="I52"/>
  <c r="J52" s="1"/>
  <c r="I56"/>
  <c r="J56" s="1"/>
  <c r="I62"/>
  <c r="J62" s="1"/>
  <c r="L62" l="1"/>
  <c r="M62" s="1"/>
  <c r="L52"/>
  <c r="M52" s="1"/>
  <c r="L55"/>
  <c r="M55" s="1"/>
  <c r="L58"/>
  <c r="M58" s="1"/>
  <c r="L61"/>
  <c r="M61"/>
  <c r="L53"/>
  <c r="M53" s="1"/>
  <c r="L56"/>
  <c r="M56" s="1"/>
  <c r="L60"/>
  <c r="M60" s="1"/>
  <c r="L51"/>
  <c r="M51" s="1"/>
  <c r="L54"/>
  <c r="M54" s="1"/>
  <c r="L57"/>
  <c r="M57" s="1"/>
  <c r="L59"/>
  <c r="M59"/>
  <c r="I63" l="1"/>
  <c r="J63" s="1"/>
  <c r="I65"/>
  <c r="J65" s="1"/>
  <c r="I67"/>
  <c r="J67" s="1"/>
  <c r="I69"/>
  <c r="J69" s="1"/>
  <c r="I71"/>
  <c r="J71" s="1"/>
  <c r="I73"/>
  <c r="J73" s="1"/>
  <c r="I64"/>
  <c r="J64" s="1"/>
  <c r="I66"/>
  <c r="J66" s="1"/>
  <c r="I68"/>
  <c r="J68" s="1"/>
  <c r="I70"/>
  <c r="J70" s="1"/>
  <c r="I72"/>
  <c r="J72" s="1"/>
  <c r="I74"/>
  <c r="J74" s="1"/>
  <c r="L74" l="1"/>
  <c r="M74"/>
  <c r="L70"/>
  <c r="M70"/>
  <c r="L66"/>
  <c r="M66"/>
  <c r="L73"/>
  <c r="M73"/>
  <c r="L69"/>
  <c r="M69"/>
  <c r="L65"/>
  <c r="M65"/>
  <c r="L72"/>
  <c r="M72"/>
  <c r="L68"/>
  <c r="M68"/>
  <c r="L64"/>
  <c r="M64"/>
  <c r="L71"/>
  <c r="M71"/>
  <c r="L67"/>
  <c r="M67"/>
  <c r="L63"/>
  <c r="M63"/>
</calcChain>
</file>

<file path=xl/sharedStrings.xml><?xml version="1.0" encoding="utf-8"?>
<sst xmlns="http://schemas.openxmlformats.org/spreadsheetml/2006/main" count="90" uniqueCount="51">
  <si>
    <t>** Could also reflect changes resulting from third-party verification of Company conservation savings.</t>
  </si>
  <si>
    <t>* Subject to tariff conditions.</t>
  </si>
  <si>
    <t>2015-2016</t>
  </si>
  <si>
    <t>2014-2015</t>
  </si>
  <si>
    <t>2013-2014</t>
  </si>
  <si>
    <t>2012-2013</t>
  </si>
  <si>
    <t>(j)=(h)-(i)</t>
  </si>
  <si>
    <t>(i)</t>
  </si>
  <si>
    <t>(h)=(e)+(f)+(g)</t>
  </si>
  <si>
    <t>(g)=Ave(j)</t>
  </si>
  <si>
    <t>(f)=Ave(c)x25%</t>
  </si>
  <si>
    <t>(e)=Ave(c)x75%</t>
  </si>
  <si>
    <t>(d)</t>
  </si>
  <si>
    <t>(c)</t>
  </si>
  <si>
    <t>(b)</t>
  </si>
  <si>
    <t>(a)</t>
  </si>
  <si>
    <t>Rate Year**</t>
  </si>
  <si>
    <t>Rate Year</t>
  </si>
  <si>
    <t>Year**</t>
  </si>
  <si>
    <t>Recovery Year*</t>
  </si>
  <si>
    <t>Recovery Year</t>
  </si>
  <si>
    <t>(UFCA)</t>
  </si>
  <si>
    <t>Year</t>
  </si>
  <si>
    <t>Month</t>
  </si>
  <si>
    <t>No.</t>
  </si>
  <si>
    <t>Next CSA</t>
  </si>
  <si>
    <t>in CSA</t>
  </si>
  <si>
    <t>Recovery</t>
  </si>
  <si>
    <t>Year Following</t>
  </si>
  <si>
    <t>Following</t>
  </si>
  <si>
    <t>(CSA)</t>
  </si>
  <si>
    <t>Amount</t>
  </si>
  <si>
    <t>Line</t>
  </si>
  <si>
    <t>Amount for</t>
  </si>
  <si>
    <t>Revenue</t>
  </si>
  <si>
    <t>from Prior</t>
  </si>
  <si>
    <t>in 2nd CSY Rate</t>
  </si>
  <si>
    <t>in CSY Rate Year</t>
  </si>
  <si>
    <t>Savings Adj.</t>
  </si>
  <si>
    <t>Fixed Cost</t>
  </si>
  <si>
    <t>True-Up</t>
  </si>
  <si>
    <t>Actual</t>
  </si>
  <si>
    <t>Expected</t>
  </si>
  <si>
    <t>25% Recoverable</t>
  </si>
  <si>
    <t>75% Recoverable</t>
  </si>
  <si>
    <t>Conservation</t>
  </si>
  <si>
    <t>Unrecovered</t>
  </si>
  <si>
    <t>Multi-Year Conservation Savings Adjustment Example</t>
  </si>
  <si>
    <t>Test Year Ended December 2010</t>
  </si>
  <si>
    <t>2011 Electric General Rate Case - Initial Filing</t>
  </si>
  <si>
    <t>Puget Sound Energy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</si>
</sst>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&quot;$&quot;#,##0\ ;\(&quot;$&quot;#,##0\)"/>
    <numFmt numFmtId="167" formatCode="00000"/>
    <numFmt numFmtId="168" formatCode="#,##0.00000000000;[Red]\-#,##0.00000000000"/>
    <numFmt numFmtId="169" formatCode="_(&quot;$&quot;* #,##0.0000_);_(&quot;$&quot;* \(#,##0.0000\);_(&quot;$&quot;* &quot;-&quot;????_);_(@_)"/>
    <numFmt numFmtId="170" formatCode="0.000000"/>
    <numFmt numFmtId="171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/>
    <xf numFmtId="2" fontId="5" fillId="0" borderId="0" applyFont="0" applyFill="0" applyBorder="0" applyAlignment="0" applyProtection="0"/>
    <xf numFmtId="38" fontId="7" fillId="5" borderId="0" applyNumberFormat="0" applyBorder="0" applyAlignment="0" applyProtection="0"/>
    <xf numFmtId="38" fontId="8" fillId="0" borderId="0"/>
    <xf numFmtId="40" fontId="8" fillId="0" borderId="0"/>
    <xf numFmtId="10" fontId="7" fillId="6" borderId="18" applyNumberFormat="0" applyBorder="0" applyAlignment="0" applyProtection="0"/>
    <xf numFmtId="44" fontId="3" fillId="0" borderId="19" applyNumberFormat="0" applyFont="0" applyAlignment="0">
      <alignment horizontal="center"/>
    </xf>
    <xf numFmtId="44" fontId="3" fillId="0" borderId="20" applyNumberFormat="0" applyFont="0" applyAlignment="0">
      <alignment horizontal="center"/>
    </xf>
    <xf numFmtId="168" fontId="4" fillId="0" borderId="0"/>
    <xf numFmtId="0" fontId="4" fillId="0" borderId="0"/>
    <xf numFmtId="0" fontId="9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42" fontId="4" fillId="6" borderId="0"/>
    <xf numFmtId="0" fontId="6" fillId="7" borderId="0"/>
    <xf numFmtId="0" fontId="10" fillId="7" borderId="21"/>
    <xf numFmtId="0" fontId="11" fillId="8" borderId="22"/>
    <xf numFmtId="0" fontId="12" fillId="7" borderId="23"/>
    <xf numFmtId="42" fontId="13" fillId="9" borderId="24">
      <alignment vertical="center"/>
    </xf>
    <xf numFmtId="0" fontId="3" fillId="6" borderId="25" applyNumberFormat="0">
      <alignment horizontal="center" vertical="center" wrapText="1"/>
    </xf>
    <xf numFmtId="169" fontId="4" fillId="6" borderId="0"/>
    <xf numFmtId="42" fontId="14" fillId="6" borderId="26">
      <alignment horizontal="left"/>
    </xf>
    <xf numFmtId="38" fontId="7" fillId="0" borderId="27"/>
    <xf numFmtId="38" fontId="8" fillId="0" borderId="26"/>
    <xf numFmtId="170" fontId="4" fillId="0" borderId="0">
      <alignment horizontal="left" wrapText="1"/>
    </xf>
    <xf numFmtId="0" fontId="4" fillId="0" borderId="0" applyNumberFormat="0" applyBorder="0" applyAlignment="0"/>
    <xf numFmtId="0" fontId="6" fillId="0" borderId="0"/>
    <xf numFmtId="0" fontId="10" fillId="7" borderId="0"/>
    <xf numFmtId="171" fontId="15" fillId="0" borderId="0">
      <alignment horizontal="left" vertical="center"/>
    </xf>
    <xf numFmtId="0" fontId="3" fillId="6" borderId="0">
      <alignment horizontal="left" wrapText="1"/>
    </xf>
    <xf numFmtId="0" fontId="16" fillId="0" borderId="0">
      <alignment horizontal="left"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5" fontId="0" fillId="0" borderId="1" xfId="1" applyNumberFormat="1" applyFont="1" applyBorder="1"/>
    <xf numFmtId="5" fontId="0" fillId="0" borderId="2" xfId="1" applyNumberFormat="1" applyFont="1" applyBorder="1"/>
    <xf numFmtId="164" fontId="0" fillId="2" borderId="1" xfId="1" applyNumberFormat="1" applyFont="1" applyFill="1" applyBorder="1"/>
    <xf numFmtId="5" fontId="0" fillId="0" borderId="3" xfId="1" applyNumberFormat="1" applyFont="1" applyBorder="1"/>
    <xf numFmtId="1" fontId="0" fillId="0" borderId="2" xfId="0" applyNumberFormat="1" applyBorder="1" applyAlignment="1">
      <alignment horizontal="center"/>
    </xf>
    <xf numFmtId="6" fontId="0" fillId="2" borderId="1" xfId="0" applyNumberFormat="1" applyFill="1" applyBorder="1"/>
    <xf numFmtId="6" fontId="0" fillId="0" borderId="3" xfId="0" applyNumberFormat="1" applyBorder="1"/>
    <xf numFmtId="1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5" fontId="0" fillId="0" borderId="5" xfId="1" applyNumberFormat="1" applyFont="1" applyBorder="1"/>
    <xf numFmtId="5" fontId="0" fillId="0" borderId="6" xfId="1" applyNumberFormat="1" applyFont="1" applyBorder="1"/>
    <xf numFmtId="164" fontId="0" fillId="2" borderId="5" xfId="1" applyNumberFormat="1" applyFont="1" applyFill="1" applyBorder="1"/>
    <xf numFmtId="5" fontId="0" fillId="0" borderId="7" xfId="1" applyNumberFormat="1" applyFont="1" applyBorder="1"/>
    <xf numFmtId="1" fontId="0" fillId="0" borderId="6" xfId="0" applyNumberFormat="1" applyBorder="1" applyAlignment="1">
      <alignment horizontal="center"/>
    </xf>
    <xf numFmtId="6" fontId="0" fillId="2" borderId="5" xfId="0" applyNumberFormat="1" applyFill="1" applyBorder="1"/>
    <xf numFmtId="6" fontId="0" fillId="0" borderId="7" xfId="0" applyNumberFormat="1" applyBorder="1"/>
    <xf numFmtId="1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5" fontId="0" fillId="0" borderId="8" xfId="1" applyNumberFormat="1" applyFont="1" applyBorder="1"/>
    <xf numFmtId="6" fontId="0" fillId="0" borderId="9" xfId="0" applyNumberFormat="1" applyBorder="1"/>
    <xf numFmtId="1" fontId="0" fillId="0" borderId="8" xfId="0" applyNumberFormat="1" applyBorder="1" applyAlignment="1">
      <alignment horizontal="center"/>
    </xf>
    <xf numFmtId="5" fontId="0" fillId="0" borderId="10" xfId="1" applyNumberFormat="1" applyFont="1" applyBorder="1"/>
    <xf numFmtId="6" fontId="0" fillId="0" borderId="11" xfId="0" applyNumberFormat="1" applyBorder="1"/>
    <xf numFmtId="1" fontId="0" fillId="0" borderId="10" xfId="0" applyNumberFormat="1" applyBorder="1" applyAlignment="1">
      <alignment horizontal="center"/>
    </xf>
    <xf numFmtId="0" fontId="0" fillId="2" borderId="5" xfId="0" applyFill="1" applyBorder="1"/>
    <xf numFmtId="5" fontId="0" fillId="0" borderId="12" xfId="1" applyNumberFormat="1" applyFont="1" applyBorder="1"/>
    <xf numFmtId="5" fontId="0" fillId="0" borderId="9" xfId="1" applyNumberFormat="1" applyFont="1" applyBorder="1"/>
    <xf numFmtId="1" fontId="0" fillId="0" borderId="12" xfId="0" applyNumberFormat="1" applyBorder="1" applyAlignment="1">
      <alignment horizontal="center"/>
    </xf>
    <xf numFmtId="5" fontId="0" fillId="0" borderId="13" xfId="1" applyNumberFormat="1" applyFont="1" applyBorder="1"/>
    <xf numFmtId="5" fontId="0" fillId="0" borderId="11" xfId="1" applyNumberFormat="1" applyFont="1" applyBorder="1"/>
    <xf numFmtId="1" fontId="0" fillId="0" borderId="13" xfId="0" applyNumberFormat="1" applyBorder="1" applyAlignment="1">
      <alignment horizontal="center"/>
    </xf>
    <xf numFmtId="5" fontId="0" fillId="3" borderId="14" xfId="1" applyNumberFormat="1" applyFont="1" applyFill="1" applyBorder="1"/>
    <xf numFmtId="6" fontId="0" fillId="4" borderId="14" xfId="0" applyNumberFormat="1" applyFill="1" applyBorder="1"/>
    <xf numFmtId="5" fontId="0" fillId="3" borderId="15" xfId="1" applyNumberFormat="1" applyFont="1" applyFill="1" applyBorder="1"/>
    <xf numFmtId="6" fontId="0" fillId="4" borderId="15" xfId="0" applyNumberFormat="1" applyFill="1" applyBorder="1"/>
    <xf numFmtId="5" fontId="0" fillId="3" borderId="16" xfId="1" applyNumberFormat="1" applyFont="1" applyFill="1" applyBorder="1"/>
    <xf numFmtId="6" fontId="0" fillId="4" borderId="16" xfId="0" applyNumberFormat="1" applyFill="1" applyBorder="1"/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3" borderId="15" xfId="1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3" borderId="16" xfId="1" applyNumberFormat="1" applyFont="1" applyFill="1" applyBorder="1"/>
    <xf numFmtId="0" fontId="0" fillId="2" borderId="6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44">
    <cellStyle name="Comma 2" xfId="2"/>
    <cellStyle name="Comma0" xfId="3"/>
    <cellStyle name="Comma0 - Style4" xfId="4"/>
    <cellStyle name="Comma1 - Style1" xfId="5"/>
    <cellStyle name="Curren - Style2" xfId="6"/>
    <cellStyle name="Currency" xfId="1" builtinId="4"/>
    <cellStyle name="Currency 2" xfId="7"/>
    <cellStyle name="Currency0" xfId="8"/>
    <cellStyle name="Date" xfId="9"/>
    <cellStyle name="Entered" xfId="10"/>
    <cellStyle name="Fixed" xfId="11"/>
    <cellStyle name="Grey" xfId="12"/>
    <cellStyle name="Heading1" xfId="13"/>
    <cellStyle name="Heading2" xfId="14"/>
    <cellStyle name="Input [yellow]" xfId="15"/>
    <cellStyle name="modified border" xfId="16"/>
    <cellStyle name="modified border1" xfId="17"/>
    <cellStyle name="Normal" xfId="0" builtinId="0"/>
    <cellStyle name="Normal - Style1" xfId="18"/>
    <cellStyle name="Normal 2" xfId="19"/>
    <cellStyle name="Normal 3" xfId="20"/>
    <cellStyle name="Percen - Style2" xfId="21"/>
    <cellStyle name="Percen - Style3" xfId="22"/>
    <cellStyle name="Percent [2]" xfId="23"/>
    <cellStyle name="Percent 2" xfId="24"/>
    <cellStyle name="Percent 3" xfId="25"/>
    <cellStyle name="Report" xfId="26"/>
    <cellStyle name="Report - Style5" xfId="27"/>
    <cellStyle name="Report - Style6" xfId="28"/>
    <cellStyle name="Report - Style7" xfId="29"/>
    <cellStyle name="Report - Style8" xfId="30"/>
    <cellStyle name="Report Bar" xfId="31"/>
    <cellStyle name="Report Heading" xfId="32"/>
    <cellStyle name="Report Unit Cost" xfId="33"/>
    <cellStyle name="Reports Total" xfId="34"/>
    <cellStyle name="StmtTtl1" xfId="35"/>
    <cellStyle name="StmtTtl2" xfId="36"/>
    <cellStyle name="Style 1" xfId="37"/>
    <cellStyle name="Test" xfId="38"/>
    <cellStyle name="Title: - Style3" xfId="39"/>
    <cellStyle name="Title: - Style4" xfId="40"/>
    <cellStyle name="Title: Major" xfId="41"/>
    <cellStyle name="Title: Minor" xfId="42"/>
    <cellStyle name="Title: Worksheet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29</xdr:row>
      <xdr:rowOff>104775</xdr:rowOff>
    </xdr:from>
    <xdr:to>
      <xdr:col>12</xdr:col>
      <xdr:colOff>38102</xdr:colOff>
      <xdr:row>42</xdr:row>
      <xdr:rowOff>38101</xdr:rowOff>
    </xdr:to>
    <xdr:cxnSp macro="">
      <xdr:nvCxnSpPr>
        <xdr:cNvPr id="2" name="Straight Arrow Connector 1"/>
        <xdr:cNvCxnSpPr/>
      </xdr:nvCxnSpPr>
      <xdr:spPr>
        <a:xfrm rot="5400000">
          <a:off x="5214938" y="5900737"/>
          <a:ext cx="2409826" cy="1866902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152399</xdr:rowOff>
    </xdr:from>
    <xdr:to>
      <xdr:col>7</xdr:col>
      <xdr:colOff>866779</xdr:colOff>
      <xdr:row>37</xdr:row>
      <xdr:rowOff>180975</xdr:rowOff>
    </xdr:to>
    <xdr:cxnSp macro="">
      <xdr:nvCxnSpPr>
        <xdr:cNvPr id="3" name="Straight Arrow Connector 2"/>
        <xdr:cNvCxnSpPr/>
      </xdr:nvCxnSpPr>
      <xdr:spPr>
        <a:xfrm rot="16200000" flipH="1">
          <a:off x="1262064" y="3614735"/>
          <a:ext cx="4791076" cy="2438404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19</xdr:row>
      <xdr:rowOff>142875</xdr:rowOff>
    </xdr:from>
    <xdr:to>
      <xdr:col>5</xdr:col>
      <xdr:colOff>885824</xdr:colOff>
      <xdr:row>25</xdr:row>
      <xdr:rowOff>190500</xdr:rowOff>
    </xdr:to>
    <xdr:cxnSp macro="">
      <xdr:nvCxnSpPr>
        <xdr:cNvPr id="4" name="Straight Arrow Connector 3"/>
        <xdr:cNvCxnSpPr/>
      </xdr:nvCxnSpPr>
      <xdr:spPr>
        <a:xfrm rot="16200000" flipH="1">
          <a:off x="2471737" y="3767138"/>
          <a:ext cx="1190625" cy="1181099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P76"/>
  <sheetViews>
    <sheetView tabSelected="1" workbookViewId="0">
      <pane ySplit="9" topLeftCell="A10" activePane="bottomLeft" state="frozen"/>
      <selection pane="bottomLeft"/>
    </sheetView>
  </sheetViews>
  <sheetFormatPr defaultRowHeight="15"/>
  <cols>
    <col min="1" max="1" width="4.7109375" bestFit="1" customWidth="1"/>
    <col min="2" max="3" width="9.140625" style="1" bestFit="1" customWidth="1"/>
    <col min="4" max="4" width="12.5703125" bestFit="1" customWidth="1"/>
    <col min="5" max="5" width="2.5703125" customWidth="1"/>
    <col min="6" max="6" width="13.5703125" customWidth="1"/>
    <col min="7" max="8" width="16.140625" bestFit="1" customWidth="1"/>
    <col min="9" max="9" width="11.5703125" customWidth="1"/>
    <col min="10" max="10" width="13.85546875" bestFit="1" customWidth="1"/>
    <col min="11" max="11" width="2.28515625" customWidth="1"/>
    <col min="12" max="12" width="11.85546875" bestFit="1" customWidth="1"/>
    <col min="13" max="13" width="11.140625" bestFit="1" customWidth="1"/>
    <col min="16" max="16" width="11" customWidth="1"/>
    <col min="17" max="17" width="10.85546875" bestFit="1" customWidth="1"/>
  </cols>
  <sheetData>
    <row r="1" spans="1:16">
      <c r="B1" s="60" t="s">
        <v>50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59"/>
      <c r="O1" s="59"/>
      <c r="P1" s="59"/>
    </row>
    <row r="2" spans="1:16">
      <c r="B2" s="60" t="s">
        <v>49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59"/>
      <c r="O2" s="59"/>
      <c r="P2" s="59"/>
    </row>
    <row r="3" spans="1:16">
      <c r="B3" s="60" t="s">
        <v>48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9"/>
      <c r="O3" s="59"/>
      <c r="P3" s="59"/>
    </row>
    <row r="4" spans="1:16">
      <c r="B4" s="60" t="s">
        <v>47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9"/>
      <c r="O4" s="59"/>
      <c r="P4" s="59"/>
    </row>
    <row r="6" spans="1:16">
      <c r="B6" s="57"/>
      <c r="C6" s="57"/>
      <c r="D6" s="58" t="s">
        <v>46</v>
      </c>
      <c r="E6" s="58"/>
      <c r="F6" s="57" t="s">
        <v>45</v>
      </c>
      <c r="G6" s="57" t="s">
        <v>44</v>
      </c>
      <c r="H6" s="57" t="s">
        <v>43</v>
      </c>
      <c r="I6" s="57" t="s">
        <v>40</v>
      </c>
      <c r="J6" s="57" t="s">
        <v>42</v>
      </c>
      <c r="K6" s="57"/>
      <c r="L6" s="57" t="s">
        <v>41</v>
      </c>
      <c r="M6" s="57" t="s">
        <v>40</v>
      </c>
    </row>
    <row r="7" spans="1:16">
      <c r="B7" s="57"/>
      <c r="C7" s="57"/>
      <c r="D7" s="57" t="s">
        <v>39</v>
      </c>
      <c r="E7" s="57"/>
      <c r="F7" s="57" t="s">
        <v>38</v>
      </c>
      <c r="G7" s="57" t="s">
        <v>37</v>
      </c>
      <c r="H7" s="57" t="s">
        <v>36</v>
      </c>
      <c r="I7" s="57" t="s">
        <v>35</v>
      </c>
      <c r="J7" s="57" t="s">
        <v>34</v>
      </c>
      <c r="K7" s="57"/>
      <c r="L7" s="57" t="s">
        <v>34</v>
      </c>
      <c r="M7" s="57" t="s">
        <v>33</v>
      </c>
    </row>
    <row r="8" spans="1:16">
      <c r="A8" s="57" t="s">
        <v>32</v>
      </c>
      <c r="B8" s="57"/>
      <c r="C8" s="57" t="s">
        <v>27</v>
      </c>
      <c r="D8" s="57" t="s">
        <v>31</v>
      </c>
      <c r="E8" s="57"/>
      <c r="F8" s="57" t="s">
        <v>30</v>
      </c>
      <c r="G8" s="57" t="s">
        <v>29</v>
      </c>
      <c r="H8" s="57" t="s">
        <v>28</v>
      </c>
      <c r="I8" s="57" t="s">
        <v>27</v>
      </c>
      <c r="J8" s="57" t="s">
        <v>26</v>
      </c>
      <c r="K8" s="57"/>
      <c r="L8" s="57" t="s">
        <v>26</v>
      </c>
      <c r="M8" s="57" t="s">
        <v>25</v>
      </c>
    </row>
    <row r="9" spans="1:16" ht="15.75" thickBot="1">
      <c r="A9" s="56" t="s">
        <v>24</v>
      </c>
      <c r="B9" s="57" t="s">
        <v>23</v>
      </c>
      <c r="C9" s="57" t="s">
        <v>22</v>
      </c>
      <c r="D9" s="55" t="s">
        <v>21</v>
      </c>
      <c r="E9" s="56"/>
      <c r="F9" s="55" t="s">
        <v>17</v>
      </c>
      <c r="G9" s="55" t="s">
        <v>20</v>
      </c>
      <c r="H9" s="55" t="s">
        <v>19</v>
      </c>
      <c r="I9" s="55" t="s">
        <v>18</v>
      </c>
      <c r="J9" s="55" t="s">
        <v>17</v>
      </c>
      <c r="K9" s="56"/>
      <c r="L9" s="55" t="s">
        <v>17</v>
      </c>
      <c r="M9" s="55" t="s">
        <v>16</v>
      </c>
    </row>
    <row r="10" spans="1:16" ht="15.75" thickBot="1">
      <c r="A10" s="1"/>
      <c r="B10" s="53" t="s">
        <v>15</v>
      </c>
      <c r="C10" s="53" t="s">
        <v>14</v>
      </c>
      <c r="D10" s="53" t="s">
        <v>13</v>
      </c>
      <c r="E10" s="54"/>
      <c r="F10" s="53" t="s">
        <v>12</v>
      </c>
      <c r="G10" s="53" t="s">
        <v>11</v>
      </c>
      <c r="H10" s="53" t="s">
        <v>10</v>
      </c>
      <c r="I10" s="53" t="s">
        <v>9</v>
      </c>
      <c r="J10" s="53" t="s">
        <v>8</v>
      </c>
      <c r="K10" s="54"/>
      <c r="L10" s="53" t="s">
        <v>7</v>
      </c>
      <c r="M10" s="53" t="s">
        <v>6</v>
      </c>
    </row>
    <row r="11" spans="1:16">
      <c r="A11" s="1">
        <v>1</v>
      </c>
      <c r="B11" s="21">
        <v>40544</v>
      </c>
      <c r="C11" s="52">
        <v>2011</v>
      </c>
      <c r="D11" s="40">
        <v>240000</v>
      </c>
      <c r="E11" s="49"/>
      <c r="F11" s="47"/>
      <c r="I11" s="44"/>
      <c r="K11" s="28"/>
      <c r="L11" s="46"/>
      <c r="M11" s="46"/>
    </row>
    <row r="12" spans="1:16">
      <c r="A12" s="1">
        <f t="shared" ref="A12:A43" si="0">A11+1</f>
        <v>2</v>
      </c>
      <c r="B12" s="21">
        <f t="shared" ref="B12:B43" si="1">EDATE(B11,1)</f>
        <v>40575</v>
      </c>
      <c r="C12" s="51">
        <f t="shared" ref="C12:C22" si="2">C11</f>
        <v>2011</v>
      </c>
      <c r="D12" s="38">
        <v>270000</v>
      </c>
      <c r="E12" s="49"/>
      <c r="F12" s="47"/>
      <c r="I12" s="44"/>
      <c r="K12" s="28"/>
      <c r="L12" s="46"/>
      <c r="M12" s="46"/>
    </row>
    <row r="13" spans="1:16">
      <c r="A13" s="1">
        <f t="shared" si="0"/>
        <v>3</v>
      </c>
      <c r="B13" s="21">
        <f t="shared" si="1"/>
        <v>40603</v>
      </c>
      <c r="C13" s="51">
        <f t="shared" si="2"/>
        <v>2011</v>
      </c>
      <c r="D13" s="38">
        <v>290000</v>
      </c>
      <c r="E13" s="49"/>
      <c r="F13" s="47"/>
      <c r="I13" s="44"/>
      <c r="K13" s="28"/>
      <c r="L13" s="46"/>
      <c r="M13" s="46"/>
    </row>
    <row r="14" spans="1:16">
      <c r="A14" s="1">
        <f t="shared" si="0"/>
        <v>4</v>
      </c>
      <c r="B14" s="21">
        <f t="shared" si="1"/>
        <v>40634</v>
      </c>
      <c r="C14" s="51">
        <f t="shared" si="2"/>
        <v>2011</v>
      </c>
      <c r="D14" s="38">
        <v>310000</v>
      </c>
      <c r="E14" s="49"/>
      <c r="F14" s="47"/>
      <c r="I14" s="44"/>
      <c r="K14" s="28"/>
      <c r="L14" s="46"/>
      <c r="M14" s="46"/>
    </row>
    <row r="15" spans="1:16">
      <c r="A15" s="1">
        <f t="shared" si="0"/>
        <v>5</v>
      </c>
      <c r="B15" s="21">
        <f t="shared" si="1"/>
        <v>40664</v>
      </c>
      <c r="C15" s="51">
        <f t="shared" si="2"/>
        <v>2011</v>
      </c>
      <c r="D15" s="38">
        <v>340000</v>
      </c>
      <c r="E15" s="49"/>
      <c r="F15" s="47"/>
      <c r="I15" s="44"/>
      <c r="K15" s="28"/>
      <c r="L15" s="46"/>
      <c r="M15" s="46"/>
    </row>
    <row r="16" spans="1:16">
      <c r="A16" s="1">
        <f t="shared" si="0"/>
        <v>6</v>
      </c>
      <c r="B16" s="21">
        <f t="shared" si="1"/>
        <v>40695</v>
      </c>
      <c r="C16" s="51">
        <f t="shared" si="2"/>
        <v>2011</v>
      </c>
      <c r="D16" s="38">
        <v>360000</v>
      </c>
      <c r="E16" s="49"/>
      <c r="F16" s="47"/>
      <c r="I16" s="44"/>
      <c r="K16" s="28"/>
      <c r="L16" s="46"/>
      <c r="M16" s="46"/>
    </row>
    <row r="17" spans="1:13">
      <c r="A17" s="1">
        <f t="shared" si="0"/>
        <v>7</v>
      </c>
      <c r="B17" s="21">
        <f t="shared" si="1"/>
        <v>40725</v>
      </c>
      <c r="C17" s="51">
        <f t="shared" si="2"/>
        <v>2011</v>
      </c>
      <c r="D17" s="38">
        <v>390000</v>
      </c>
      <c r="E17" s="49"/>
      <c r="F17" s="47"/>
      <c r="I17" s="44"/>
      <c r="K17" s="28"/>
      <c r="L17" s="46"/>
      <c r="M17" s="46"/>
    </row>
    <row r="18" spans="1:13">
      <c r="A18" s="1">
        <f t="shared" si="0"/>
        <v>8</v>
      </c>
      <c r="B18" s="21">
        <f t="shared" si="1"/>
        <v>40756</v>
      </c>
      <c r="C18" s="51">
        <f t="shared" si="2"/>
        <v>2011</v>
      </c>
      <c r="D18" s="38">
        <v>410000</v>
      </c>
      <c r="E18" s="49"/>
      <c r="F18" s="47"/>
      <c r="I18" s="44"/>
      <c r="K18" s="28"/>
      <c r="L18" s="46"/>
      <c r="M18" s="46"/>
    </row>
    <row r="19" spans="1:13">
      <c r="A19" s="1">
        <f t="shared" si="0"/>
        <v>9</v>
      </c>
      <c r="B19" s="21">
        <f t="shared" si="1"/>
        <v>40787</v>
      </c>
      <c r="C19" s="51">
        <f t="shared" si="2"/>
        <v>2011</v>
      </c>
      <c r="D19" s="38">
        <v>430000</v>
      </c>
      <c r="E19" s="49"/>
      <c r="F19" s="47"/>
      <c r="I19" s="44"/>
      <c r="K19" s="28"/>
      <c r="L19" s="46"/>
      <c r="M19" s="46"/>
    </row>
    <row r="20" spans="1:13">
      <c r="A20" s="1">
        <f t="shared" si="0"/>
        <v>10</v>
      </c>
      <c r="B20" s="21">
        <f t="shared" si="1"/>
        <v>40817</v>
      </c>
      <c r="C20" s="51">
        <f t="shared" si="2"/>
        <v>2011</v>
      </c>
      <c r="D20" s="38">
        <v>460000</v>
      </c>
      <c r="E20" s="49"/>
      <c r="F20" s="47"/>
      <c r="I20" s="44"/>
      <c r="K20" s="28"/>
      <c r="L20" s="46"/>
      <c r="M20" s="46"/>
    </row>
    <row r="21" spans="1:13">
      <c r="A21" s="1">
        <f t="shared" si="0"/>
        <v>11</v>
      </c>
      <c r="B21" s="21">
        <f t="shared" si="1"/>
        <v>40848</v>
      </c>
      <c r="C21" s="51">
        <f t="shared" si="2"/>
        <v>2011</v>
      </c>
      <c r="D21" s="38">
        <v>480000</v>
      </c>
      <c r="E21" s="49"/>
      <c r="F21" s="47"/>
      <c r="I21" s="44"/>
      <c r="K21" s="28"/>
      <c r="L21" s="46"/>
      <c r="M21" s="46"/>
    </row>
    <row r="22" spans="1:13" ht="15.75" thickBot="1">
      <c r="A22" s="1">
        <f t="shared" si="0"/>
        <v>12</v>
      </c>
      <c r="B22" s="21">
        <f t="shared" si="1"/>
        <v>40878</v>
      </c>
      <c r="C22" s="50">
        <f t="shared" si="2"/>
        <v>2011</v>
      </c>
      <c r="D22" s="36">
        <v>500000</v>
      </c>
      <c r="E22" s="49"/>
      <c r="F22" s="47"/>
      <c r="I22" s="44"/>
      <c r="K22" s="28"/>
      <c r="L22" s="46"/>
      <c r="M22" s="46"/>
    </row>
    <row r="23" spans="1:13">
      <c r="A23" s="1">
        <f t="shared" si="0"/>
        <v>13</v>
      </c>
      <c r="B23" s="21">
        <f t="shared" si="1"/>
        <v>40909</v>
      </c>
      <c r="C23" s="24">
        <f t="shared" ref="C23:C54" si="3">C11+1</f>
        <v>2012</v>
      </c>
      <c r="D23" s="19">
        <v>530000</v>
      </c>
      <c r="E23" s="18"/>
      <c r="F23" s="47"/>
      <c r="K23" s="28"/>
      <c r="L23" s="46"/>
      <c r="M23" s="48"/>
    </row>
    <row r="24" spans="1:13">
      <c r="A24" s="1">
        <f t="shared" si="0"/>
        <v>14</v>
      </c>
      <c r="B24" s="21">
        <f t="shared" si="1"/>
        <v>40940</v>
      </c>
      <c r="C24" s="20">
        <f t="shared" si="3"/>
        <v>2012</v>
      </c>
      <c r="D24" s="19">
        <v>550000</v>
      </c>
      <c r="E24" s="18"/>
      <c r="F24" s="47"/>
      <c r="K24" s="28"/>
      <c r="L24" s="46"/>
      <c r="M24" s="45"/>
    </row>
    <row r="25" spans="1:13">
      <c r="A25" s="1">
        <f t="shared" si="0"/>
        <v>15</v>
      </c>
      <c r="B25" s="21">
        <f t="shared" si="1"/>
        <v>40969</v>
      </c>
      <c r="C25" s="20">
        <f t="shared" si="3"/>
        <v>2012</v>
      </c>
      <c r="D25" s="19">
        <v>580000</v>
      </c>
      <c r="E25" s="18"/>
      <c r="F25" s="47"/>
      <c r="K25" s="28"/>
      <c r="L25" s="46"/>
      <c r="M25" s="45"/>
    </row>
    <row r="26" spans="1:13" ht="15.75" thickBot="1">
      <c r="A26" s="1">
        <f t="shared" si="0"/>
        <v>16</v>
      </c>
      <c r="B26" s="21">
        <f t="shared" si="1"/>
        <v>41000</v>
      </c>
      <c r="C26" s="20">
        <f t="shared" si="3"/>
        <v>2012</v>
      </c>
      <c r="D26" s="19">
        <v>600000</v>
      </c>
      <c r="E26" s="18"/>
      <c r="F26" s="47"/>
      <c r="K26" s="28"/>
      <c r="L26" s="46"/>
      <c r="M26" s="45"/>
    </row>
    <row r="27" spans="1:13">
      <c r="A27" s="1">
        <f t="shared" si="0"/>
        <v>17</v>
      </c>
      <c r="B27" s="21">
        <f t="shared" si="1"/>
        <v>41030</v>
      </c>
      <c r="C27" s="20">
        <f t="shared" si="3"/>
        <v>2012</v>
      </c>
      <c r="D27" s="19">
        <v>500000</v>
      </c>
      <c r="E27" s="18"/>
      <c r="F27" s="31" t="s">
        <v>5</v>
      </c>
      <c r="G27" s="40">
        <f>SUM($D11:$D22)/12*0.75</f>
        <v>280000</v>
      </c>
      <c r="H27" s="44"/>
      <c r="I27" s="44"/>
      <c r="J27" s="30">
        <f t="shared" ref="J27:J74" si="4">SUM(G27:I27)</f>
        <v>280000</v>
      </c>
      <c r="K27" s="28"/>
      <c r="L27" s="29">
        <f>J27+5000</f>
        <v>285000</v>
      </c>
      <c r="M27" s="37">
        <f t="shared" ref="M27:M74" si="5">J27-L27</f>
        <v>-5000</v>
      </c>
    </row>
    <row r="28" spans="1:13">
      <c r="A28" s="1">
        <f t="shared" si="0"/>
        <v>18</v>
      </c>
      <c r="B28" s="21">
        <f t="shared" si="1"/>
        <v>41061</v>
      </c>
      <c r="C28" s="20">
        <f t="shared" si="3"/>
        <v>2012</v>
      </c>
      <c r="D28" s="19">
        <v>520000</v>
      </c>
      <c r="E28" s="18"/>
      <c r="F28" s="17" t="str">
        <f t="shared" ref="F28:F38" si="6">F27</f>
        <v>2012-2013</v>
      </c>
      <c r="G28" s="38">
        <f t="shared" ref="G28:G38" si="7">G27</f>
        <v>280000</v>
      </c>
      <c r="H28" s="44"/>
      <c r="I28" s="44"/>
      <c r="J28" s="16">
        <f t="shared" si="4"/>
        <v>280000</v>
      </c>
      <c r="K28" s="28"/>
      <c r="L28" s="14">
        <f>J28-4000</f>
        <v>276000</v>
      </c>
      <c r="M28" s="37">
        <f t="shared" si="5"/>
        <v>4000</v>
      </c>
    </row>
    <row r="29" spans="1:13">
      <c r="A29" s="1">
        <f t="shared" si="0"/>
        <v>19</v>
      </c>
      <c r="B29" s="21">
        <f t="shared" si="1"/>
        <v>41091</v>
      </c>
      <c r="C29" s="20">
        <f t="shared" si="3"/>
        <v>2012</v>
      </c>
      <c r="D29" s="19">
        <v>550000</v>
      </c>
      <c r="E29" s="18"/>
      <c r="F29" s="17" t="str">
        <f t="shared" si="6"/>
        <v>2012-2013</v>
      </c>
      <c r="G29" s="38">
        <f t="shared" si="7"/>
        <v>280000</v>
      </c>
      <c r="H29" s="44"/>
      <c r="I29" s="44"/>
      <c r="J29" s="16">
        <f t="shared" si="4"/>
        <v>280000</v>
      </c>
      <c r="K29" s="28"/>
      <c r="L29" s="14">
        <f>J29+3000</f>
        <v>283000</v>
      </c>
      <c r="M29" s="37">
        <f t="shared" si="5"/>
        <v>-3000</v>
      </c>
    </row>
    <row r="30" spans="1:13">
      <c r="A30" s="1">
        <f t="shared" si="0"/>
        <v>20</v>
      </c>
      <c r="B30" s="21">
        <f t="shared" si="1"/>
        <v>41122</v>
      </c>
      <c r="C30" s="20">
        <f t="shared" si="3"/>
        <v>2012</v>
      </c>
      <c r="D30" s="19">
        <v>570000</v>
      </c>
      <c r="E30" s="18"/>
      <c r="F30" s="17" t="str">
        <f t="shared" si="6"/>
        <v>2012-2013</v>
      </c>
      <c r="G30" s="38">
        <f t="shared" si="7"/>
        <v>280000</v>
      </c>
      <c r="H30" s="42"/>
      <c r="I30" s="43"/>
      <c r="J30" s="16">
        <f t="shared" si="4"/>
        <v>280000</v>
      </c>
      <c r="K30" s="28"/>
      <c r="L30" s="14">
        <f>J30-10000</f>
        <v>270000</v>
      </c>
      <c r="M30" s="37">
        <f t="shared" si="5"/>
        <v>10000</v>
      </c>
    </row>
    <row r="31" spans="1:13">
      <c r="A31" s="1">
        <f t="shared" si="0"/>
        <v>21</v>
      </c>
      <c r="B31" s="21">
        <f t="shared" si="1"/>
        <v>41153</v>
      </c>
      <c r="C31" s="20">
        <f t="shared" si="3"/>
        <v>2012</v>
      </c>
      <c r="D31" s="19">
        <v>600000</v>
      </c>
      <c r="E31" s="18"/>
      <c r="F31" s="17" t="str">
        <f t="shared" si="6"/>
        <v>2012-2013</v>
      </c>
      <c r="G31" s="38">
        <f t="shared" si="7"/>
        <v>280000</v>
      </c>
      <c r="H31" s="42"/>
      <c r="I31" s="43"/>
      <c r="J31" s="16">
        <f t="shared" si="4"/>
        <v>280000</v>
      </c>
      <c r="K31" s="28"/>
      <c r="L31" s="14">
        <f>J31+8000</f>
        <v>288000</v>
      </c>
      <c r="M31" s="37">
        <f t="shared" si="5"/>
        <v>-8000</v>
      </c>
    </row>
    <row r="32" spans="1:13">
      <c r="A32" s="1">
        <f t="shared" si="0"/>
        <v>22</v>
      </c>
      <c r="B32" s="21">
        <f t="shared" si="1"/>
        <v>41183</v>
      </c>
      <c r="C32" s="20">
        <f t="shared" si="3"/>
        <v>2012</v>
      </c>
      <c r="D32" s="19">
        <v>620000</v>
      </c>
      <c r="E32" s="18"/>
      <c r="F32" s="17" t="str">
        <f t="shared" si="6"/>
        <v>2012-2013</v>
      </c>
      <c r="G32" s="38">
        <f t="shared" si="7"/>
        <v>280000</v>
      </c>
      <c r="H32" s="42"/>
      <c r="I32" s="43"/>
      <c r="J32" s="16">
        <f t="shared" si="4"/>
        <v>280000</v>
      </c>
      <c r="K32" s="28"/>
      <c r="L32" s="14">
        <f>J32-7000</f>
        <v>273000</v>
      </c>
      <c r="M32" s="37">
        <f t="shared" si="5"/>
        <v>7000</v>
      </c>
    </row>
    <row r="33" spans="1:13">
      <c r="A33" s="1">
        <f t="shared" si="0"/>
        <v>23</v>
      </c>
      <c r="B33" s="21">
        <f t="shared" si="1"/>
        <v>41214</v>
      </c>
      <c r="C33" s="20">
        <f t="shared" si="3"/>
        <v>2012</v>
      </c>
      <c r="D33" s="19">
        <v>650000</v>
      </c>
      <c r="E33" s="18"/>
      <c r="F33" s="17" t="str">
        <f t="shared" si="6"/>
        <v>2012-2013</v>
      </c>
      <c r="G33" s="38">
        <f t="shared" si="7"/>
        <v>280000</v>
      </c>
      <c r="H33" s="42"/>
      <c r="I33" s="43"/>
      <c r="J33" s="16">
        <f t="shared" si="4"/>
        <v>280000</v>
      </c>
      <c r="K33" s="28"/>
      <c r="L33" s="14">
        <f>J33-5000</f>
        <v>275000</v>
      </c>
      <c r="M33" s="37">
        <f t="shared" si="5"/>
        <v>5000</v>
      </c>
    </row>
    <row r="34" spans="1:13" ht="15.75" thickBot="1">
      <c r="A34" s="1">
        <f t="shared" si="0"/>
        <v>24</v>
      </c>
      <c r="B34" s="21">
        <f t="shared" si="1"/>
        <v>41244</v>
      </c>
      <c r="C34" s="27">
        <f t="shared" si="3"/>
        <v>2012</v>
      </c>
      <c r="D34" s="26">
        <v>670000</v>
      </c>
      <c r="E34" s="18"/>
      <c r="F34" s="17" t="str">
        <f t="shared" si="6"/>
        <v>2012-2013</v>
      </c>
      <c r="G34" s="38">
        <f t="shared" si="7"/>
        <v>280000</v>
      </c>
      <c r="H34" s="42"/>
      <c r="I34" s="43"/>
      <c r="J34" s="16">
        <f t="shared" si="4"/>
        <v>280000</v>
      </c>
      <c r="K34" s="28"/>
      <c r="L34" s="14">
        <f>J34+2000</f>
        <v>282000</v>
      </c>
      <c r="M34" s="35">
        <f t="shared" si="5"/>
        <v>-2000</v>
      </c>
    </row>
    <row r="35" spans="1:13">
      <c r="A35" s="1">
        <f t="shared" si="0"/>
        <v>25</v>
      </c>
      <c r="B35" s="21">
        <f t="shared" si="1"/>
        <v>41275</v>
      </c>
      <c r="C35" s="24">
        <f t="shared" si="3"/>
        <v>2013</v>
      </c>
      <c r="D35" s="23">
        <v>690000</v>
      </c>
      <c r="E35" s="18"/>
      <c r="F35" s="17" t="str">
        <f t="shared" si="6"/>
        <v>2012-2013</v>
      </c>
      <c r="G35" s="38">
        <f t="shared" si="7"/>
        <v>280000</v>
      </c>
      <c r="H35" s="42"/>
      <c r="I35" s="43"/>
      <c r="J35" s="16">
        <f t="shared" si="4"/>
        <v>280000</v>
      </c>
      <c r="K35" s="28"/>
      <c r="L35" s="14">
        <f>J35-6000</f>
        <v>274000</v>
      </c>
      <c r="M35" s="22">
        <f t="shared" si="5"/>
        <v>6000</v>
      </c>
    </row>
    <row r="36" spans="1:13">
      <c r="A36" s="1">
        <f t="shared" si="0"/>
        <v>26</v>
      </c>
      <c r="B36" s="21">
        <f t="shared" si="1"/>
        <v>41306</v>
      </c>
      <c r="C36" s="20">
        <f t="shared" si="3"/>
        <v>2013</v>
      </c>
      <c r="D36" s="19">
        <v>710000</v>
      </c>
      <c r="E36" s="18"/>
      <c r="F36" s="17" t="str">
        <f t="shared" si="6"/>
        <v>2012-2013</v>
      </c>
      <c r="G36" s="38">
        <f t="shared" si="7"/>
        <v>280000</v>
      </c>
      <c r="H36" s="42"/>
      <c r="I36" s="43"/>
      <c r="J36" s="16">
        <f t="shared" si="4"/>
        <v>280000</v>
      </c>
      <c r="K36" s="28"/>
      <c r="L36" s="14">
        <f>J36+8000</f>
        <v>288000</v>
      </c>
      <c r="M36" s="13">
        <f t="shared" si="5"/>
        <v>-8000</v>
      </c>
    </row>
    <row r="37" spans="1:13">
      <c r="A37" s="1">
        <f t="shared" si="0"/>
        <v>27</v>
      </c>
      <c r="B37" s="21">
        <f t="shared" si="1"/>
        <v>41334</v>
      </c>
      <c r="C37" s="20">
        <f t="shared" si="3"/>
        <v>2013</v>
      </c>
      <c r="D37" s="19">
        <v>730000</v>
      </c>
      <c r="E37" s="18"/>
      <c r="F37" s="17" t="str">
        <f t="shared" si="6"/>
        <v>2012-2013</v>
      </c>
      <c r="G37" s="38">
        <f t="shared" si="7"/>
        <v>280000</v>
      </c>
      <c r="H37" s="42"/>
      <c r="I37" s="43"/>
      <c r="J37" s="16">
        <f t="shared" si="4"/>
        <v>280000</v>
      </c>
      <c r="K37" s="28"/>
      <c r="L37" s="14">
        <f>J37-3000</f>
        <v>277000</v>
      </c>
      <c r="M37" s="13">
        <f t="shared" si="5"/>
        <v>3000</v>
      </c>
    </row>
    <row r="38" spans="1:13" ht="15.75" thickBot="1">
      <c r="A38" s="1">
        <f t="shared" si="0"/>
        <v>28</v>
      </c>
      <c r="B38" s="21">
        <f t="shared" si="1"/>
        <v>41365</v>
      </c>
      <c r="C38" s="20">
        <f t="shared" si="3"/>
        <v>2013</v>
      </c>
      <c r="D38" s="19">
        <v>750000</v>
      </c>
      <c r="E38" s="18"/>
      <c r="F38" s="34" t="str">
        <f t="shared" si="6"/>
        <v>2012-2013</v>
      </c>
      <c r="G38" s="36">
        <f t="shared" si="7"/>
        <v>280000</v>
      </c>
      <c r="H38" s="42"/>
      <c r="I38" s="41"/>
      <c r="J38" s="33">
        <f t="shared" si="4"/>
        <v>280000</v>
      </c>
      <c r="K38" s="28"/>
      <c r="L38" s="32">
        <f>J38+10000</f>
        <v>290000</v>
      </c>
      <c r="M38" s="13">
        <f t="shared" si="5"/>
        <v>-10000</v>
      </c>
    </row>
    <row r="39" spans="1:13">
      <c r="A39" s="1">
        <f t="shared" si="0"/>
        <v>29</v>
      </c>
      <c r="B39" s="21">
        <f t="shared" si="1"/>
        <v>41395</v>
      </c>
      <c r="C39" s="20">
        <f t="shared" si="3"/>
        <v>2013</v>
      </c>
      <c r="D39" s="19">
        <v>780000</v>
      </c>
      <c r="E39" s="18"/>
      <c r="F39" s="31" t="s">
        <v>4</v>
      </c>
      <c r="G39" s="30">
        <f>SUM(D23:D34)/12*0.75</f>
        <v>433750</v>
      </c>
      <c r="H39" s="40">
        <f>SUM($D11:$D22)/12*0.25</f>
        <v>93333.333333333328</v>
      </c>
      <c r="I39" s="39">
        <f>SUM(M$23:M$34)/12</f>
        <v>666.66666666666663</v>
      </c>
      <c r="J39" s="30">
        <f t="shared" si="4"/>
        <v>527750</v>
      </c>
      <c r="K39" s="28"/>
      <c r="L39" s="29">
        <f>J39+11000</f>
        <v>538750</v>
      </c>
      <c r="M39" s="13">
        <f t="shared" si="5"/>
        <v>-11000</v>
      </c>
    </row>
    <row r="40" spans="1:13">
      <c r="A40" s="1">
        <f t="shared" si="0"/>
        <v>30</v>
      </c>
      <c r="B40" s="21">
        <f t="shared" si="1"/>
        <v>41426</v>
      </c>
      <c r="C40" s="20">
        <f t="shared" si="3"/>
        <v>2013</v>
      </c>
      <c r="D40" s="19">
        <v>800000</v>
      </c>
      <c r="E40" s="18"/>
      <c r="F40" s="17" t="s">
        <v>4</v>
      </c>
      <c r="G40" s="13">
        <f t="shared" ref="G40:G50" si="8">G39</f>
        <v>433750</v>
      </c>
      <c r="H40" s="38">
        <f t="shared" ref="H40:H50" si="9">H39</f>
        <v>93333.333333333328</v>
      </c>
      <c r="I40" s="37">
        <f t="shared" ref="I40:I50" si="10">SUM(M$23:M$34)/12</f>
        <v>666.66666666666663</v>
      </c>
      <c r="J40" s="16">
        <f t="shared" si="4"/>
        <v>527750</v>
      </c>
      <c r="K40" s="28"/>
      <c r="L40" s="14">
        <f>J40+6000</f>
        <v>533750</v>
      </c>
      <c r="M40" s="13">
        <f t="shared" si="5"/>
        <v>-6000</v>
      </c>
    </row>
    <row r="41" spans="1:13">
      <c r="A41" s="1">
        <f t="shared" si="0"/>
        <v>31</v>
      </c>
      <c r="B41" s="21">
        <f t="shared" si="1"/>
        <v>41456</v>
      </c>
      <c r="C41" s="20">
        <f t="shared" si="3"/>
        <v>2013</v>
      </c>
      <c r="D41" s="19">
        <v>820000</v>
      </c>
      <c r="E41" s="18"/>
      <c r="F41" s="17" t="s">
        <v>4</v>
      </c>
      <c r="G41" s="13">
        <f t="shared" si="8"/>
        <v>433750</v>
      </c>
      <c r="H41" s="38">
        <f t="shared" si="9"/>
        <v>93333.333333333328</v>
      </c>
      <c r="I41" s="37">
        <f t="shared" si="10"/>
        <v>666.66666666666663</v>
      </c>
      <c r="J41" s="16">
        <f t="shared" si="4"/>
        <v>527750</v>
      </c>
      <c r="K41" s="28"/>
      <c r="L41" s="14">
        <f>J41+5000</f>
        <v>532750</v>
      </c>
      <c r="M41" s="13">
        <f t="shared" si="5"/>
        <v>-5000</v>
      </c>
    </row>
    <row r="42" spans="1:13">
      <c r="A42" s="1">
        <f t="shared" si="0"/>
        <v>32</v>
      </c>
      <c r="B42" s="21">
        <f t="shared" si="1"/>
        <v>41487</v>
      </c>
      <c r="C42" s="20">
        <f t="shared" si="3"/>
        <v>2013</v>
      </c>
      <c r="D42" s="19">
        <v>840000</v>
      </c>
      <c r="E42" s="18"/>
      <c r="F42" s="17" t="s">
        <v>4</v>
      </c>
      <c r="G42" s="13">
        <f t="shared" si="8"/>
        <v>433750</v>
      </c>
      <c r="H42" s="38">
        <f t="shared" si="9"/>
        <v>93333.333333333328</v>
      </c>
      <c r="I42" s="37">
        <f t="shared" si="10"/>
        <v>666.66666666666663</v>
      </c>
      <c r="J42" s="16">
        <f t="shared" si="4"/>
        <v>527750</v>
      </c>
      <c r="K42" s="28"/>
      <c r="L42" s="14">
        <f>J42+2000</f>
        <v>529750</v>
      </c>
      <c r="M42" s="13">
        <f t="shared" si="5"/>
        <v>-2000</v>
      </c>
    </row>
    <row r="43" spans="1:13">
      <c r="A43" s="1">
        <f t="shared" si="0"/>
        <v>33</v>
      </c>
      <c r="B43" s="21">
        <f t="shared" si="1"/>
        <v>41518</v>
      </c>
      <c r="C43" s="20">
        <f t="shared" si="3"/>
        <v>2013</v>
      </c>
      <c r="D43" s="19">
        <v>860000</v>
      </c>
      <c r="E43" s="18"/>
      <c r="F43" s="17" t="s">
        <v>4</v>
      </c>
      <c r="G43" s="13">
        <f t="shared" si="8"/>
        <v>433750</v>
      </c>
      <c r="H43" s="38">
        <f t="shared" si="9"/>
        <v>93333.333333333328</v>
      </c>
      <c r="I43" s="37">
        <f t="shared" si="10"/>
        <v>666.66666666666663</v>
      </c>
      <c r="J43" s="16">
        <f t="shared" si="4"/>
        <v>527750</v>
      </c>
      <c r="K43" s="28"/>
      <c r="L43" s="14">
        <f>J43+6000</f>
        <v>533750</v>
      </c>
      <c r="M43" s="13">
        <f t="shared" si="5"/>
        <v>-6000</v>
      </c>
    </row>
    <row r="44" spans="1:13">
      <c r="A44" s="1">
        <f t="shared" ref="A44:A74" si="11">A43+1</f>
        <v>34</v>
      </c>
      <c r="B44" s="21">
        <f t="shared" ref="B44:B74" si="12">EDATE(B43,1)</f>
        <v>41548</v>
      </c>
      <c r="C44" s="20">
        <f t="shared" si="3"/>
        <v>2013</v>
      </c>
      <c r="D44" s="19">
        <v>880000</v>
      </c>
      <c r="E44" s="18"/>
      <c r="F44" s="17" t="s">
        <v>4</v>
      </c>
      <c r="G44" s="13">
        <f t="shared" si="8"/>
        <v>433750</v>
      </c>
      <c r="H44" s="38">
        <f t="shared" si="9"/>
        <v>93333.333333333328</v>
      </c>
      <c r="I44" s="37">
        <f t="shared" si="10"/>
        <v>666.66666666666663</v>
      </c>
      <c r="J44" s="16">
        <f t="shared" si="4"/>
        <v>527750</v>
      </c>
      <c r="K44" s="28"/>
      <c r="L44" s="14">
        <f>J44+5000</f>
        <v>532750</v>
      </c>
      <c r="M44" s="13">
        <f t="shared" si="5"/>
        <v>-5000</v>
      </c>
    </row>
    <row r="45" spans="1:13">
      <c r="A45" s="1">
        <f t="shared" si="11"/>
        <v>35</v>
      </c>
      <c r="B45" s="21">
        <f t="shared" si="12"/>
        <v>41579</v>
      </c>
      <c r="C45" s="20">
        <f t="shared" si="3"/>
        <v>2013</v>
      </c>
      <c r="D45" s="19">
        <v>900000</v>
      </c>
      <c r="E45" s="18"/>
      <c r="F45" s="17" t="s">
        <v>4</v>
      </c>
      <c r="G45" s="13">
        <f t="shared" si="8"/>
        <v>433750</v>
      </c>
      <c r="H45" s="38">
        <f t="shared" si="9"/>
        <v>93333.333333333328</v>
      </c>
      <c r="I45" s="37">
        <f t="shared" si="10"/>
        <v>666.66666666666663</v>
      </c>
      <c r="J45" s="16">
        <f t="shared" si="4"/>
        <v>527750</v>
      </c>
      <c r="K45" s="28"/>
      <c r="L45" s="14">
        <f>J45-4000</f>
        <v>523750</v>
      </c>
      <c r="M45" s="13">
        <f t="shared" si="5"/>
        <v>4000</v>
      </c>
    </row>
    <row r="46" spans="1:13">
      <c r="A46" s="1">
        <f t="shared" si="11"/>
        <v>36</v>
      </c>
      <c r="B46" s="21">
        <f t="shared" si="12"/>
        <v>41609</v>
      </c>
      <c r="C46" s="27">
        <f t="shared" si="3"/>
        <v>2013</v>
      </c>
      <c r="D46" s="26">
        <v>920000</v>
      </c>
      <c r="E46" s="18"/>
      <c r="F46" s="17" t="s">
        <v>4</v>
      </c>
      <c r="G46" s="13">
        <f t="shared" si="8"/>
        <v>433750</v>
      </c>
      <c r="H46" s="38">
        <f t="shared" si="9"/>
        <v>93333.333333333328</v>
      </c>
      <c r="I46" s="37">
        <f t="shared" si="10"/>
        <v>666.66666666666663</v>
      </c>
      <c r="J46" s="16">
        <f t="shared" si="4"/>
        <v>527750</v>
      </c>
      <c r="K46" s="28"/>
      <c r="L46" s="14">
        <f>J46+3000</f>
        <v>530750</v>
      </c>
      <c r="M46" s="25">
        <f t="shared" si="5"/>
        <v>-3000</v>
      </c>
    </row>
    <row r="47" spans="1:13">
      <c r="A47" s="1">
        <f t="shared" si="11"/>
        <v>37</v>
      </c>
      <c r="B47" s="21">
        <f t="shared" si="12"/>
        <v>41640</v>
      </c>
      <c r="C47" s="24">
        <f t="shared" si="3"/>
        <v>2014</v>
      </c>
      <c r="D47" s="23">
        <f>D46-60000</f>
        <v>860000</v>
      </c>
      <c r="E47" s="18"/>
      <c r="F47" s="17" t="s">
        <v>4</v>
      </c>
      <c r="G47" s="13">
        <f t="shared" si="8"/>
        <v>433750</v>
      </c>
      <c r="H47" s="38">
        <f t="shared" si="9"/>
        <v>93333.333333333328</v>
      </c>
      <c r="I47" s="37">
        <f t="shared" si="10"/>
        <v>666.66666666666663</v>
      </c>
      <c r="J47" s="16">
        <f t="shared" si="4"/>
        <v>527750</v>
      </c>
      <c r="K47" s="28"/>
      <c r="L47" s="14">
        <f>J47-10000</f>
        <v>517750</v>
      </c>
      <c r="M47" s="22">
        <f t="shared" si="5"/>
        <v>10000</v>
      </c>
    </row>
    <row r="48" spans="1:13">
      <c r="A48" s="1">
        <f t="shared" si="11"/>
        <v>38</v>
      </c>
      <c r="B48" s="21">
        <f t="shared" si="12"/>
        <v>41671</v>
      </c>
      <c r="C48" s="20">
        <f t="shared" si="3"/>
        <v>2014</v>
      </c>
      <c r="D48" s="19">
        <f>D47-80000</f>
        <v>780000</v>
      </c>
      <c r="E48" s="18"/>
      <c r="F48" s="17" t="s">
        <v>4</v>
      </c>
      <c r="G48" s="13">
        <f t="shared" si="8"/>
        <v>433750</v>
      </c>
      <c r="H48" s="38">
        <f t="shared" si="9"/>
        <v>93333.333333333328</v>
      </c>
      <c r="I48" s="37">
        <f t="shared" si="10"/>
        <v>666.66666666666663</v>
      </c>
      <c r="J48" s="16">
        <f t="shared" si="4"/>
        <v>527750</v>
      </c>
      <c r="K48" s="28"/>
      <c r="L48" s="14">
        <f>J48+8000</f>
        <v>535750</v>
      </c>
      <c r="M48" s="13">
        <f t="shared" si="5"/>
        <v>-8000</v>
      </c>
    </row>
    <row r="49" spans="1:13">
      <c r="A49" s="1">
        <f t="shared" si="11"/>
        <v>39</v>
      </c>
      <c r="B49" s="21">
        <f t="shared" si="12"/>
        <v>41699</v>
      </c>
      <c r="C49" s="20">
        <f t="shared" si="3"/>
        <v>2014</v>
      </c>
      <c r="D49" s="19">
        <f>D48+60000</f>
        <v>840000</v>
      </c>
      <c r="E49" s="18"/>
      <c r="F49" s="17" t="s">
        <v>4</v>
      </c>
      <c r="G49" s="13">
        <f t="shared" si="8"/>
        <v>433750</v>
      </c>
      <c r="H49" s="38">
        <f t="shared" si="9"/>
        <v>93333.333333333328</v>
      </c>
      <c r="I49" s="37">
        <f t="shared" si="10"/>
        <v>666.66666666666663</v>
      </c>
      <c r="J49" s="16">
        <f t="shared" si="4"/>
        <v>527750</v>
      </c>
      <c r="K49" s="28"/>
      <c r="L49" s="14">
        <f>J49-7000</f>
        <v>520750</v>
      </c>
      <c r="M49" s="13">
        <f t="shared" si="5"/>
        <v>7000</v>
      </c>
    </row>
    <row r="50" spans="1:13" ht="15.75" thickBot="1">
      <c r="A50" s="1">
        <f t="shared" si="11"/>
        <v>40</v>
      </c>
      <c r="B50" s="21">
        <f t="shared" si="12"/>
        <v>41730</v>
      </c>
      <c r="C50" s="20">
        <f t="shared" si="3"/>
        <v>2014</v>
      </c>
      <c r="D50" s="19">
        <f>D49-80000</f>
        <v>760000</v>
      </c>
      <c r="E50" s="18"/>
      <c r="F50" s="34" t="s">
        <v>4</v>
      </c>
      <c r="G50" s="13">
        <f t="shared" si="8"/>
        <v>433750</v>
      </c>
      <c r="H50" s="36">
        <f t="shared" si="9"/>
        <v>93333.333333333328</v>
      </c>
      <c r="I50" s="35">
        <f t="shared" si="10"/>
        <v>666.66666666666663</v>
      </c>
      <c r="J50" s="33">
        <f t="shared" si="4"/>
        <v>527750</v>
      </c>
      <c r="K50" s="28"/>
      <c r="L50" s="32">
        <f>J50-5000</f>
        <v>522750</v>
      </c>
      <c r="M50" s="13">
        <f t="shared" si="5"/>
        <v>5000</v>
      </c>
    </row>
    <row r="51" spans="1:13">
      <c r="A51" s="1">
        <f t="shared" si="11"/>
        <v>41</v>
      </c>
      <c r="B51" s="21">
        <f t="shared" si="12"/>
        <v>41760</v>
      </c>
      <c r="C51" s="20">
        <f t="shared" si="3"/>
        <v>2014</v>
      </c>
      <c r="D51" s="19">
        <f>D50-20000</f>
        <v>740000</v>
      </c>
      <c r="E51" s="18"/>
      <c r="F51" s="31" t="s">
        <v>3</v>
      </c>
      <c r="G51" s="30">
        <f>SUM(D35:D46)/12*0.75</f>
        <v>605000</v>
      </c>
      <c r="H51" s="30">
        <f>SUM($D23:$D34)/12*0.25</f>
        <v>144583.33333333334</v>
      </c>
      <c r="I51" s="22">
        <f t="shared" ref="I51:I62" si="13">SUM(M$35:M$46)/12</f>
        <v>-3583.3333333333335</v>
      </c>
      <c r="J51" s="30">
        <f t="shared" si="4"/>
        <v>746000</v>
      </c>
      <c r="K51" s="28"/>
      <c r="L51" s="29">
        <f>J51+2000</f>
        <v>748000</v>
      </c>
      <c r="M51" s="13">
        <f t="shared" si="5"/>
        <v>-2000</v>
      </c>
    </row>
    <row r="52" spans="1:13">
      <c r="A52" s="1">
        <f t="shared" si="11"/>
        <v>42</v>
      </c>
      <c r="B52" s="21">
        <f t="shared" si="12"/>
        <v>41791</v>
      </c>
      <c r="C52" s="20">
        <f t="shared" si="3"/>
        <v>2014</v>
      </c>
      <c r="D52" s="19">
        <f>D51+100000</f>
        <v>840000</v>
      </c>
      <c r="E52" s="18"/>
      <c r="F52" s="17" t="s">
        <v>3</v>
      </c>
      <c r="G52" s="13">
        <f t="shared" ref="G52:G62" si="14">G51</f>
        <v>605000</v>
      </c>
      <c r="H52" s="13">
        <f t="shared" ref="H52:H62" si="15">H51</f>
        <v>144583.33333333334</v>
      </c>
      <c r="I52" s="13">
        <f t="shared" si="13"/>
        <v>-3583.3333333333335</v>
      </c>
      <c r="J52" s="16">
        <f t="shared" si="4"/>
        <v>746000</v>
      </c>
      <c r="K52" s="28"/>
      <c r="L52" s="14">
        <f>J52-6000</f>
        <v>740000</v>
      </c>
      <c r="M52" s="13">
        <f t="shared" si="5"/>
        <v>6000</v>
      </c>
    </row>
    <row r="53" spans="1:13">
      <c r="A53" s="1">
        <f t="shared" si="11"/>
        <v>43</v>
      </c>
      <c r="B53" s="21">
        <f t="shared" si="12"/>
        <v>41821</v>
      </c>
      <c r="C53" s="20">
        <f t="shared" si="3"/>
        <v>2014</v>
      </c>
      <c r="D53" s="19">
        <f>D52-40000</f>
        <v>800000</v>
      </c>
      <c r="E53" s="18"/>
      <c r="F53" s="17" t="s">
        <v>3</v>
      </c>
      <c r="G53" s="13">
        <f t="shared" si="14"/>
        <v>605000</v>
      </c>
      <c r="H53" s="13">
        <f t="shared" si="15"/>
        <v>144583.33333333334</v>
      </c>
      <c r="I53" s="13">
        <f t="shared" si="13"/>
        <v>-3583.3333333333335</v>
      </c>
      <c r="J53" s="16">
        <f t="shared" si="4"/>
        <v>746000</v>
      </c>
      <c r="K53" s="28"/>
      <c r="L53" s="14">
        <f>J53+8000</f>
        <v>754000</v>
      </c>
      <c r="M53" s="13">
        <f t="shared" si="5"/>
        <v>-8000</v>
      </c>
    </row>
    <row r="54" spans="1:13">
      <c r="A54" s="1">
        <f t="shared" si="11"/>
        <v>44</v>
      </c>
      <c r="B54" s="21">
        <f t="shared" si="12"/>
        <v>41852</v>
      </c>
      <c r="C54" s="20">
        <f t="shared" si="3"/>
        <v>2014</v>
      </c>
      <c r="D54" s="19">
        <f>D53-80000</f>
        <v>720000</v>
      </c>
      <c r="E54" s="18"/>
      <c r="F54" s="17" t="s">
        <v>3</v>
      </c>
      <c r="G54" s="13">
        <f t="shared" si="14"/>
        <v>605000</v>
      </c>
      <c r="H54" s="13">
        <f t="shared" si="15"/>
        <v>144583.33333333334</v>
      </c>
      <c r="I54" s="13">
        <f t="shared" si="13"/>
        <v>-3583.3333333333335</v>
      </c>
      <c r="J54" s="16">
        <f t="shared" si="4"/>
        <v>746000</v>
      </c>
      <c r="K54" s="28"/>
      <c r="L54" s="14">
        <f>J54-3000</f>
        <v>743000</v>
      </c>
      <c r="M54" s="13">
        <f t="shared" si="5"/>
        <v>3000</v>
      </c>
    </row>
    <row r="55" spans="1:13">
      <c r="A55" s="1">
        <f t="shared" si="11"/>
        <v>45</v>
      </c>
      <c r="B55" s="21">
        <f t="shared" si="12"/>
        <v>41883</v>
      </c>
      <c r="C55" s="20">
        <f t="shared" ref="C55:C74" si="16">C43+1</f>
        <v>2014</v>
      </c>
      <c r="D55" s="19">
        <f>D54-20000</f>
        <v>700000</v>
      </c>
      <c r="E55" s="18"/>
      <c r="F55" s="17" t="s">
        <v>3</v>
      </c>
      <c r="G55" s="13">
        <f t="shared" si="14"/>
        <v>605000</v>
      </c>
      <c r="H55" s="13">
        <f t="shared" si="15"/>
        <v>144583.33333333334</v>
      </c>
      <c r="I55" s="13">
        <f t="shared" si="13"/>
        <v>-3583.3333333333335</v>
      </c>
      <c r="J55" s="16">
        <f t="shared" si="4"/>
        <v>746000</v>
      </c>
      <c r="K55" s="28"/>
      <c r="L55" s="14">
        <f>J55+8000</f>
        <v>754000</v>
      </c>
      <c r="M55" s="13">
        <f t="shared" si="5"/>
        <v>-8000</v>
      </c>
    </row>
    <row r="56" spans="1:13">
      <c r="A56" s="1">
        <f t="shared" si="11"/>
        <v>46</v>
      </c>
      <c r="B56" s="21">
        <f t="shared" si="12"/>
        <v>41913</v>
      </c>
      <c r="C56" s="20">
        <f t="shared" si="16"/>
        <v>2014</v>
      </c>
      <c r="D56" s="19">
        <f>D55+100000</f>
        <v>800000</v>
      </c>
      <c r="E56" s="18"/>
      <c r="F56" s="17" t="s">
        <v>3</v>
      </c>
      <c r="G56" s="13">
        <f t="shared" si="14"/>
        <v>605000</v>
      </c>
      <c r="H56" s="13">
        <f t="shared" si="15"/>
        <v>144583.33333333334</v>
      </c>
      <c r="I56" s="13">
        <f t="shared" si="13"/>
        <v>-3583.3333333333335</v>
      </c>
      <c r="J56" s="16">
        <f t="shared" si="4"/>
        <v>746000</v>
      </c>
      <c r="K56" s="28"/>
      <c r="L56" s="14">
        <f>J56+5000</f>
        <v>751000</v>
      </c>
      <c r="M56" s="13">
        <f t="shared" si="5"/>
        <v>-5000</v>
      </c>
    </row>
    <row r="57" spans="1:13">
      <c r="A57" s="1">
        <f t="shared" si="11"/>
        <v>47</v>
      </c>
      <c r="B57" s="21">
        <f t="shared" si="12"/>
        <v>41944</v>
      </c>
      <c r="C57" s="20">
        <f t="shared" si="16"/>
        <v>2014</v>
      </c>
      <c r="D57" s="19">
        <f>D56-30000</f>
        <v>770000</v>
      </c>
      <c r="E57" s="18"/>
      <c r="F57" s="17" t="s">
        <v>3</v>
      </c>
      <c r="G57" s="13">
        <f t="shared" si="14"/>
        <v>605000</v>
      </c>
      <c r="H57" s="13">
        <f t="shared" si="15"/>
        <v>144583.33333333334</v>
      </c>
      <c r="I57" s="13">
        <f t="shared" si="13"/>
        <v>-3583.3333333333335</v>
      </c>
      <c r="J57" s="16">
        <f t="shared" si="4"/>
        <v>746000</v>
      </c>
      <c r="K57" s="28"/>
      <c r="L57" s="14">
        <f>J57+10000</f>
        <v>756000</v>
      </c>
      <c r="M57" s="13">
        <f t="shared" si="5"/>
        <v>-10000</v>
      </c>
    </row>
    <row r="58" spans="1:13">
      <c r="A58" s="1">
        <f t="shared" si="11"/>
        <v>48</v>
      </c>
      <c r="B58" s="21">
        <f t="shared" si="12"/>
        <v>41974</v>
      </c>
      <c r="C58" s="27">
        <f t="shared" si="16"/>
        <v>2014</v>
      </c>
      <c r="D58" s="26">
        <f>D57-50000</f>
        <v>720000</v>
      </c>
      <c r="E58" s="18"/>
      <c r="F58" s="17" t="s">
        <v>3</v>
      </c>
      <c r="G58" s="13">
        <f t="shared" si="14"/>
        <v>605000</v>
      </c>
      <c r="H58" s="13">
        <f t="shared" si="15"/>
        <v>144583.33333333334</v>
      </c>
      <c r="I58" s="13">
        <f t="shared" si="13"/>
        <v>-3583.3333333333335</v>
      </c>
      <c r="J58" s="16">
        <f t="shared" si="4"/>
        <v>746000</v>
      </c>
      <c r="K58" s="28"/>
      <c r="L58" s="14">
        <f>J58+11000</f>
        <v>757000</v>
      </c>
      <c r="M58" s="25">
        <f t="shared" si="5"/>
        <v>-11000</v>
      </c>
    </row>
    <row r="59" spans="1:13">
      <c r="A59" s="1">
        <f t="shared" si="11"/>
        <v>49</v>
      </c>
      <c r="B59" s="21">
        <f t="shared" si="12"/>
        <v>42005</v>
      </c>
      <c r="C59" s="24">
        <f t="shared" si="16"/>
        <v>2015</v>
      </c>
      <c r="D59" s="23">
        <v>900000</v>
      </c>
      <c r="E59" s="18"/>
      <c r="F59" s="17" t="s">
        <v>3</v>
      </c>
      <c r="G59" s="13">
        <f t="shared" si="14"/>
        <v>605000</v>
      </c>
      <c r="H59" s="13">
        <f t="shared" si="15"/>
        <v>144583.33333333334</v>
      </c>
      <c r="I59" s="13">
        <f t="shared" si="13"/>
        <v>-3583.3333333333335</v>
      </c>
      <c r="J59" s="16">
        <f t="shared" si="4"/>
        <v>746000</v>
      </c>
      <c r="K59" s="28"/>
      <c r="L59" s="14">
        <f>J59-10000</f>
        <v>736000</v>
      </c>
      <c r="M59" s="22">
        <f t="shared" si="5"/>
        <v>10000</v>
      </c>
    </row>
    <row r="60" spans="1:13">
      <c r="A60" s="1">
        <f t="shared" si="11"/>
        <v>50</v>
      </c>
      <c r="B60" s="21">
        <f t="shared" si="12"/>
        <v>42036</v>
      </c>
      <c r="C60" s="20">
        <f t="shared" si="16"/>
        <v>2015</v>
      </c>
      <c r="D60" s="19">
        <v>920000</v>
      </c>
      <c r="E60" s="18"/>
      <c r="F60" s="17" t="s">
        <v>3</v>
      </c>
      <c r="G60" s="13">
        <f t="shared" si="14"/>
        <v>605000</v>
      </c>
      <c r="H60" s="13">
        <f t="shared" si="15"/>
        <v>144583.33333333334</v>
      </c>
      <c r="I60" s="13">
        <f t="shared" si="13"/>
        <v>-3583.3333333333335</v>
      </c>
      <c r="J60" s="16">
        <f t="shared" si="4"/>
        <v>746000</v>
      </c>
      <c r="K60" s="28"/>
      <c r="L60" s="14">
        <f>J60+8000</f>
        <v>754000</v>
      </c>
      <c r="M60" s="13">
        <f t="shared" si="5"/>
        <v>-8000</v>
      </c>
    </row>
    <row r="61" spans="1:13">
      <c r="A61" s="1">
        <f t="shared" si="11"/>
        <v>51</v>
      </c>
      <c r="B61" s="21">
        <f t="shared" si="12"/>
        <v>42064</v>
      </c>
      <c r="C61" s="20">
        <f t="shared" si="16"/>
        <v>2015</v>
      </c>
      <c r="D61" s="19">
        <v>940000</v>
      </c>
      <c r="E61" s="18"/>
      <c r="F61" s="17" t="s">
        <v>3</v>
      </c>
      <c r="G61" s="13">
        <f t="shared" si="14"/>
        <v>605000</v>
      </c>
      <c r="H61" s="13">
        <f t="shared" si="15"/>
        <v>144583.33333333334</v>
      </c>
      <c r="I61" s="13">
        <f t="shared" si="13"/>
        <v>-3583.3333333333335</v>
      </c>
      <c r="J61" s="16">
        <f t="shared" si="4"/>
        <v>746000</v>
      </c>
      <c r="K61" s="28"/>
      <c r="L61" s="14">
        <f>J61-7000</f>
        <v>739000</v>
      </c>
      <c r="M61" s="13">
        <f t="shared" si="5"/>
        <v>7000</v>
      </c>
    </row>
    <row r="62" spans="1:13">
      <c r="A62" s="1">
        <f t="shared" si="11"/>
        <v>52</v>
      </c>
      <c r="B62" s="21">
        <f t="shared" si="12"/>
        <v>42095</v>
      </c>
      <c r="C62" s="20">
        <f t="shared" si="16"/>
        <v>2015</v>
      </c>
      <c r="D62" s="19">
        <v>960000</v>
      </c>
      <c r="E62" s="18"/>
      <c r="F62" s="34" t="s">
        <v>3</v>
      </c>
      <c r="G62" s="13">
        <f t="shared" si="14"/>
        <v>605000</v>
      </c>
      <c r="H62" s="13">
        <f t="shared" si="15"/>
        <v>144583.33333333334</v>
      </c>
      <c r="I62" s="25">
        <f t="shared" si="13"/>
        <v>-3583.3333333333335</v>
      </c>
      <c r="J62" s="33">
        <f t="shared" si="4"/>
        <v>746000</v>
      </c>
      <c r="K62" s="28"/>
      <c r="L62" s="32">
        <f>J62-5000</f>
        <v>741000</v>
      </c>
      <c r="M62" s="13">
        <f t="shared" si="5"/>
        <v>5000</v>
      </c>
    </row>
    <row r="63" spans="1:13">
      <c r="A63" s="1">
        <f t="shared" si="11"/>
        <v>53</v>
      </c>
      <c r="B63" s="21">
        <f t="shared" si="12"/>
        <v>42125</v>
      </c>
      <c r="C63" s="20">
        <f t="shared" si="16"/>
        <v>2015</v>
      </c>
      <c r="D63" s="19">
        <v>990000</v>
      </c>
      <c r="E63" s="18"/>
      <c r="F63" s="31" t="s">
        <v>2</v>
      </c>
      <c r="G63" s="30">
        <f>SUM(D47:D58)/12*0.75</f>
        <v>583125</v>
      </c>
      <c r="H63" s="30">
        <f>SUM($D35:$D46)/12*0.25</f>
        <v>201666.66666666666</v>
      </c>
      <c r="I63" s="22">
        <f t="shared" ref="I63:I74" si="17">SUM(M$47:M$58)/12</f>
        <v>-1750</v>
      </c>
      <c r="J63" s="30">
        <f t="shared" si="4"/>
        <v>783041.66666666663</v>
      </c>
      <c r="K63" s="28"/>
      <c r="L63" s="29">
        <f>J63+2000</f>
        <v>785041.66666666663</v>
      </c>
      <c r="M63" s="13">
        <f t="shared" si="5"/>
        <v>-2000</v>
      </c>
    </row>
    <row r="64" spans="1:13">
      <c r="A64" s="1">
        <f t="shared" si="11"/>
        <v>54</v>
      </c>
      <c r="B64" s="21">
        <f t="shared" si="12"/>
        <v>42156</v>
      </c>
      <c r="C64" s="20">
        <f t="shared" si="16"/>
        <v>2015</v>
      </c>
      <c r="D64" s="19">
        <f>D63-60000</f>
        <v>930000</v>
      </c>
      <c r="E64" s="18"/>
      <c r="F64" s="17" t="s">
        <v>2</v>
      </c>
      <c r="G64" s="13">
        <f t="shared" ref="G64:G74" si="18">G63</f>
        <v>583125</v>
      </c>
      <c r="H64" s="13">
        <f t="shared" ref="H64:H74" si="19">H63</f>
        <v>201666.66666666666</v>
      </c>
      <c r="I64" s="13">
        <f t="shared" si="17"/>
        <v>-1750</v>
      </c>
      <c r="J64" s="16">
        <f t="shared" si="4"/>
        <v>783041.66666666663</v>
      </c>
      <c r="K64" s="28"/>
      <c r="L64" s="14">
        <f>J64-7000</f>
        <v>776041.66666666663</v>
      </c>
      <c r="M64" s="13">
        <f t="shared" si="5"/>
        <v>7000</v>
      </c>
    </row>
    <row r="65" spans="1:13">
      <c r="A65" s="1">
        <f t="shared" si="11"/>
        <v>55</v>
      </c>
      <c r="B65" s="21">
        <f t="shared" si="12"/>
        <v>42186</v>
      </c>
      <c r="C65" s="20">
        <f t="shared" si="16"/>
        <v>2015</v>
      </c>
      <c r="D65" s="19">
        <f>D64-80000</f>
        <v>850000</v>
      </c>
      <c r="E65" s="18"/>
      <c r="F65" s="17" t="s">
        <v>2</v>
      </c>
      <c r="G65" s="13">
        <f t="shared" si="18"/>
        <v>583125</v>
      </c>
      <c r="H65" s="13">
        <f t="shared" si="19"/>
        <v>201666.66666666666</v>
      </c>
      <c r="I65" s="13">
        <f t="shared" si="17"/>
        <v>-1750</v>
      </c>
      <c r="J65" s="16">
        <f t="shared" si="4"/>
        <v>783041.66666666663</v>
      </c>
      <c r="K65" s="28"/>
      <c r="L65" s="14">
        <f>J65-5000</f>
        <v>778041.66666666663</v>
      </c>
      <c r="M65" s="13">
        <f t="shared" si="5"/>
        <v>5000</v>
      </c>
    </row>
    <row r="66" spans="1:13">
      <c r="A66" s="1">
        <f t="shared" si="11"/>
        <v>56</v>
      </c>
      <c r="B66" s="21">
        <f t="shared" si="12"/>
        <v>42217</v>
      </c>
      <c r="C66" s="20">
        <f t="shared" si="16"/>
        <v>2015</v>
      </c>
      <c r="D66" s="19">
        <f>D65+60000</f>
        <v>910000</v>
      </c>
      <c r="E66" s="18"/>
      <c r="F66" s="17" t="s">
        <v>2</v>
      </c>
      <c r="G66" s="13">
        <f t="shared" si="18"/>
        <v>583125</v>
      </c>
      <c r="H66" s="13">
        <f t="shared" si="19"/>
        <v>201666.66666666666</v>
      </c>
      <c r="I66" s="13">
        <f t="shared" si="17"/>
        <v>-1750</v>
      </c>
      <c r="J66" s="16">
        <f t="shared" si="4"/>
        <v>783041.66666666663</v>
      </c>
      <c r="K66" s="28"/>
      <c r="L66" s="14">
        <f>J66+2000</f>
        <v>785041.66666666663</v>
      </c>
      <c r="M66" s="13">
        <f t="shared" si="5"/>
        <v>-2000</v>
      </c>
    </row>
    <row r="67" spans="1:13">
      <c r="A67" s="1">
        <f t="shared" si="11"/>
        <v>57</v>
      </c>
      <c r="B67" s="21">
        <f t="shared" si="12"/>
        <v>42248</v>
      </c>
      <c r="C67" s="20">
        <f t="shared" si="16"/>
        <v>2015</v>
      </c>
      <c r="D67" s="19">
        <f>D66-80000</f>
        <v>830000</v>
      </c>
      <c r="E67" s="18"/>
      <c r="F67" s="17" t="s">
        <v>2</v>
      </c>
      <c r="G67" s="13">
        <f t="shared" si="18"/>
        <v>583125</v>
      </c>
      <c r="H67" s="13">
        <f t="shared" si="19"/>
        <v>201666.66666666666</v>
      </c>
      <c r="I67" s="13">
        <f t="shared" si="17"/>
        <v>-1750</v>
      </c>
      <c r="J67" s="16">
        <f t="shared" si="4"/>
        <v>783041.66666666663</v>
      </c>
      <c r="K67" s="15"/>
      <c r="L67" s="14">
        <f>J67-6000</f>
        <v>777041.66666666663</v>
      </c>
      <c r="M67" s="13">
        <f t="shared" si="5"/>
        <v>6000</v>
      </c>
    </row>
    <row r="68" spans="1:13">
      <c r="A68" s="1">
        <f t="shared" si="11"/>
        <v>58</v>
      </c>
      <c r="B68" s="21">
        <f t="shared" si="12"/>
        <v>42278</v>
      </c>
      <c r="C68" s="20">
        <f t="shared" si="16"/>
        <v>2015</v>
      </c>
      <c r="D68" s="19">
        <f>D67-20000</f>
        <v>810000</v>
      </c>
      <c r="E68" s="18"/>
      <c r="F68" s="17" t="s">
        <v>2</v>
      </c>
      <c r="G68" s="13">
        <f t="shared" si="18"/>
        <v>583125</v>
      </c>
      <c r="H68" s="13">
        <f t="shared" si="19"/>
        <v>201666.66666666666</v>
      </c>
      <c r="I68" s="13">
        <f t="shared" si="17"/>
        <v>-1750</v>
      </c>
      <c r="J68" s="16">
        <f t="shared" si="4"/>
        <v>783041.66666666663</v>
      </c>
      <c r="K68" s="15"/>
      <c r="L68" s="14">
        <f>J68+8000</f>
        <v>791041.66666666663</v>
      </c>
      <c r="M68" s="13">
        <f t="shared" si="5"/>
        <v>-8000</v>
      </c>
    </row>
    <row r="69" spans="1:13">
      <c r="A69" s="1">
        <f t="shared" si="11"/>
        <v>59</v>
      </c>
      <c r="B69" s="21">
        <f t="shared" si="12"/>
        <v>42309</v>
      </c>
      <c r="C69" s="20">
        <f t="shared" si="16"/>
        <v>2015</v>
      </c>
      <c r="D69" s="19">
        <f>D68-60000</f>
        <v>750000</v>
      </c>
      <c r="E69" s="18"/>
      <c r="F69" s="17" t="s">
        <v>2</v>
      </c>
      <c r="G69" s="13">
        <f t="shared" si="18"/>
        <v>583125</v>
      </c>
      <c r="H69" s="13">
        <f t="shared" si="19"/>
        <v>201666.66666666666</v>
      </c>
      <c r="I69" s="13">
        <f t="shared" si="17"/>
        <v>-1750</v>
      </c>
      <c r="J69" s="16">
        <f t="shared" si="4"/>
        <v>783041.66666666663</v>
      </c>
      <c r="K69" s="15"/>
      <c r="L69" s="14">
        <f>J69-3000</f>
        <v>780041.66666666663</v>
      </c>
      <c r="M69" s="13">
        <f t="shared" si="5"/>
        <v>3000</v>
      </c>
    </row>
    <row r="70" spans="1:13">
      <c r="A70" s="1">
        <f t="shared" si="11"/>
        <v>60</v>
      </c>
      <c r="B70" s="21">
        <f t="shared" si="12"/>
        <v>42339</v>
      </c>
      <c r="C70" s="27">
        <f t="shared" si="16"/>
        <v>2015</v>
      </c>
      <c r="D70" s="26">
        <f>D69-80000</f>
        <v>670000</v>
      </c>
      <c r="E70" s="18"/>
      <c r="F70" s="17" t="s">
        <v>2</v>
      </c>
      <c r="G70" s="13">
        <f t="shared" si="18"/>
        <v>583125</v>
      </c>
      <c r="H70" s="13">
        <f t="shared" si="19"/>
        <v>201666.66666666666</v>
      </c>
      <c r="I70" s="13">
        <f t="shared" si="17"/>
        <v>-1750</v>
      </c>
      <c r="J70" s="16">
        <f t="shared" si="4"/>
        <v>783041.66666666663</v>
      </c>
      <c r="K70" s="15"/>
      <c r="L70" s="14">
        <f>J70+10000</f>
        <v>793041.66666666663</v>
      </c>
      <c r="M70" s="25">
        <f t="shared" si="5"/>
        <v>-10000</v>
      </c>
    </row>
    <row r="71" spans="1:13">
      <c r="A71" s="1">
        <f t="shared" si="11"/>
        <v>61</v>
      </c>
      <c r="B71" s="21">
        <f t="shared" si="12"/>
        <v>42370</v>
      </c>
      <c r="C71" s="24">
        <f t="shared" si="16"/>
        <v>2016</v>
      </c>
      <c r="D71" s="23">
        <f>D70+60000</f>
        <v>730000</v>
      </c>
      <c r="E71" s="18"/>
      <c r="F71" s="17" t="s">
        <v>2</v>
      </c>
      <c r="G71" s="13">
        <f t="shared" si="18"/>
        <v>583125</v>
      </c>
      <c r="H71" s="13">
        <f t="shared" si="19"/>
        <v>201666.66666666666</v>
      </c>
      <c r="I71" s="13">
        <f t="shared" si="17"/>
        <v>-1750</v>
      </c>
      <c r="J71" s="16">
        <f t="shared" si="4"/>
        <v>783041.66666666663</v>
      </c>
      <c r="K71" s="15"/>
      <c r="L71" s="14">
        <f>J71+11000</f>
        <v>794041.66666666663</v>
      </c>
      <c r="M71" s="22">
        <f t="shared" si="5"/>
        <v>-11000</v>
      </c>
    </row>
    <row r="72" spans="1:13">
      <c r="A72" s="1">
        <f t="shared" si="11"/>
        <v>62</v>
      </c>
      <c r="B72" s="21">
        <f t="shared" si="12"/>
        <v>42401</v>
      </c>
      <c r="C72" s="20">
        <f t="shared" si="16"/>
        <v>2016</v>
      </c>
      <c r="D72" s="19">
        <f>D71-80000</f>
        <v>650000</v>
      </c>
      <c r="E72" s="18"/>
      <c r="F72" s="17" t="s">
        <v>2</v>
      </c>
      <c r="G72" s="13">
        <f t="shared" si="18"/>
        <v>583125</v>
      </c>
      <c r="H72" s="13">
        <f t="shared" si="19"/>
        <v>201666.66666666666</v>
      </c>
      <c r="I72" s="13">
        <f t="shared" si="17"/>
        <v>-1750</v>
      </c>
      <c r="J72" s="16">
        <f t="shared" si="4"/>
        <v>783041.66666666663</v>
      </c>
      <c r="K72" s="15"/>
      <c r="L72" s="14">
        <f>J72+6000</f>
        <v>789041.66666666663</v>
      </c>
      <c r="M72" s="13">
        <f t="shared" si="5"/>
        <v>-6000</v>
      </c>
    </row>
    <row r="73" spans="1:13">
      <c r="A73" s="1">
        <f t="shared" si="11"/>
        <v>63</v>
      </c>
      <c r="B73" s="21">
        <f t="shared" si="12"/>
        <v>42430</v>
      </c>
      <c r="C73" s="20">
        <f t="shared" si="16"/>
        <v>2016</v>
      </c>
      <c r="D73" s="19">
        <f>D72-20000</f>
        <v>630000</v>
      </c>
      <c r="E73" s="18"/>
      <c r="F73" s="17" t="s">
        <v>2</v>
      </c>
      <c r="G73" s="13">
        <f t="shared" si="18"/>
        <v>583125</v>
      </c>
      <c r="H73" s="13">
        <f t="shared" si="19"/>
        <v>201666.66666666666</v>
      </c>
      <c r="I73" s="13">
        <f t="shared" si="17"/>
        <v>-1750</v>
      </c>
      <c r="J73" s="16">
        <f t="shared" si="4"/>
        <v>783041.66666666663</v>
      </c>
      <c r="K73" s="15"/>
      <c r="L73" s="14">
        <f>J73+5000</f>
        <v>788041.66666666663</v>
      </c>
      <c r="M73" s="13">
        <f t="shared" si="5"/>
        <v>-5000</v>
      </c>
    </row>
    <row r="74" spans="1:13" ht="15.75" thickBot="1">
      <c r="A74" s="12">
        <f t="shared" si="11"/>
        <v>64</v>
      </c>
      <c r="B74" s="11">
        <f t="shared" si="12"/>
        <v>42461</v>
      </c>
      <c r="C74" s="10">
        <f t="shared" si="16"/>
        <v>2016</v>
      </c>
      <c r="D74" s="9">
        <f>D73+60000</f>
        <v>690000</v>
      </c>
      <c r="E74" s="8"/>
      <c r="F74" s="7" t="s">
        <v>2</v>
      </c>
      <c r="G74" s="3">
        <f t="shared" si="18"/>
        <v>583125</v>
      </c>
      <c r="H74" s="3">
        <f t="shared" si="19"/>
        <v>201666.66666666666</v>
      </c>
      <c r="I74" s="3">
        <f t="shared" si="17"/>
        <v>-1750</v>
      </c>
      <c r="J74" s="6">
        <f t="shared" si="4"/>
        <v>783041.66666666663</v>
      </c>
      <c r="K74" s="5"/>
      <c r="L74" s="4">
        <f>J74+2000</f>
        <v>785041.66666666663</v>
      </c>
      <c r="M74" s="3">
        <f t="shared" si="5"/>
        <v>-2000</v>
      </c>
    </row>
    <row r="75" spans="1:13">
      <c r="B75" s="2" t="s">
        <v>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B76" s="2" t="s">
        <v>0</v>
      </c>
    </row>
  </sheetData>
  <mergeCells count="4">
    <mergeCell ref="B1:M1"/>
    <mergeCell ref="B2:M2"/>
    <mergeCell ref="B3:M3"/>
    <mergeCell ref="B4:M4"/>
  </mergeCells>
  <printOptions horizontalCentered="1" verticalCentered="1"/>
  <pageMargins left="0.7" right="0.7" top="0.75" bottom="0.75" header="0.3" footer="0.3"/>
  <pageSetup scale="6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EE737E-7559-46EC-BE3F-20F7DECD8CC7}"/>
</file>

<file path=customXml/itemProps2.xml><?xml version="1.0" encoding="utf-8"?>
<ds:datastoreItem xmlns:ds="http://schemas.openxmlformats.org/officeDocument/2006/customXml" ds:itemID="{15C9C855-E311-4659-9D2D-E5BEADCA0966}"/>
</file>

<file path=customXml/itemProps3.xml><?xml version="1.0" encoding="utf-8"?>
<ds:datastoreItem xmlns:ds="http://schemas.openxmlformats.org/officeDocument/2006/customXml" ds:itemID="{B0783F09-97C4-416E-9A14-BE369AB40539}"/>
</file>

<file path=customXml/itemProps4.xml><?xml version="1.0" encoding="utf-8"?>
<ds:datastoreItem xmlns:ds="http://schemas.openxmlformats.org/officeDocument/2006/customXml" ds:itemID="{D37ADC7F-8AAA-4853-B2A4-4B33A262B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JAP-21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2011-05-27T21:34:41Z</cp:lastPrinted>
  <dcterms:created xsi:type="dcterms:W3CDTF">2011-05-23T19:31:22Z</dcterms:created>
  <dcterms:modified xsi:type="dcterms:W3CDTF">2011-05-27T21:35:20Z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