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4"/>
  </bookViews>
  <sheets>
    <sheet name="PLANT" sheetId="1" r:id="rId1"/>
    <sheet name="ACCUM DEPR" sheetId="2" r:id="rId2"/>
    <sheet name="TPUC" sheetId="3" r:id="rId3"/>
    <sheet name="DEFERRED TAX" sheetId="4" r:id="rId4"/>
    <sheet name="RATE BASE" sheetId="5" r:id="rId5"/>
  </sheets>
  <externalReferences>
    <externalReference r:id="rId8"/>
  </externalReferences>
  <definedNames>
    <definedName name="\0">'PLANT'!#REF!</definedName>
    <definedName name="\P">'PLANT'!#REF!</definedName>
    <definedName name="A">'PLANT'!$B$1:$N$41</definedName>
    <definedName name="ALL">'PLANT:DEFERRED TAX'!$B$1:$N$50</definedName>
    <definedName name="B">'ACCUM DEPR'!$B$1:$N$45</definedName>
    <definedName name="C">'TPUC'!$B$1:$N$31</definedName>
    <definedName name="D">'DEFERRED TAX'!$B$1:$N$44</definedName>
    <definedName name="E">'RATE BASE'!$B$1:$N$39</definedName>
    <definedName name="F">'RATE BASE'!$B$1:$N$32</definedName>
    <definedName name="MACRO">'PLANT'!#REF!</definedName>
    <definedName name="PAPER">'PLANT'!#REF!</definedName>
    <definedName name="_xlnm.Print_Area" localSheetId="1">'ACCUM DEPR'!$A$1:$N$43</definedName>
    <definedName name="_xlnm.Print_Area" localSheetId="3">'DEFERRED TAX'!$A$1:$N$43</definedName>
    <definedName name="_xlnm.Print_Area" localSheetId="0">'PLANT'!$A$1:$N$41</definedName>
    <definedName name="_xlnm.Print_Area" localSheetId="4">'RATE BASE'!$A$1:$N$32</definedName>
    <definedName name="_xlnm.Print_Area" localSheetId="2">'TPUC'!$A$1:$N$32</definedName>
    <definedName name="_xlnm.Print_Area">'DEFERRED TAX'!$A$1:$N$44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<sst xmlns="http://schemas.openxmlformats.org/spreadsheetml/2006/main" count="226" uniqueCount="77">
  <si>
    <t>2001 TELECOMMUNICATIONS PLANT IN SERVICE</t>
  </si>
  <si>
    <t>BALANCE</t>
  </si>
  <si>
    <t>SUBTOTAL</t>
  </si>
  <si>
    <t>PART</t>
  </si>
  <si>
    <t>AVERAGE</t>
  </si>
  <si>
    <t>PER BOOKS</t>
  </si>
  <si>
    <t>ADJUSTMENTS</t>
  </si>
  <si>
    <t>PER STUDY</t>
  </si>
  <si>
    <t>X</t>
  </si>
  <si>
    <t>DR</t>
  </si>
  <si>
    <t>&lt;CR&gt;</t>
  </si>
  <si>
    <t>ADJUST</t>
  </si>
  <si>
    <t>2110 LAND &amp; SUPPORT ASSETS</t>
  </si>
  <si>
    <t>TOTAL LAND &amp; SUPPORT</t>
  </si>
  <si>
    <t>2210 CENTRAL OFFICE EQUIPMENT</t>
  </si>
  <si>
    <t>TOTAL CENTRAL OFC EQ</t>
  </si>
  <si>
    <t>2310 INFORM. ORIG./TERM. ASSETS</t>
  </si>
  <si>
    <t>TOTAL INFORM ORIG/TERM</t>
  </si>
  <si>
    <t>2410 CABLE &amp; WIRE FACILITIES</t>
  </si>
  <si>
    <t>TOTAL CABLE &amp; WIRE FAC</t>
  </si>
  <si>
    <t>2680 AMORTIZABLE ASSETS</t>
  </si>
  <si>
    <t>2690 Intangible - Franchise</t>
  </si>
  <si>
    <t>TOTAL</t>
  </si>
  <si>
    <t>1220 Materials &amp; Supplies</t>
  </si>
  <si>
    <t>*</t>
  </si>
  <si>
    <t>@ 12/31/94</t>
  </si>
  <si>
    <t>=</t>
  </si>
  <si>
    <t>3100 ACCUMULATED DEPRECIATION &amp; AMORTIZATION</t>
  </si>
  <si>
    <t>&lt;DR&gt;</t>
  </si>
  <si>
    <t>CR</t>
  </si>
  <si>
    <t>SUBTOTAL ACCUM DEPR</t>
  </si>
  <si>
    <t>4040 CUSTOMER DEPOSITS</t>
  </si>
  <si>
    <t>ACCOUNTS 2002 &amp; 2003</t>
  </si>
  <si>
    <t>2002 PLANT HELD FOR FUTURE TELECOMMUNICATIONS USE:</t>
  </si>
  <si>
    <t>2003 TELECOMMUNICATIONS PLANT UNDER CONSTRUCTION:</t>
  </si>
  <si>
    <t>1406 NONREGULATED</t>
  </si>
  <si>
    <t>4340 DEFERRED TAXES</t>
  </si>
  <si>
    <t>SUBTOTAL DEFERRED TAXES</t>
  </si>
  <si>
    <t>RATE BASE SUMMARY</t>
  </si>
  <si>
    <t>TOTAL 2001 PLANT IN SERVICE</t>
  </si>
  <si>
    <t>2002 PROP HELD FOR FUTURE USE</t>
  </si>
  <si>
    <t>2003 PLANT UNDER CONSTRUCTION</t>
  </si>
  <si>
    <t>TOTAL TELEPHONE PLANT</t>
  </si>
  <si>
    <t>3100 ACCUMULATED DEPRECIATION</t>
  </si>
  <si>
    <t>NET TELECOMMUNICATION PLANT</t>
  </si>
  <si>
    <t>1220 MATERIALS &amp; SUPPLIES</t>
  </si>
  <si>
    <t>CASH WORKING CAPITAL</t>
  </si>
  <si>
    <t>NET INVESTMENT</t>
  </si>
  <si>
    <t>NET INVESTMENT-WASHINGTON</t>
  </si>
  <si>
    <t>LINKED BAL</t>
  </si>
  <si>
    <t>TB LINK TEST</t>
  </si>
  <si>
    <t>1505</t>
  </si>
  <si>
    <t>Source</t>
  </si>
  <si>
    <t>2155</t>
  </si>
  <si>
    <t>2005</t>
  </si>
  <si>
    <t>2605</t>
  </si>
  <si>
    <t>WEAVTEL</t>
  </si>
  <si>
    <t>12/31/07</t>
  </si>
  <si>
    <t>2110.10 Land</t>
  </si>
  <si>
    <t>2110.40 Motor Vehicles</t>
  </si>
  <si>
    <t>2110.30 Office Equipment</t>
  </si>
  <si>
    <t>2110.35 Other Work Equipment</t>
  </si>
  <si>
    <t>2110.20 Buildings</t>
  </si>
  <si>
    <t>2110.50 Gen. Purpose Computer</t>
  </si>
  <si>
    <t>2110.45 Office Eq - Other Comm Eq</t>
  </si>
  <si>
    <t>2110.25 Furniture</t>
  </si>
  <si>
    <t>2210.10 Digital Switching Eq.</t>
  </si>
  <si>
    <t>2220.10 Operator Systems</t>
  </si>
  <si>
    <t>2230.10 Circuit Eq - Trunk Carrier</t>
  </si>
  <si>
    <t>2230.20 Circuit Eq - Subs Carrier</t>
  </si>
  <si>
    <t>2310.10 Public Telephone Equip.</t>
  </si>
  <si>
    <t>2410.50 Outside Plant</t>
  </si>
  <si>
    <t>OUTSIDE STUDY AREA</t>
  </si>
  <si>
    <t>FOR THE STUDY YEAR ENDED DECEMBER 31, 2008</t>
  </si>
  <si>
    <t>12/31/08</t>
  </si>
  <si>
    <t>TB LINK</t>
  </si>
  <si>
    <t>8,14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</si>
</sst>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"/>
    <numFmt numFmtId="165" formatCode=";;;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SWISS"/>
      <family val="0"/>
    </font>
    <font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9"/>
      <name val="Arial"/>
      <family val="2"/>
    </font>
    <font>
      <b/>
      <i/>
      <u val="single"/>
      <sz val="9"/>
      <name val="Arial"/>
      <family val="2"/>
    </font>
    <font>
      <b/>
      <i/>
      <sz val="9"/>
      <name val="SWISS"/>
      <family val="0"/>
    </font>
    <font>
      <i/>
      <sz val="9"/>
      <name val="Arial"/>
      <family val="2"/>
    </font>
    <font>
      <i/>
      <sz val="9"/>
      <name val="SWISS"/>
      <family val="0"/>
    </font>
    <font>
      <i/>
      <u val="single"/>
      <sz val="9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0" fontId="4" fillId="0" borderId="0" xfId="0" applyNumberFormat="1" applyFont="1" applyAlignment="1">
      <alignment/>
    </xf>
    <xf numFmtId="37" fontId="5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0" fillId="0" borderId="11" xfId="0" applyNumberFormat="1" applyBorder="1" applyAlignment="1">
      <alignment/>
    </xf>
    <xf numFmtId="0" fontId="4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65" fontId="4" fillId="0" borderId="0" xfId="0" applyNumberFormat="1" applyFont="1" applyAlignment="1" applyProtection="1">
      <alignment/>
      <protection hidden="1"/>
    </xf>
    <xf numFmtId="0" fontId="4" fillId="0" borderId="0" xfId="0" applyNumberFormat="1" applyFont="1" applyAlignment="1">
      <alignment horizontal="fill"/>
    </xf>
    <xf numFmtId="165" fontId="0" fillId="0" borderId="0" xfId="0" applyNumberFormat="1" applyAlignment="1" applyProtection="1">
      <alignment/>
      <protection hidden="1"/>
    </xf>
    <xf numFmtId="0" fontId="0" fillId="0" borderId="0" xfId="0" applyNumberFormat="1" applyAlignment="1">
      <alignment/>
    </xf>
    <xf numFmtId="0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3" fontId="14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5" fillId="0" borderId="11" xfId="0" applyNumberFormat="1" applyFont="1" applyBorder="1" applyAlignment="1">
      <alignment/>
    </xf>
    <xf numFmtId="15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4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 applyProtection="1">
      <alignment/>
      <protection hidden="1"/>
    </xf>
    <xf numFmtId="0" fontId="1" fillId="0" borderId="0" xfId="0" applyNumberFormat="1" applyFont="1" applyAlignment="1" quotePrefix="1">
      <alignment horizontal="center"/>
    </xf>
    <xf numFmtId="0" fontId="5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7" fontId="5" fillId="0" borderId="11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3" fillId="0" borderId="0" xfId="0" applyNumberFormat="1" applyFont="1" applyAlignment="1">
      <alignment horizontal="center"/>
    </xf>
    <xf numFmtId="3" fontId="14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/>
    </xf>
    <xf numFmtId="0" fontId="15" fillId="0" borderId="10" xfId="0" applyNumberFormat="1" applyFont="1" applyBorder="1" applyAlignment="1" quotePrefix="1">
      <alignment horizontal="center"/>
    </xf>
    <xf numFmtId="40" fontId="5" fillId="0" borderId="0" xfId="0" applyNumberFormat="1" applyFont="1" applyAlignment="1">
      <alignment/>
    </xf>
    <xf numFmtId="4" fontId="5" fillId="0" borderId="13" xfId="0" applyNumberFormat="1" applyFont="1" applyBorder="1" applyAlignment="1">
      <alignment/>
    </xf>
    <xf numFmtId="38" fontId="14" fillId="0" borderId="0" xfId="0" applyNumberFormat="1" applyFont="1" applyAlignment="1">
      <alignment/>
    </xf>
    <xf numFmtId="0" fontId="4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/>
    </xf>
    <xf numFmtId="0" fontId="15" fillId="33" borderId="0" xfId="0" applyNumberFormat="1" applyFont="1" applyFill="1" applyAlignment="1" quotePrefix="1">
      <alignment/>
    </xf>
    <xf numFmtId="38" fontId="5" fillId="0" borderId="11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8" fontId="5" fillId="0" borderId="0" xfId="0" applyNumberFormat="1" applyFont="1" applyAlignment="1">
      <alignment/>
    </xf>
    <xf numFmtId="38" fontId="5" fillId="0" borderId="0" xfId="0" applyNumberFormat="1" applyFont="1" applyAlignment="1">
      <alignment/>
    </xf>
    <xf numFmtId="0" fontId="5" fillId="0" borderId="11" xfId="0" applyNumberFormat="1" applyFont="1" applyBorder="1" applyAlignment="1">
      <alignment horizontal="right"/>
    </xf>
    <xf numFmtId="38" fontId="5" fillId="0" borderId="14" xfId="0" applyNumberFormat="1" applyFont="1" applyBorder="1" applyAlignment="1">
      <alignment/>
    </xf>
    <xf numFmtId="38" fontId="14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7" fontId="14" fillId="0" borderId="0" xfId="0" applyNumberFormat="1" applyFont="1" applyFill="1" applyAlignment="1" applyProtection="1">
      <alignment/>
      <protection locked="0"/>
    </xf>
    <xf numFmtId="37" fontId="14" fillId="0" borderId="0" xfId="0" applyNumberFormat="1" applyFont="1" applyFill="1" applyAlignment="1">
      <alignment/>
    </xf>
    <xf numFmtId="0" fontId="5" fillId="0" borderId="0" xfId="0" applyNumberFormat="1" applyFont="1" applyAlignment="1">
      <alignment horizontal="righ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16</xdr:row>
      <xdr:rowOff>0</xdr:rowOff>
    </xdr:from>
    <xdr:to>
      <xdr:col>12</xdr:col>
      <xdr:colOff>152400</xdr:colOff>
      <xdr:row>16</xdr:row>
      <xdr:rowOff>152400</xdr:rowOff>
    </xdr:to>
    <xdr:pic>
      <xdr:nvPicPr>
        <xdr:cNvPr id="1" name="Picture 5" descr="Agrees to PY"/>
        <xdr:cNvPicPr preferRelativeResize="1">
          <a:picLocks noChangeAspect="1"/>
        </xdr:cNvPicPr>
      </xdr:nvPicPr>
      <xdr:blipFill>
        <a:blip r:embed="rId1">
          <a:clrChange>
            <a:clrFrom>
              <a:srgbClr val="C0C0C0"/>
            </a:clrFrom>
            <a:clrTo>
              <a:srgbClr val="C0C0C0">
                <a:alpha val="0"/>
              </a:srgbClr>
            </a:clrTo>
          </a:clrChange>
        </a:blip>
        <a:stretch>
          <a:fillRect/>
        </a:stretch>
      </xdr:blipFill>
      <xdr:spPr>
        <a:xfrm>
          <a:off x="9772650" y="3048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2" name="Picture 6" descr="Agrees to PY"/>
        <xdr:cNvPicPr preferRelativeResize="1">
          <a:picLocks noChangeAspect="1"/>
        </xdr:cNvPicPr>
      </xdr:nvPicPr>
      <xdr:blipFill>
        <a:blip r:embed="rId1">
          <a:clrChange>
            <a:clrFrom>
              <a:srgbClr val="C0C0C0"/>
            </a:clrFrom>
            <a:clrTo>
              <a:srgbClr val="C0C0C0">
                <a:alpha val="0"/>
              </a:srgbClr>
            </a:clrTo>
          </a:clrChange>
        </a:blip>
        <a:stretch>
          <a:fillRect/>
        </a:stretch>
      </xdr:blipFill>
      <xdr:spPr>
        <a:xfrm>
          <a:off x="9772650" y="3429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152400</xdr:colOff>
      <xdr:row>21</xdr:row>
      <xdr:rowOff>152400</xdr:rowOff>
    </xdr:to>
    <xdr:pic>
      <xdr:nvPicPr>
        <xdr:cNvPr id="3" name="Picture 7" descr="Agrees to PY"/>
        <xdr:cNvPicPr preferRelativeResize="1">
          <a:picLocks noChangeAspect="1"/>
        </xdr:cNvPicPr>
      </xdr:nvPicPr>
      <xdr:blipFill>
        <a:blip r:embed="rId1">
          <a:clrChange>
            <a:clrFrom>
              <a:srgbClr val="C0C0C0"/>
            </a:clrFrom>
            <a:clrTo>
              <a:srgbClr val="C0C0C0">
                <a:alpha val="0"/>
              </a:srgbClr>
            </a:clrTo>
          </a:clrChange>
        </a:blip>
        <a:stretch>
          <a:fillRect/>
        </a:stretch>
      </xdr:blipFill>
      <xdr:spPr>
        <a:xfrm>
          <a:off x="9772650" y="4000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31</xdr:row>
      <xdr:rowOff>0</xdr:rowOff>
    </xdr:from>
    <xdr:to>
      <xdr:col>12</xdr:col>
      <xdr:colOff>152400</xdr:colOff>
      <xdr:row>31</xdr:row>
      <xdr:rowOff>152400</xdr:rowOff>
    </xdr:to>
    <xdr:pic>
      <xdr:nvPicPr>
        <xdr:cNvPr id="4" name="Picture 8" descr="Agrees to PY"/>
        <xdr:cNvPicPr preferRelativeResize="1">
          <a:picLocks noChangeAspect="1"/>
        </xdr:cNvPicPr>
      </xdr:nvPicPr>
      <xdr:blipFill>
        <a:blip r:embed="rId1">
          <a:clrChange>
            <a:clrFrom>
              <a:srgbClr val="C0C0C0"/>
            </a:clrFrom>
            <a:clrTo>
              <a:srgbClr val="C0C0C0">
                <a:alpha val="0"/>
              </a:srgbClr>
            </a:clrTo>
          </a:clrChange>
        </a:blip>
        <a:stretch>
          <a:fillRect/>
        </a:stretch>
      </xdr:blipFill>
      <xdr:spPr>
        <a:xfrm>
          <a:off x="9772650" y="5905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pace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TBLin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6"/>
  <sheetViews>
    <sheetView showOutlineSymbols="0" zoomScale="87" zoomScaleNormal="87" zoomScalePageLayoutView="0" workbookViewId="0" topLeftCell="A1">
      <selection activeCell="J19" sqref="J19"/>
    </sheetView>
  </sheetViews>
  <sheetFormatPr defaultColWidth="10.6640625" defaultRowHeight="15"/>
  <cols>
    <col min="1" max="3" width="2.6640625" style="1" customWidth="1"/>
    <col min="4" max="4" width="25.4453125" style="1" customWidth="1"/>
    <col min="5" max="5" width="13.6640625" style="1" customWidth="1"/>
    <col min="6" max="6" width="3.77734375" style="25" customWidth="1"/>
    <col min="7" max="7" width="10.6640625" style="1" customWidth="1"/>
    <col min="8" max="8" width="3.77734375" style="25" customWidth="1"/>
    <col min="9" max="9" width="10.6640625" style="1" customWidth="1"/>
    <col min="10" max="12" width="12.6640625" style="1" customWidth="1"/>
    <col min="13" max="14" width="11.6640625" style="1" customWidth="1"/>
    <col min="15" max="15" width="12.6640625" style="1" customWidth="1"/>
    <col min="16" max="16" width="14.6640625" style="1" customWidth="1"/>
    <col min="17" max="17" width="13.6640625" style="1" customWidth="1"/>
    <col min="18" max="18" width="12.6640625" style="1" customWidth="1"/>
    <col min="19" max="19" width="14.6640625" style="1" customWidth="1"/>
    <col min="20" max="16384" width="10.6640625" style="1" customWidth="1"/>
  </cols>
  <sheetData>
    <row r="1" spans="1:14" ht="15">
      <c r="A1" s="51"/>
      <c r="B1" s="50" t="s">
        <v>56</v>
      </c>
      <c r="C1" s="50"/>
      <c r="D1" s="50"/>
      <c r="E1" s="50"/>
      <c r="F1" s="20"/>
      <c r="G1" s="50"/>
      <c r="H1" s="20"/>
      <c r="I1" s="50"/>
      <c r="J1" s="50"/>
      <c r="K1" s="50"/>
      <c r="L1" s="50"/>
      <c r="M1" s="50"/>
      <c r="N1" s="50"/>
    </row>
    <row r="2" spans="1:14" ht="15">
      <c r="A2" s="51"/>
      <c r="B2" s="50" t="s">
        <v>0</v>
      </c>
      <c r="C2" s="50"/>
      <c r="D2" s="50"/>
      <c r="E2" s="50"/>
      <c r="F2" s="20"/>
      <c r="G2" s="50"/>
      <c r="H2" s="20"/>
      <c r="I2" s="50"/>
      <c r="J2" s="50"/>
      <c r="K2" s="50"/>
      <c r="L2" s="50"/>
      <c r="M2" s="50"/>
      <c r="N2" s="50"/>
    </row>
    <row r="3" spans="1:14" ht="15">
      <c r="A3" s="51"/>
      <c r="B3" s="50" t="s">
        <v>73</v>
      </c>
      <c r="C3" s="50"/>
      <c r="D3" s="50"/>
      <c r="E3" s="50"/>
      <c r="F3" s="20"/>
      <c r="G3" s="50"/>
      <c r="H3" s="20"/>
      <c r="I3" s="50"/>
      <c r="J3" s="50"/>
      <c r="K3" s="50"/>
      <c r="L3" s="50"/>
      <c r="M3" s="50"/>
      <c r="N3" s="27"/>
    </row>
    <row r="4" spans="1:14" ht="15">
      <c r="A4" s="51"/>
      <c r="B4" s="50"/>
      <c r="C4" s="50"/>
      <c r="D4" s="50"/>
      <c r="E4" s="50"/>
      <c r="F4" s="20"/>
      <c r="G4" s="50"/>
      <c r="H4" s="20"/>
      <c r="I4" s="50"/>
      <c r="J4" s="50"/>
      <c r="K4" s="50"/>
      <c r="L4" s="50"/>
      <c r="M4" s="50"/>
      <c r="N4" s="50"/>
    </row>
    <row r="5" spans="1:14" ht="15">
      <c r="A5" s="51"/>
      <c r="B5" s="50"/>
      <c r="C5" s="50"/>
      <c r="D5" s="50"/>
      <c r="E5" s="28" t="s">
        <v>49</v>
      </c>
      <c r="F5" s="20"/>
      <c r="G5" s="50"/>
      <c r="H5" s="20"/>
      <c r="I5" s="50"/>
      <c r="J5" s="28" t="s">
        <v>2</v>
      </c>
      <c r="K5" s="28" t="s">
        <v>3</v>
      </c>
      <c r="L5" s="28" t="s">
        <v>1</v>
      </c>
      <c r="M5" s="28" t="s">
        <v>1</v>
      </c>
      <c r="N5" s="28" t="s">
        <v>4</v>
      </c>
    </row>
    <row r="6" spans="1:14" ht="15">
      <c r="A6" s="51"/>
      <c r="B6" s="50"/>
      <c r="C6" s="50"/>
      <c r="D6" s="50"/>
      <c r="E6" s="28" t="s">
        <v>5</v>
      </c>
      <c r="F6" s="20"/>
      <c r="G6" s="29" t="s">
        <v>6</v>
      </c>
      <c r="H6" s="23"/>
      <c r="I6" s="29"/>
      <c r="J6" s="28" t="s">
        <v>7</v>
      </c>
      <c r="K6" s="28" t="s">
        <v>8</v>
      </c>
      <c r="L6" s="28" t="s">
        <v>7</v>
      </c>
      <c r="M6" s="28" t="s">
        <v>7</v>
      </c>
      <c r="N6" s="28" t="s">
        <v>7</v>
      </c>
    </row>
    <row r="7" spans="1:14" ht="15">
      <c r="A7" s="51"/>
      <c r="B7" s="50"/>
      <c r="C7" s="50"/>
      <c r="D7" s="50"/>
      <c r="E7" s="47" t="s">
        <v>74</v>
      </c>
      <c r="F7" s="20"/>
      <c r="G7" s="28" t="s">
        <v>9</v>
      </c>
      <c r="H7" s="20"/>
      <c r="I7" s="28" t="s">
        <v>10</v>
      </c>
      <c r="J7" s="28" t="str">
        <f>E7</f>
        <v>12/31/08</v>
      </c>
      <c r="K7" s="28" t="s">
        <v>11</v>
      </c>
      <c r="L7" s="28" t="str">
        <f>J7</f>
        <v>12/31/08</v>
      </c>
      <c r="M7" s="47" t="s">
        <v>57</v>
      </c>
      <c r="N7" s="28" t="str">
        <f>L7</f>
        <v>12/31/08</v>
      </c>
    </row>
    <row r="8" spans="1:14" ht="15">
      <c r="A8" s="51"/>
      <c r="B8" s="31" t="s">
        <v>12</v>
      </c>
      <c r="C8" s="51"/>
      <c r="D8" s="51"/>
      <c r="E8" s="67" t="s">
        <v>51</v>
      </c>
      <c r="F8" s="20"/>
      <c r="G8" s="33"/>
      <c r="H8" s="20"/>
      <c r="I8" s="32"/>
      <c r="J8" s="32"/>
      <c r="K8" s="67" t="s">
        <v>51</v>
      </c>
      <c r="L8" s="32"/>
      <c r="M8" s="33"/>
      <c r="N8" s="32"/>
    </row>
    <row r="9" spans="1:14" ht="15">
      <c r="A9" s="51"/>
      <c r="B9" s="51"/>
      <c r="C9" s="51" t="s">
        <v>58</v>
      </c>
      <c r="D9" s="51"/>
      <c r="E9" s="76">
        <f>(ROUND([1]!TBLink("Trial Balance I","BOOKED[3]","2110.10","2","3"),0))-1</f>
        <v>136659</v>
      </c>
      <c r="F9" s="21"/>
      <c r="G9" s="58"/>
      <c r="H9" s="20"/>
      <c r="I9" s="57"/>
      <c r="J9" s="35">
        <f aca="true" t="shared" si="0" ref="J9:J16">E9+G9-I9</f>
        <v>136659</v>
      </c>
      <c r="K9" s="76">
        <f>(-(ROUND([1]!TBLink("Trial Balance I","PARTX[6]","2110.10","16","3"),0)))</f>
        <v>5856</v>
      </c>
      <c r="L9" s="35">
        <f aca="true" t="shared" si="1" ref="L9:L15">J9-K9</f>
        <v>130803</v>
      </c>
      <c r="M9" s="80">
        <f>(ROUND([1]!TBLink("Trial Balance I","1st PP-FINAL[200]","2110.10","2","3"),0))-1</f>
        <v>136659</v>
      </c>
      <c r="N9" s="35">
        <f aca="true" t="shared" si="2" ref="N9:N16">(L9+M9)/2</f>
        <v>133731</v>
      </c>
    </row>
    <row r="10" spans="1:14" ht="15">
      <c r="A10" s="51"/>
      <c r="B10" s="51"/>
      <c r="C10" s="51" t="s">
        <v>59</v>
      </c>
      <c r="D10" s="51"/>
      <c r="E10" s="76">
        <f>(ROUND([1]!TBLink("Trial Balance I","BOOKED[3]","2110.41:2110.42","2","3"),0))</f>
        <v>48632</v>
      </c>
      <c r="F10" s="21"/>
      <c r="G10" s="58"/>
      <c r="H10" s="20"/>
      <c r="I10" s="57"/>
      <c r="J10" s="35">
        <f t="shared" si="0"/>
        <v>48632</v>
      </c>
      <c r="K10" s="76">
        <f>(-(ROUND([1]!TBLink("Trial Balance I","PARTX[6]","2110.41","2","3")+[1]!TBLink("Trial Balance I","PARTX[6]","2110.42","2","3"),0)))</f>
        <v>2432</v>
      </c>
      <c r="L10" s="35">
        <f t="shared" si="1"/>
        <v>46200</v>
      </c>
      <c r="M10" s="80">
        <f>(ROUND([1]!TBLink("Trial Balance I","1st PP-FINAL[200]","2110.41:2110.42","2","3"),0))</f>
        <v>48632</v>
      </c>
      <c r="N10" s="35">
        <f t="shared" si="2"/>
        <v>47416</v>
      </c>
    </row>
    <row r="11" spans="1:14" ht="15">
      <c r="A11" s="51"/>
      <c r="B11" s="51"/>
      <c r="C11" s="51" t="s">
        <v>61</v>
      </c>
      <c r="D11" s="51"/>
      <c r="E11" s="68">
        <f>(ROUND([1]!TBLink("Trial Balance I","BOOKED[3]","21160","16","3"),2))</f>
        <v>0</v>
      </c>
      <c r="F11" s="21"/>
      <c r="G11" s="58"/>
      <c r="H11" s="20"/>
      <c r="I11" s="57"/>
      <c r="J11" s="35">
        <f t="shared" si="0"/>
        <v>0</v>
      </c>
      <c r="K11" s="35"/>
      <c r="L11" s="35">
        <f t="shared" si="1"/>
        <v>0</v>
      </c>
      <c r="M11" s="57"/>
      <c r="N11" s="35">
        <f t="shared" si="2"/>
        <v>0</v>
      </c>
    </row>
    <row r="12" spans="1:14" ht="15">
      <c r="A12" s="51"/>
      <c r="B12" s="51"/>
      <c r="C12" s="51" t="s">
        <v>62</v>
      </c>
      <c r="D12" s="51"/>
      <c r="E12" s="76">
        <f>(ROUND([1]!TBLink("Trial Balance I","BOOKED[3]","2110.20","2","3"),0))</f>
        <v>340183</v>
      </c>
      <c r="F12" s="21"/>
      <c r="G12" s="58"/>
      <c r="H12" s="20"/>
      <c r="I12" s="57"/>
      <c r="J12" s="35">
        <f t="shared" si="0"/>
        <v>340183</v>
      </c>
      <c r="K12" s="76">
        <f>(-(ROUND([1]!TBLink("Trial Balance I","PARTX[6]","2110.20","16","3"),0)))</f>
        <v>14576</v>
      </c>
      <c r="L12" s="35">
        <f t="shared" si="1"/>
        <v>325607</v>
      </c>
      <c r="M12" s="80">
        <f>(ROUND([1]!TBLink("Trial Balance I","1st PP-FINAL[200]","2110.20","2","3"),0))</f>
        <v>340183</v>
      </c>
      <c r="N12" s="35">
        <f t="shared" si="2"/>
        <v>332895</v>
      </c>
    </row>
    <row r="13" spans="1:14" ht="15">
      <c r="A13" s="51"/>
      <c r="B13" s="51"/>
      <c r="C13" s="51" t="s">
        <v>65</v>
      </c>
      <c r="D13" s="51"/>
      <c r="E13" s="68">
        <f>(ROUND([1]!TBLink("Trial Balance I","BOOKED[3]","21220","16","3"),2))</f>
        <v>0</v>
      </c>
      <c r="F13" s="21"/>
      <c r="G13" s="58"/>
      <c r="H13" s="20"/>
      <c r="I13" s="57"/>
      <c r="J13" s="35">
        <f t="shared" si="0"/>
        <v>0</v>
      </c>
      <c r="K13" s="76"/>
      <c r="L13" s="35">
        <f t="shared" si="1"/>
        <v>0</v>
      </c>
      <c r="M13" s="57"/>
      <c r="N13" s="35">
        <f t="shared" si="2"/>
        <v>0</v>
      </c>
    </row>
    <row r="14" spans="1:14" ht="15">
      <c r="A14" s="51"/>
      <c r="B14" s="51"/>
      <c r="C14" s="51" t="s">
        <v>60</v>
      </c>
      <c r="D14" s="51"/>
      <c r="E14" s="76">
        <f>(ROUND([1]!TBLink("Trial Balance I","BOOKED[3]","2110.30","2","3"),0))</f>
        <v>15490</v>
      </c>
      <c r="F14" s="21"/>
      <c r="G14" s="57"/>
      <c r="H14" s="20"/>
      <c r="I14" s="57"/>
      <c r="J14" s="35">
        <f t="shared" si="0"/>
        <v>15490</v>
      </c>
      <c r="K14" s="77">
        <f>(-(ROUND([1]!TBLink("Trial Balance I","PARTX[6]","2110.30","16","3"),0)))</f>
        <v>465</v>
      </c>
      <c r="L14" s="35">
        <f t="shared" si="1"/>
        <v>15025</v>
      </c>
      <c r="M14" s="70">
        <f>(ROUND([1]!TBLink("Trial Balance I","1st PP-FINAL[200]","2110.30","2","3"),0))</f>
        <v>15490</v>
      </c>
      <c r="N14" s="35">
        <f t="shared" si="2"/>
        <v>15257.5</v>
      </c>
    </row>
    <row r="15" spans="1:14" ht="15">
      <c r="A15" s="51"/>
      <c r="B15" s="51"/>
      <c r="C15" s="51" t="s">
        <v>64</v>
      </c>
      <c r="D15" s="51"/>
      <c r="E15" s="68">
        <f>(ROUND([1]!TBLink("Trial Balance I","BOOKED[3]","21232","16","3"),2))</f>
        <v>0</v>
      </c>
      <c r="F15" s="21"/>
      <c r="G15" s="57"/>
      <c r="H15" s="20"/>
      <c r="I15" s="58"/>
      <c r="J15" s="35">
        <f t="shared" si="0"/>
        <v>0</v>
      </c>
      <c r="K15" s="77"/>
      <c r="L15" s="35">
        <f t="shared" si="1"/>
        <v>0</v>
      </c>
      <c r="M15" s="57"/>
      <c r="N15" s="35">
        <f t="shared" si="2"/>
        <v>0</v>
      </c>
    </row>
    <row r="16" spans="1:14" ht="15">
      <c r="A16" s="51"/>
      <c r="B16" s="51"/>
      <c r="C16" s="51" t="s">
        <v>63</v>
      </c>
      <c r="D16" s="51"/>
      <c r="E16" s="76">
        <f>(ROUND([1]!TBLink("Trial Balance I","BOOKED[3]","2110.60","2","3"),0))</f>
        <v>10697</v>
      </c>
      <c r="F16" s="21"/>
      <c r="G16" s="58"/>
      <c r="H16" s="20"/>
      <c r="I16" s="57"/>
      <c r="J16" s="35">
        <f t="shared" si="0"/>
        <v>10697</v>
      </c>
      <c r="K16" s="76">
        <f>(-(ROUND([1]!TBLink("Trial Balance I","PARTX[6]","2110.60","16","3"),0)))</f>
        <v>321</v>
      </c>
      <c r="L16" s="35">
        <f>J16-K16</f>
        <v>10376</v>
      </c>
      <c r="M16" s="80">
        <f>(ROUND([1]!TBLink("Trial Balance I","1st PP-FINAL[200]","2110.60","2","3"),0))</f>
        <v>10697</v>
      </c>
      <c r="N16" s="35">
        <f t="shared" si="2"/>
        <v>10536.5</v>
      </c>
    </row>
    <row r="17" spans="1:14" ht="15">
      <c r="A17" s="51"/>
      <c r="B17" s="51"/>
      <c r="C17" s="51"/>
      <c r="D17" s="36" t="s">
        <v>13</v>
      </c>
      <c r="E17" s="37">
        <f>SUM(E9:E16)</f>
        <v>551661</v>
      </c>
      <c r="F17" s="21"/>
      <c r="G17" s="38">
        <f>SUM(G9:G16)</f>
        <v>0</v>
      </c>
      <c r="H17" s="20"/>
      <c r="I17" s="38">
        <f aca="true" t="shared" si="3" ref="I17:N17">SUM(I9:I16)</f>
        <v>0</v>
      </c>
      <c r="J17" s="38">
        <f t="shared" si="3"/>
        <v>551661</v>
      </c>
      <c r="K17" s="38">
        <f t="shared" si="3"/>
        <v>23650</v>
      </c>
      <c r="L17" s="38">
        <f t="shared" si="3"/>
        <v>528011</v>
      </c>
      <c r="M17" s="38">
        <f t="shared" si="3"/>
        <v>551661</v>
      </c>
      <c r="N17" s="38">
        <f t="shared" si="3"/>
        <v>539836</v>
      </c>
    </row>
    <row r="18" spans="1:14" ht="15">
      <c r="A18" s="51"/>
      <c r="B18" s="31" t="s">
        <v>14</v>
      </c>
      <c r="C18" s="51"/>
      <c r="D18" s="51"/>
      <c r="E18" s="39"/>
      <c r="F18" s="21"/>
      <c r="G18" s="33"/>
      <c r="H18" s="20"/>
      <c r="I18" s="32"/>
      <c r="J18" s="32"/>
      <c r="K18" s="32"/>
      <c r="L18" s="32"/>
      <c r="M18" s="32"/>
      <c r="N18" s="32"/>
    </row>
    <row r="19" spans="1:14" ht="15">
      <c r="A19" s="51"/>
      <c r="B19" s="51"/>
      <c r="C19" s="51" t="s">
        <v>66</v>
      </c>
      <c r="D19" s="51"/>
      <c r="E19" s="76">
        <f>(ROUND([1]!TBLink("Trial Balance I","BOOKED[3]","2210.00","2","3"),0))</f>
        <v>376823</v>
      </c>
      <c r="F19" s="21" t="s">
        <v>76</v>
      </c>
      <c r="G19" s="57">
        <f>19277+26173</f>
        <v>45450</v>
      </c>
      <c r="H19" s="20"/>
      <c r="I19" s="57"/>
      <c r="J19" s="35">
        <f>E19+G19-I19</f>
        <v>422273</v>
      </c>
      <c r="K19" s="35"/>
      <c r="L19" s="35">
        <f>J19-K19</f>
        <v>422273</v>
      </c>
      <c r="M19" s="80">
        <v>708426</v>
      </c>
      <c r="N19" s="35">
        <f>(L19+M19)/2</f>
        <v>565349.5</v>
      </c>
    </row>
    <row r="20" spans="1:14" ht="15">
      <c r="A20" s="51"/>
      <c r="B20" s="51"/>
      <c r="C20" s="51" t="s">
        <v>67</v>
      </c>
      <c r="D20" s="51"/>
      <c r="E20" s="34"/>
      <c r="F20" s="21"/>
      <c r="G20" s="58"/>
      <c r="H20" s="20"/>
      <c r="I20" s="57"/>
      <c r="J20" s="35">
        <f>E20+G20-I20</f>
        <v>0</v>
      </c>
      <c r="K20" s="35"/>
      <c r="L20" s="35">
        <f>J20-K20</f>
        <v>0</v>
      </c>
      <c r="M20" s="57">
        <v>0</v>
      </c>
      <c r="N20" s="35">
        <f>(L20+M20)/2</f>
        <v>0</v>
      </c>
    </row>
    <row r="21" spans="1:14" ht="15">
      <c r="A21" s="51"/>
      <c r="B21" s="51"/>
      <c r="C21" s="51" t="s">
        <v>68</v>
      </c>
      <c r="D21" s="51"/>
      <c r="E21" s="76">
        <f>(ROUND([1]!TBLink("Trial Balance I","BOOKED[3]","2230.10","2","3"),0))</f>
        <v>528996</v>
      </c>
      <c r="F21" s="21"/>
      <c r="G21" s="58"/>
      <c r="H21" s="20">
        <v>8</v>
      </c>
      <c r="I21" s="57">
        <v>201411</v>
      </c>
      <c r="J21" s="35">
        <f>E21+G21-I21</f>
        <v>327585</v>
      </c>
      <c r="K21" s="35"/>
      <c r="L21" s="35"/>
      <c r="M21" s="59"/>
      <c r="N21" s="35"/>
    </row>
    <row r="22" spans="1:14" ht="15">
      <c r="A22" s="51"/>
      <c r="B22" s="51"/>
      <c r="C22" s="51" t="s">
        <v>69</v>
      </c>
      <c r="D22" s="51"/>
      <c r="E22" s="76">
        <f>(ROUND([1]!TBLink("Trial Balance I","BOOKED[3]","2230.20","2","3"),0))</f>
        <v>214206</v>
      </c>
      <c r="F22" s="21">
        <v>8</v>
      </c>
      <c r="G22" s="57">
        <v>182134</v>
      </c>
      <c r="H22" s="20"/>
      <c r="I22" s="57"/>
      <c r="J22" s="35">
        <f>E22+G22-I22</f>
        <v>396340</v>
      </c>
      <c r="K22" s="35"/>
      <c r="L22" s="35">
        <f>SUM(J21:J23)-SUM(K21:K23)</f>
        <v>723925</v>
      </c>
      <c r="M22" s="80">
        <v>725525</v>
      </c>
      <c r="N22" s="35">
        <f>(L22+M22)/2</f>
        <v>724725</v>
      </c>
    </row>
    <row r="23" spans="1:14" ht="15">
      <c r="A23" s="51"/>
      <c r="B23" s="51"/>
      <c r="C23" s="51"/>
      <c r="D23" s="51"/>
      <c r="E23" s="59"/>
      <c r="F23" s="21"/>
      <c r="G23" s="58"/>
      <c r="H23" s="20"/>
      <c r="I23" s="35"/>
      <c r="J23" s="35">
        <f>E23+G23-I23</f>
        <v>0</v>
      </c>
      <c r="K23" s="35"/>
      <c r="L23" s="35"/>
      <c r="M23" s="57"/>
      <c r="N23" s="35"/>
    </row>
    <row r="24" spans="1:14" ht="15">
      <c r="A24" s="51"/>
      <c r="B24" s="51"/>
      <c r="C24" s="51"/>
      <c r="D24" s="36" t="s">
        <v>15</v>
      </c>
      <c r="E24" s="37">
        <f>SUM(E19:E23)</f>
        <v>1120025</v>
      </c>
      <c r="F24" s="21"/>
      <c r="G24" s="38">
        <f>SUM(G19:G23)</f>
        <v>227584</v>
      </c>
      <c r="H24" s="20"/>
      <c r="I24" s="38">
        <f aca="true" t="shared" si="4" ref="I24:N24">SUM(I19:I23)</f>
        <v>201411</v>
      </c>
      <c r="J24" s="38">
        <f t="shared" si="4"/>
        <v>1146198</v>
      </c>
      <c r="K24" s="38">
        <f t="shared" si="4"/>
        <v>0</v>
      </c>
      <c r="L24" s="38">
        <f t="shared" si="4"/>
        <v>1146198</v>
      </c>
      <c r="M24" s="38">
        <f t="shared" si="4"/>
        <v>1433951</v>
      </c>
      <c r="N24" s="38">
        <f t="shared" si="4"/>
        <v>1290074.5</v>
      </c>
    </row>
    <row r="25" spans="1:14" ht="15">
      <c r="A25" s="51"/>
      <c r="B25" s="31" t="s">
        <v>16</v>
      </c>
      <c r="C25" s="51"/>
      <c r="D25" s="51"/>
      <c r="E25" s="39"/>
      <c r="F25" s="21"/>
      <c r="G25" s="33"/>
      <c r="H25" s="20"/>
      <c r="I25" s="32"/>
      <c r="J25" s="32"/>
      <c r="K25" s="32"/>
      <c r="L25" s="32"/>
      <c r="M25" s="32"/>
      <c r="N25" s="32"/>
    </row>
    <row r="26" spans="1:14" ht="15">
      <c r="A26" s="51"/>
      <c r="B26" s="51"/>
      <c r="C26" s="51" t="s">
        <v>70</v>
      </c>
      <c r="D26" s="51"/>
      <c r="E26" s="34"/>
      <c r="F26" s="21"/>
      <c r="G26" s="51"/>
      <c r="H26" s="20"/>
      <c r="I26" s="35"/>
      <c r="J26" s="35">
        <f>E26+G26-I26</f>
        <v>0</v>
      </c>
      <c r="K26" s="35"/>
      <c r="L26" s="35">
        <f>J26-K26</f>
        <v>0</v>
      </c>
      <c r="M26" s="35">
        <v>0</v>
      </c>
      <c r="N26" s="35">
        <f>(L26+M26)/2</f>
        <v>0</v>
      </c>
    </row>
    <row r="27" spans="1:14" ht="15">
      <c r="A27" s="51"/>
      <c r="B27" s="51"/>
      <c r="C27" s="51"/>
      <c r="D27" s="51"/>
      <c r="E27" s="34"/>
      <c r="F27" s="21"/>
      <c r="G27" s="51"/>
      <c r="H27" s="20"/>
      <c r="I27" s="35"/>
      <c r="J27" s="35">
        <f>E27+G27-I27</f>
        <v>0</v>
      </c>
      <c r="K27" s="35"/>
      <c r="L27" s="35">
        <f>J27-K27</f>
        <v>0</v>
      </c>
      <c r="M27" s="35">
        <v>0</v>
      </c>
      <c r="N27" s="35">
        <f>(L27+M27)/2</f>
        <v>0</v>
      </c>
    </row>
    <row r="28" spans="1:14" ht="15">
      <c r="A28" s="51"/>
      <c r="B28" s="51"/>
      <c r="C28" s="51"/>
      <c r="D28" s="36" t="s">
        <v>17</v>
      </c>
      <c r="E28" s="37">
        <f>E26+E27</f>
        <v>0</v>
      </c>
      <c r="F28" s="21"/>
      <c r="G28" s="38">
        <f>G26+G27</f>
        <v>0</v>
      </c>
      <c r="H28" s="20"/>
      <c r="I28" s="38">
        <f aca="true" t="shared" si="5" ref="I28:N28">I26+I27</f>
        <v>0</v>
      </c>
      <c r="J28" s="38">
        <f t="shared" si="5"/>
        <v>0</v>
      </c>
      <c r="K28" s="38">
        <f t="shared" si="5"/>
        <v>0</v>
      </c>
      <c r="L28" s="38">
        <f t="shared" si="5"/>
        <v>0</v>
      </c>
      <c r="M28" s="38">
        <f t="shared" si="5"/>
        <v>0</v>
      </c>
      <c r="N28" s="38">
        <f t="shared" si="5"/>
        <v>0</v>
      </c>
    </row>
    <row r="29" spans="1:14" ht="15">
      <c r="A29" s="51"/>
      <c r="B29" s="31" t="s">
        <v>18</v>
      </c>
      <c r="C29" s="51"/>
      <c r="D29" s="51"/>
      <c r="E29" s="39"/>
      <c r="F29" s="21"/>
      <c r="G29" s="33"/>
      <c r="H29" s="20"/>
      <c r="I29" s="32"/>
      <c r="J29" s="32"/>
      <c r="K29" s="32"/>
      <c r="L29" s="32"/>
      <c r="M29" s="32"/>
      <c r="N29" s="32"/>
    </row>
    <row r="30" spans="1:14" ht="15">
      <c r="A30" s="51"/>
      <c r="B30" s="51"/>
      <c r="C30" s="51" t="s">
        <v>71</v>
      </c>
      <c r="D30" s="51"/>
      <c r="E30" s="76">
        <f>(ROUND([1]!TBLink("Trial Balance I","BOOKED[3]","2410.40","2","3"),0))</f>
        <v>182508</v>
      </c>
      <c r="F30" s="21"/>
      <c r="G30" s="58"/>
      <c r="H30" s="20"/>
      <c r="I30" s="57"/>
      <c r="J30" s="35">
        <f>E30+G30-I30</f>
        <v>182508</v>
      </c>
      <c r="K30" s="35"/>
      <c r="L30" s="35">
        <f>J30-K30</f>
        <v>182508</v>
      </c>
      <c r="M30" s="80">
        <f>(ROUND([1]!TBLink("Trial Balance I","1st PP-FINAL[200]","2410.40","2","3"),0))</f>
        <v>182508</v>
      </c>
      <c r="N30" s="35">
        <f>(L30+M30)/2</f>
        <v>182508</v>
      </c>
    </row>
    <row r="31" spans="1:14" ht="15">
      <c r="A31" s="51"/>
      <c r="B31" s="51"/>
      <c r="C31" s="51"/>
      <c r="D31" s="51"/>
      <c r="E31" s="59"/>
      <c r="F31" s="21"/>
      <c r="G31" s="58"/>
      <c r="H31" s="20"/>
      <c r="I31" s="57"/>
      <c r="J31" s="35"/>
      <c r="K31" s="35"/>
      <c r="L31" s="35"/>
      <c r="M31" s="57"/>
      <c r="N31" s="35"/>
    </row>
    <row r="32" spans="1:14" ht="15">
      <c r="A32" s="51"/>
      <c r="B32" s="51"/>
      <c r="C32" s="51"/>
      <c r="D32" s="36" t="s">
        <v>19</v>
      </c>
      <c r="E32" s="37">
        <f>SUM(E30:E31)</f>
        <v>182508</v>
      </c>
      <c r="F32" s="21"/>
      <c r="G32" s="38">
        <f>SUM(G30:G31)</f>
        <v>0</v>
      </c>
      <c r="H32" s="20"/>
      <c r="I32" s="38">
        <f aca="true" t="shared" si="6" ref="I32:N32">SUM(I30:I31)</f>
        <v>0</v>
      </c>
      <c r="J32" s="38">
        <f t="shared" si="6"/>
        <v>182508</v>
      </c>
      <c r="K32" s="38">
        <f t="shared" si="6"/>
        <v>0</v>
      </c>
      <c r="L32" s="38">
        <f t="shared" si="6"/>
        <v>182508</v>
      </c>
      <c r="M32" s="38">
        <f t="shared" si="6"/>
        <v>182508</v>
      </c>
      <c r="N32" s="38">
        <f t="shared" si="6"/>
        <v>182508</v>
      </c>
    </row>
    <row r="33" spans="1:14" ht="15">
      <c r="A33" s="51"/>
      <c r="B33" s="50" t="s">
        <v>20</v>
      </c>
      <c r="C33" s="51"/>
      <c r="D33" s="51"/>
      <c r="E33" s="39"/>
      <c r="F33" s="21"/>
      <c r="G33" s="33"/>
      <c r="H33" s="20"/>
      <c r="I33" s="32"/>
      <c r="J33" s="32">
        <f>E33+G33-I33</f>
        <v>0</v>
      </c>
      <c r="K33" s="32"/>
      <c r="L33" s="32"/>
      <c r="M33" s="32"/>
      <c r="N33" s="32"/>
    </row>
    <row r="34" spans="1:14" ht="15">
      <c r="A34" s="51"/>
      <c r="B34" s="51"/>
      <c r="C34" s="51" t="s">
        <v>21</v>
      </c>
      <c r="D34" s="51"/>
      <c r="E34" s="40"/>
      <c r="F34" s="21"/>
      <c r="G34" s="51"/>
      <c r="H34" s="20"/>
      <c r="I34" s="41"/>
      <c r="J34" s="41">
        <f>E34+G34-I34</f>
        <v>0</v>
      </c>
      <c r="K34" s="41"/>
      <c r="L34" s="41">
        <f>J34-K34</f>
        <v>0</v>
      </c>
      <c r="M34" s="41"/>
      <c r="N34" s="41">
        <f>(L34+M34)/2</f>
        <v>0</v>
      </c>
    </row>
    <row r="35" spans="1:14" ht="15">
      <c r="A35" s="51"/>
      <c r="B35" s="51"/>
      <c r="C35" s="51"/>
      <c r="D35" s="51"/>
      <c r="E35" s="39"/>
      <c r="F35" s="21"/>
      <c r="G35" s="32"/>
      <c r="H35" s="21"/>
      <c r="I35" s="32"/>
      <c r="J35" s="32"/>
      <c r="K35" s="32"/>
      <c r="L35" s="32"/>
      <c r="M35" s="32"/>
      <c r="N35" s="32"/>
    </row>
    <row r="36" spans="1:14" ht="15.75" thickBot="1">
      <c r="A36" s="51"/>
      <c r="B36" s="51"/>
      <c r="C36" s="51"/>
      <c r="D36" s="36" t="s">
        <v>22</v>
      </c>
      <c r="E36" s="40">
        <f>E17+E24+E28+E32+E34</f>
        <v>1854194</v>
      </c>
      <c r="F36" s="21"/>
      <c r="G36" s="41">
        <f>G17+G24+G28+G32+G34</f>
        <v>227584</v>
      </c>
      <c r="H36" s="21"/>
      <c r="I36" s="41">
        <f aca="true" t="shared" si="7" ref="I36:N36">I17+I24+I28+I32+I34</f>
        <v>201411</v>
      </c>
      <c r="J36" s="41">
        <f t="shared" si="7"/>
        <v>1880367</v>
      </c>
      <c r="K36" s="41">
        <f t="shared" si="7"/>
        <v>23650</v>
      </c>
      <c r="L36" s="41">
        <f t="shared" si="7"/>
        <v>1856717</v>
      </c>
      <c r="M36" s="41">
        <f t="shared" si="7"/>
        <v>2168120</v>
      </c>
      <c r="N36" s="41">
        <f t="shared" si="7"/>
        <v>2012418.5</v>
      </c>
    </row>
    <row r="37" spans="1:14" ht="15.75" thickTop="1">
      <c r="A37" s="51"/>
      <c r="B37" s="51"/>
      <c r="C37" s="51"/>
      <c r="D37" s="65" t="s">
        <v>50</v>
      </c>
      <c r="E37" s="79">
        <f>(ROUND([1]!TBLink("Trial Balance I","BOOKED[3]","2110.10","2","3")+[1]!TBLink("Trial Balance I","BOOKED[3]","2110.20","2","3")+[1]!TBLink("Trial Balance I","BOOKED[3]","2110.30","2","3")+[1]!TBLink("Trial Balance I","BOOKED[3]","2110.41","2","3")+[1]!TBLink("Trial Balance I","BOOKED[3]","2110.42","2","3")+[1]!TBLink("Trial Balance I","BOOKED[3]","2110.60","2","3")+[1]!TBLink("Trial Balance I","BOOKED[3]","2210.00","2","3")+[1]!TBLink("Trial Balance I","BOOKED[3]","2230.10","2","3")+[1]!TBLink("Trial Balance I","BOOKED[3]","2230.20","2","3")+[1]!TBLink("Trial Balance I","BOOKED[3]","2410.40","2","3"),0))</f>
        <v>1854194</v>
      </c>
      <c r="F37" s="64"/>
      <c r="G37" s="43"/>
      <c r="H37" s="64"/>
      <c r="I37" s="43"/>
      <c r="J37" s="74">
        <f>(ROUND([1]!TBLink("Trial Balance I","CS ADJ[5]","2110.10","2","3")+[1]!TBLink("Trial Balance I","CS ADJ[5]","2110.20","2","3")+[1]!TBLink("Trial Balance I","CS ADJ[5]","2110.30","2","3")+[1]!TBLink("Trial Balance I","CS ADJ[5]","2110.41","2","3")+[1]!TBLink("Trial Balance I","CS ADJ[5]","2110.42","2","3")+[1]!TBLink("Trial Balance I","CS ADJ[5]","2110.60","2","3")+[1]!TBLink("Trial Balance I","CS ADJ[5]","2210.00","2","3")+[1]!TBLink("Trial Balance I","CS ADJ[5]","2230.10","2","3")+[1]!TBLink("Trial Balance I","CS ADJ[5]","2230.20","2","3")+[1]!TBLink("Trial Balance I","CS ADJ[5]","2410.40","2","3"),0))</f>
        <v>1880368</v>
      </c>
      <c r="K37" s="43"/>
      <c r="L37" s="74">
        <f>(ROUND([1]!TBLink("Trial Balance I","FINAL[7]","2110.10","2","3")+[1]!TBLink("Trial Balance I","FINAL[7]","2110.20","2","3")+[1]!TBLink("Trial Balance I","FINAL[7]","2110.30","2","3")+[1]!TBLink("Trial Balance I","FINAL[7]","2110.41","2","3")+[1]!TBLink("Trial Balance I","FINAL[7]","2110.42","2","3")+[1]!TBLink("Trial Balance I","FINAL[7]","2110.60","2","3")+[1]!TBLink("Trial Balance I","FINAL[7]","2210.00","2","3")+[1]!TBLink("Trial Balance I","FINAL[7]","2230.10","2","3")+[1]!TBLink("Trial Balance I","FINAL[7]","2230.20","2","3")+[1]!TBLink("Trial Balance I","FINAL[7]","2410.40","2","3"),0))</f>
        <v>1856718</v>
      </c>
      <c r="M37" s="43"/>
      <c r="N37" s="43"/>
    </row>
    <row r="38" spans="1:14" ht="15">
      <c r="A38" s="51"/>
      <c r="B38" s="51"/>
      <c r="C38" s="51"/>
      <c r="D38" s="63"/>
      <c r="E38" s="66">
        <f>E36-E37</f>
        <v>0</v>
      </c>
      <c r="F38" s="64"/>
      <c r="G38" s="62"/>
      <c r="H38" s="64"/>
      <c r="I38" s="62"/>
      <c r="J38" s="75">
        <f>J36-J37</f>
        <v>-1</v>
      </c>
      <c r="K38" s="62"/>
      <c r="L38" s="75">
        <f>L36-L37</f>
        <v>-1</v>
      </c>
      <c r="M38" s="62"/>
      <c r="N38" s="62"/>
    </row>
    <row r="39" spans="1:14" ht="15">
      <c r="A39" s="51"/>
      <c r="B39" s="51"/>
      <c r="C39" s="51"/>
      <c r="D39" s="51"/>
      <c r="E39" s="61"/>
      <c r="F39" s="21"/>
      <c r="G39" s="62"/>
      <c r="H39" s="21"/>
      <c r="I39" s="62"/>
      <c r="J39" s="62"/>
      <c r="K39" s="62"/>
      <c r="L39" s="62"/>
      <c r="M39" s="62"/>
      <c r="N39" s="62"/>
    </row>
    <row r="40" spans="1:14" ht="15">
      <c r="A40" s="51"/>
      <c r="B40" s="51" t="s">
        <v>23</v>
      </c>
      <c r="C40" s="51"/>
      <c r="D40" s="51"/>
      <c r="E40" s="68">
        <f>(ROUND([1]!TBLink("Trial Balance I","BOOKED[3]","12200","16","3"),2))</f>
        <v>0</v>
      </c>
      <c r="F40" s="22"/>
      <c r="G40" s="35"/>
      <c r="H40" s="20"/>
      <c r="I40" s="51"/>
      <c r="J40" s="35">
        <f>E40+G40-I40</f>
        <v>0</v>
      </c>
      <c r="K40" s="51"/>
      <c r="L40" s="35">
        <f>J40-K40</f>
        <v>0</v>
      </c>
      <c r="M40" s="57">
        <v>0</v>
      </c>
      <c r="N40" s="35">
        <f>(L40+M40)/2</f>
        <v>0</v>
      </c>
    </row>
    <row r="41" spans="1:14" ht="15">
      <c r="A41" s="51"/>
      <c r="B41" s="51"/>
      <c r="C41" s="51"/>
      <c r="D41" s="51"/>
      <c r="E41" s="51"/>
      <c r="F41" s="23"/>
      <c r="G41" s="51"/>
      <c r="H41" s="20"/>
      <c r="I41" s="51"/>
      <c r="J41" s="51"/>
      <c r="K41" s="51"/>
      <c r="L41" s="51"/>
      <c r="M41" s="35"/>
      <c r="N41" s="51"/>
    </row>
    <row r="42" spans="1:14" ht="15">
      <c r="A42" s="51"/>
      <c r="B42" s="51"/>
      <c r="C42" s="51"/>
      <c r="D42" s="51"/>
      <c r="E42" s="35"/>
      <c r="F42" s="20"/>
      <c r="G42" s="51"/>
      <c r="H42" s="20"/>
      <c r="I42" s="51"/>
      <c r="J42" s="51"/>
      <c r="K42" s="51"/>
      <c r="L42" s="51"/>
      <c r="M42" s="35"/>
      <c r="N42" s="51"/>
    </row>
    <row r="43" spans="1:14" ht="15">
      <c r="A43" s="51"/>
      <c r="B43" s="51"/>
      <c r="C43" s="51"/>
      <c r="D43" s="51"/>
      <c r="E43" s="35"/>
      <c r="F43" s="21"/>
      <c r="G43" s="35"/>
      <c r="H43" s="20"/>
      <c r="I43" s="45"/>
      <c r="J43" s="51"/>
      <c r="K43" s="51"/>
      <c r="L43" s="51"/>
      <c r="M43" s="35"/>
      <c r="N43" s="51"/>
    </row>
    <row r="44" spans="1:14" ht="15">
      <c r="A44" s="51"/>
      <c r="B44" s="51"/>
      <c r="C44" s="51"/>
      <c r="D44" s="51"/>
      <c r="E44" s="35"/>
      <c r="F44" s="21"/>
      <c r="G44" s="35"/>
      <c r="H44" s="20"/>
      <c r="I44" s="45"/>
      <c r="J44" s="51"/>
      <c r="K44" s="51"/>
      <c r="L44" s="51"/>
      <c r="M44" s="35"/>
      <c r="N44" s="51"/>
    </row>
    <row r="45" spans="1:14" ht="15">
      <c r="A45" s="51"/>
      <c r="B45" s="51"/>
      <c r="C45" s="51"/>
      <c r="D45" s="51"/>
      <c r="E45" s="35"/>
      <c r="F45" s="21"/>
      <c r="G45" s="35"/>
      <c r="H45" s="20"/>
      <c r="I45" s="45"/>
      <c r="J45" s="51"/>
      <c r="K45" s="51"/>
      <c r="L45" s="51"/>
      <c r="M45" s="51"/>
      <c r="N45" s="51"/>
    </row>
    <row r="46" spans="1:14" ht="15">
      <c r="A46" s="51"/>
      <c r="B46" s="51"/>
      <c r="C46" s="51"/>
      <c r="D46" s="51"/>
      <c r="E46" s="35"/>
      <c r="F46" s="21"/>
      <c r="G46" s="35"/>
      <c r="H46" s="20"/>
      <c r="I46" s="45"/>
      <c r="J46" s="51"/>
      <c r="K46" s="51"/>
      <c r="L46" s="51"/>
      <c r="M46" s="51"/>
      <c r="N46" s="51"/>
    </row>
    <row r="47" spans="1:14" ht="15">
      <c r="A47" s="51"/>
      <c r="B47" s="51"/>
      <c r="C47" s="51"/>
      <c r="D47" s="51"/>
      <c r="E47" s="35"/>
      <c r="F47" s="21"/>
      <c r="G47" s="35"/>
      <c r="H47" s="20"/>
      <c r="I47" s="45"/>
      <c r="J47" s="51"/>
      <c r="K47" s="51"/>
      <c r="L47" s="51"/>
      <c r="M47" s="51"/>
      <c r="N47" s="51"/>
    </row>
    <row r="48" spans="1:14" ht="15">
      <c r="A48" s="51"/>
      <c r="B48" s="51"/>
      <c r="C48" s="51"/>
      <c r="D48" s="51"/>
      <c r="E48" s="35"/>
      <c r="F48" s="21"/>
      <c r="G48" s="35"/>
      <c r="H48" s="20"/>
      <c r="I48" s="45"/>
      <c r="J48" s="51"/>
      <c r="K48" s="51"/>
      <c r="L48" s="51"/>
      <c r="M48" s="51"/>
      <c r="N48" s="51"/>
    </row>
    <row r="49" spans="1:14" ht="15">
      <c r="A49" s="51"/>
      <c r="B49" s="51"/>
      <c r="C49" s="51"/>
      <c r="D49" s="51"/>
      <c r="E49" s="35"/>
      <c r="F49" s="21"/>
      <c r="G49" s="35"/>
      <c r="H49" s="20"/>
      <c r="I49" s="45"/>
      <c r="J49" s="51"/>
      <c r="K49" s="51"/>
      <c r="L49" s="51"/>
      <c r="M49" s="51"/>
      <c r="N49" s="51"/>
    </row>
    <row r="50" spans="1:14" ht="15">
      <c r="A50" s="51"/>
      <c r="B50" s="51"/>
      <c r="C50" s="51"/>
      <c r="D50" s="51"/>
      <c r="E50" s="35"/>
      <c r="F50" s="21"/>
      <c r="G50" s="35"/>
      <c r="H50" s="20"/>
      <c r="I50" s="45"/>
      <c r="J50" s="51"/>
      <c r="K50" s="51"/>
      <c r="L50" s="51"/>
      <c r="M50" s="51"/>
      <c r="N50" s="51"/>
    </row>
    <row r="51" spans="1:14" ht="15">
      <c r="A51" s="51"/>
      <c r="B51" s="51"/>
      <c r="C51" s="51"/>
      <c r="D51" s="51"/>
      <c r="E51" s="35"/>
      <c r="F51" s="21"/>
      <c r="G51" s="35"/>
      <c r="H51" s="20"/>
      <c r="I51" s="45"/>
      <c r="J51" s="51"/>
      <c r="K51" s="51"/>
      <c r="L51" s="51"/>
      <c r="M51" s="51"/>
      <c r="N51" s="51"/>
    </row>
    <row r="52" spans="1:14" ht="15">
      <c r="A52" s="51"/>
      <c r="B52" s="51"/>
      <c r="C52" s="51"/>
      <c r="D52" s="51"/>
      <c r="E52" s="35"/>
      <c r="F52" s="21"/>
      <c r="G52" s="35"/>
      <c r="H52" s="20"/>
      <c r="I52" s="45"/>
      <c r="J52" s="51"/>
      <c r="K52" s="51"/>
      <c r="L52" s="51"/>
      <c r="M52" s="51"/>
      <c r="N52" s="51"/>
    </row>
    <row r="53" spans="1:14" ht="15">
      <c r="A53" s="51"/>
      <c r="B53" s="51"/>
      <c r="C53" s="51"/>
      <c r="D53" s="51"/>
      <c r="E53" s="35"/>
      <c r="F53" s="21"/>
      <c r="G53" s="35"/>
      <c r="H53" s="20"/>
      <c r="I53" s="51"/>
      <c r="J53" s="51"/>
      <c r="K53" s="51"/>
      <c r="L53" s="51"/>
      <c r="M53" s="51"/>
      <c r="N53" s="51"/>
    </row>
    <row r="54" spans="1:14" ht="15">
      <c r="A54" s="51"/>
      <c r="B54" s="51"/>
      <c r="C54" s="51"/>
      <c r="D54" s="51"/>
      <c r="E54" s="35"/>
      <c r="F54" s="21"/>
      <c r="G54" s="35"/>
      <c r="H54" s="20"/>
      <c r="I54" s="51"/>
      <c r="J54" s="51"/>
      <c r="K54" s="51"/>
      <c r="L54" s="51"/>
      <c r="M54" s="51"/>
      <c r="N54" s="51"/>
    </row>
    <row r="55" spans="1:14" ht="15">
      <c r="A55" s="51"/>
      <c r="B55" s="51"/>
      <c r="C55" s="51"/>
      <c r="D55" s="51"/>
      <c r="E55" s="35"/>
      <c r="F55" s="21"/>
      <c r="G55" s="35"/>
      <c r="H55" s="20"/>
      <c r="I55" s="45"/>
      <c r="J55" s="51"/>
      <c r="K55" s="51"/>
      <c r="L55" s="51"/>
      <c r="M55" s="51"/>
      <c r="N55" s="51"/>
    </row>
    <row r="56" spans="1:14" ht="15">
      <c r="A56" s="51"/>
      <c r="B56" s="51"/>
      <c r="C56" s="51"/>
      <c r="D56" s="51"/>
      <c r="E56" s="35"/>
      <c r="F56" s="21"/>
      <c r="G56" s="35"/>
      <c r="H56" s="20"/>
      <c r="I56" s="51"/>
      <c r="J56" s="51"/>
      <c r="K56" s="51"/>
      <c r="L56" s="51"/>
      <c r="M56" s="51"/>
      <c r="N56" s="51"/>
    </row>
    <row r="57" spans="1:14" ht="15">
      <c r="A57" s="51"/>
      <c r="B57" s="51"/>
      <c r="C57" s="51"/>
      <c r="D57" s="51"/>
      <c r="E57" s="35"/>
      <c r="F57" s="21"/>
      <c r="G57" s="35"/>
      <c r="H57" s="20"/>
      <c r="I57" s="45"/>
      <c r="J57" s="51"/>
      <c r="K57" s="51"/>
      <c r="L57" s="51"/>
      <c r="M57" s="51"/>
      <c r="N57" s="51"/>
    </row>
    <row r="58" spans="1:14" ht="15">
      <c r="A58" s="51"/>
      <c r="B58" s="51"/>
      <c r="C58" s="51"/>
      <c r="D58" s="51"/>
      <c r="E58" s="35"/>
      <c r="F58" s="21"/>
      <c r="G58" s="35"/>
      <c r="H58" s="20"/>
      <c r="I58" s="45"/>
      <c r="J58" s="51"/>
      <c r="K58" s="51"/>
      <c r="L58" s="51"/>
      <c r="M58" s="51"/>
      <c r="N58" s="51"/>
    </row>
    <row r="59" spans="1:14" ht="15">
      <c r="A59" s="51"/>
      <c r="B59" s="51"/>
      <c r="C59" s="51"/>
      <c r="D59" s="51"/>
      <c r="E59" s="35"/>
      <c r="F59" s="21"/>
      <c r="G59" s="35"/>
      <c r="H59" s="20"/>
      <c r="I59" s="45"/>
      <c r="J59" s="51"/>
      <c r="K59" s="51"/>
      <c r="L59" s="51"/>
      <c r="M59" s="51"/>
      <c r="N59" s="51"/>
    </row>
    <row r="60" spans="1:14" ht="15">
      <c r="A60" s="51"/>
      <c r="B60" s="51"/>
      <c r="C60" s="51"/>
      <c r="D60" s="51"/>
      <c r="E60" s="35"/>
      <c r="F60" s="21"/>
      <c r="G60" s="35"/>
      <c r="H60" s="20"/>
      <c r="I60" s="51"/>
      <c r="J60" s="51"/>
      <c r="K60" s="51"/>
      <c r="L60" s="51"/>
      <c r="M60" s="51"/>
      <c r="N60" s="51"/>
    </row>
    <row r="61" spans="1:14" ht="15">
      <c r="A61" s="51"/>
      <c r="B61" s="51"/>
      <c r="C61" s="51"/>
      <c r="D61" s="51"/>
      <c r="E61" s="35"/>
      <c r="F61" s="21"/>
      <c r="G61" s="35"/>
      <c r="H61" s="20"/>
      <c r="I61" s="51"/>
      <c r="J61" s="51"/>
      <c r="K61" s="51"/>
      <c r="L61" s="51"/>
      <c r="M61" s="51"/>
      <c r="N61" s="51"/>
    </row>
    <row r="62" spans="1:14" ht="15">
      <c r="A62" s="46" t="s">
        <v>24</v>
      </c>
      <c r="B62" s="51"/>
      <c r="C62" s="51"/>
      <c r="D62" s="51"/>
      <c r="E62" s="35"/>
      <c r="F62" s="21"/>
      <c r="G62" s="35"/>
      <c r="H62" s="20"/>
      <c r="I62" s="45"/>
      <c r="J62" s="51"/>
      <c r="K62" s="51"/>
      <c r="L62" s="51"/>
      <c r="M62" s="51"/>
      <c r="N62" s="51"/>
    </row>
    <row r="63" spans="5:7" ht="15">
      <c r="E63" s="5"/>
      <c r="F63" s="24"/>
      <c r="G63" s="5"/>
    </row>
    <row r="64" spans="5:7" ht="15">
      <c r="E64" s="5"/>
      <c r="F64" s="24"/>
      <c r="G64" s="5"/>
    </row>
    <row r="65" spans="5:7" ht="15">
      <c r="E65" s="5"/>
      <c r="F65" s="24"/>
      <c r="G65" s="5"/>
    </row>
    <row r="66" spans="5:7" ht="15">
      <c r="E66" s="5"/>
      <c r="F66" s="24"/>
      <c r="G66" s="5"/>
    </row>
    <row r="67" spans="5:7" ht="15">
      <c r="E67" s="5"/>
      <c r="F67" s="24"/>
      <c r="G67" s="5"/>
    </row>
    <row r="68" spans="5:7" ht="15">
      <c r="E68" s="5"/>
      <c r="F68" s="24"/>
      <c r="G68" s="5"/>
    </row>
    <row r="69" spans="5:9" ht="15">
      <c r="E69" s="5"/>
      <c r="F69" s="24"/>
      <c r="G69" s="5"/>
      <c r="I69" s="10"/>
    </row>
    <row r="70" spans="5:7" ht="15">
      <c r="E70" s="5"/>
      <c r="F70" s="24"/>
      <c r="G70" s="5"/>
    </row>
    <row r="71" spans="5:7" ht="15">
      <c r="E71" s="5"/>
      <c r="F71" s="24"/>
      <c r="G71" s="5"/>
    </row>
    <row r="72" spans="5:7" ht="15">
      <c r="E72" s="5"/>
      <c r="F72" s="24"/>
      <c r="G72" s="5"/>
    </row>
    <row r="73" spans="5:7" ht="15">
      <c r="E73" s="5"/>
      <c r="F73" s="24"/>
      <c r="G73" s="5"/>
    </row>
    <row r="74" spans="5:7" ht="15">
      <c r="E74" s="7"/>
      <c r="F74" s="24"/>
      <c r="G74" s="7"/>
    </row>
    <row r="75" spans="5:7" ht="15">
      <c r="E75" s="2"/>
      <c r="F75" s="24"/>
      <c r="G75" s="2"/>
    </row>
    <row r="76" spans="5:7" ht="15">
      <c r="E76" s="7"/>
      <c r="F76" s="24"/>
      <c r="G76" s="7"/>
    </row>
    <row r="77" spans="5:7" ht="15">
      <c r="E77" s="8"/>
      <c r="F77" s="24"/>
      <c r="G77" s="8"/>
    </row>
    <row r="78" spans="5:7" ht="15">
      <c r="E78" s="5"/>
      <c r="F78" s="24"/>
      <c r="G78" s="5"/>
    </row>
    <row r="79" spans="5:7" ht="15">
      <c r="E79" s="5"/>
      <c r="F79" s="24"/>
      <c r="G79" s="5"/>
    </row>
    <row r="80" spans="5:7" ht="15">
      <c r="E80" s="5"/>
      <c r="F80" s="24"/>
      <c r="G80" s="5"/>
    </row>
    <row r="81" spans="5:7" ht="15">
      <c r="E81" s="5"/>
      <c r="F81" s="24"/>
      <c r="G81" s="5"/>
    </row>
    <row r="82" spans="5:7" ht="15">
      <c r="E82" s="5"/>
      <c r="F82" s="24"/>
      <c r="G82" s="5"/>
    </row>
    <row r="83" spans="5:7" ht="15">
      <c r="E83" s="5"/>
      <c r="F83" s="24"/>
      <c r="G83" s="5"/>
    </row>
    <row r="84" spans="5:7" ht="15">
      <c r="E84" s="5"/>
      <c r="F84" s="24"/>
      <c r="G84" s="5"/>
    </row>
    <row r="85" spans="5:7" ht="15">
      <c r="E85" s="5"/>
      <c r="F85" s="24"/>
      <c r="G85" s="5"/>
    </row>
    <row r="86" spans="5:7" ht="15">
      <c r="E86" s="5"/>
      <c r="F86" s="24"/>
      <c r="G86" s="5"/>
    </row>
    <row r="87" spans="5:7" ht="15">
      <c r="E87" s="5"/>
      <c r="F87" s="24"/>
      <c r="G87" s="5"/>
    </row>
    <row r="88" spans="5:7" ht="15">
      <c r="E88" s="5"/>
      <c r="F88" s="24"/>
      <c r="G88" s="5"/>
    </row>
    <row r="89" spans="5:7" ht="15">
      <c r="E89" s="5"/>
      <c r="F89" s="24"/>
      <c r="G89" s="5"/>
    </row>
    <row r="95" spans="13:14" ht="15">
      <c r="M95" s="6" t="s">
        <v>1</v>
      </c>
      <c r="N95" s="6" t="s">
        <v>4</v>
      </c>
    </row>
    <row r="96" spans="13:14" ht="15">
      <c r="M96" s="6" t="s">
        <v>7</v>
      </c>
      <c r="N96" s="6" t="s">
        <v>7</v>
      </c>
    </row>
    <row r="97" ht="15">
      <c r="M97" s="6" t="s">
        <v>25</v>
      </c>
    </row>
    <row r="98" spans="13:14" ht="15">
      <c r="M98" s="12" t="s">
        <v>26</v>
      </c>
      <c r="N98" s="12" t="s">
        <v>26</v>
      </c>
    </row>
    <row r="113" ht="15">
      <c r="A113" s="11" t="s">
        <v>24</v>
      </c>
    </row>
    <row r="146" spans="5:12" ht="15">
      <c r="E146" s="5"/>
      <c r="F146" s="24"/>
      <c r="I146" s="5"/>
      <c r="J146" s="5"/>
      <c r="K146" s="5"/>
      <c r="L146" s="5"/>
    </row>
    <row r="148" spans="5:12" ht="15">
      <c r="E148" s="5"/>
      <c r="F148" s="24"/>
      <c r="I148" s="5"/>
      <c r="J148" s="5"/>
      <c r="K148" s="5"/>
      <c r="L148" s="5"/>
    </row>
    <row r="149" spans="5:12" ht="15">
      <c r="E149" s="5"/>
      <c r="F149" s="24"/>
      <c r="I149" s="5"/>
      <c r="J149" s="5"/>
      <c r="K149" s="5"/>
      <c r="L149" s="5"/>
    </row>
    <row r="150" spans="5:12" ht="15">
      <c r="E150" s="5"/>
      <c r="F150" s="24"/>
      <c r="I150" s="5"/>
      <c r="J150" s="5"/>
      <c r="K150" s="5"/>
      <c r="L150" s="5"/>
    </row>
    <row r="151" spans="5:12" ht="15">
      <c r="E151" s="5"/>
      <c r="F151" s="24"/>
      <c r="I151" s="5"/>
      <c r="J151" s="5"/>
      <c r="K151" s="5"/>
      <c r="L151" s="5"/>
    </row>
    <row r="152" spans="5:12" ht="15">
      <c r="E152" s="5"/>
      <c r="F152" s="24"/>
      <c r="I152" s="5"/>
      <c r="J152" s="5"/>
      <c r="K152" s="5"/>
      <c r="L152" s="5"/>
    </row>
    <row r="153" spans="5:12" ht="15">
      <c r="E153" s="5"/>
      <c r="F153" s="24"/>
      <c r="I153" s="5"/>
      <c r="J153" s="5"/>
      <c r="K153" s="5"/>
      <c r="L153" s="5"/>
    </row>
    <row r="154" spans="5:12" ht="15">
      <c r="E154" s="5"/>
      <c r="F154" s="24"/>
      <c r="I154" s="5"/>
      <c r="J154" s="5"/>
      <c r="K154" s="5"/>
      <c r="L154" s="5"/>
    </row>
    <row r="155" spans="5:12" ht="15">
      <c r="E155" s="5"/>
      <c r="F155" s="24"/>
      <c r="I155" s="5"/>
      <c r="J155" s="5"/>
      <c r="K155" s="5"/>
      <c r="L155" s="5"/>
    </row>
    <row r="156" spans="5:12" ht="15">
      <c r="E156" s="5"/>
      <c r="F156" s="24"/>
      <c r="I156" s="5"/>
      <c r="J156" s="5"/>
      <c r="K156" s="5"/>
      <c r="L156" s="5"/>
    </row>
    <row r="157" spans="5:12" ht="15">
      <c r="E157" s="5"/>
      <c r="F157" s="24"/>
      <c r="I157" s="5"/>
      <c r="J157" s="5"/>
      <c r="K157" s="5"/>
      <c r="L157" s="5"/>
    </row>
    <row r="158" spans="1:12" ht="15">
      <c r="A158" s="13"/>
      <c r="E158" s="5"/>
      <c r="F158" s="24"/>
      <c r="I158" s="5"/>
      <c r="J158" s="5"/>
      <c r="K158" s="5"/>
      <c r="L158" s="5"/>
    </row>
    <row r="159" spans="5:12" ht="15">
      <c r="E159" s="5"/>
      <c r="F159" s="24"/>
      <c r="I159" s="5"/>
      <c r="J159" s="5"/>
      <c r="K159" s="5"/>
      <c r="L159" s="5"/>
    </row>
    <row r="160" spans="5:12" ht="15">
      <c r="E160" s="5"/>
      <c r="F160" s="24"/>
      <c r="I160" s="5"/>
      <c r="J160" s="5"/>
      <c r="K160" s="5"/>
      <c r="L160" s="5"/>
    </row>
    <row r="161" spans="5:12" ht="15">
      <c r="E161" s="5"/>
      <c r="F161" s="24"/>
      <c r="I161" s="5"/>
      <c r="J161" s="5"/>
      <c r="K161" s="5"/>
      <c r="L161" s="5"/>
    </row>
    <row r="162" spans="5:12" ht="15">
      <c r="E162" s="5"/>
      <c r="F162" s="24"/>
      <c r="I162" s="5"/>
      <c r="J162" s="5"/>
      <c r="K162" s="5"/>
      <c r="L162" s="5"/>
    </row>
    <row r="163" spans="5:12" ht="15">
      <c r="E163" s="5"/>
      <c r="F163" s="24"/>
      <c r="I163" s="5"/>
      <c r="J163" s="5"/>
      <c r="K163" s="5"/>
      <c r="L163" s="5"/>
    </row>
    <row r="164" spans="5:12" ht="15">
      <c r="E164" s="5"/>
      <c r="F164" s="24"/>
      <c r="I164" s="5"/>
      <c r="J164" s="5"/>
      <c r="K164" s="5"/>
      <c r="L164" s="5"/>
    </row>
    <row r="165" spans="5:12" ht="15">
      <c r="E165" s="5"/>
      <c r="F165" s="24"/>
      <c r="I165" s="5"/>
      <c r="J165" s="5"/>
      <c r="K165" s="5"/>
      <c r="L165" s="5"/>
    </row>
    <row r="166" spans="5:12" ht="15">
      <c r="E166" s="5"/>
      <c r="F166" s="24"/>
      <c r="I166" s="5"/>
      <c r="J166" s="5"/>
      <c r="K166" s="5"/>
      <c r="L166" s="5"/>
    </row>
    <row r="167" spans="5:12" ht="15">
      <c r="E167" s="5"/>
      <c r="F167" s="24"/>
      <c r="I167" s="5"/>
      <c r="J167" s="5"/>
      <c r="K167" s="5"/>
      <c r="L167" s="5"/>
    </row>
    <row r="168" spans="5:12" ht="15">
      <c r="E168" s="5"/>
      <c r="F168" s="24"/>
      <c r="I168" s="5"/>
      <c r="J168" s="5"/>
      <c r="K168" s="5"/>
      <c r="L168" s="5"/>
    </row>
    <row r="169" spans="5:12" ht="15">
      <c r="E169" s="5"/>
      <c r="F169" s="24"/>
      <c r="L169" s="5"/>
    </row>
    <row r="170" spans="5:12" ht="15">
      <c r="E170" s="5"/>
      <c r="F170" s="24"/>
      <c r="I170" s="5"/>
      <c r="J170" s="5"/>
      <c r="K170" s="5"/>
      <c r="L170" s="5"/>
    </row>
    <row r="171" spans="5:12" ht="15">
      <c r="E171" s="5"/>
      <c r="F171" s="24"/>
      <c r="I171" s="5"/>
      <c r="J171" s="5"/>
      <c r="K171" s="5"/>
      <c r="L171" s="5"/>
    </row>
    <row r="172" spans="5:12" ht="15">
      <c r="E172" s="5"/>
      <c r="F172" s="24"/>
      <c r="I172" s="5"/>
      <c r="J172" s="5"/>
      <c r="K172" s="5"/>
      <c r="L172" s="5"/>
    </row>
    <row r="173" spans="5:12" ht="15">
      <c r="E173" s="5"/>
      <c r="F173" s="24"/>
      <c r="I173" s="5"/>
      <c r="J173" s="5"/>
      <c r="K173" s="5"/>
      <c r="L173" s="5"/>
    </row>
    <row r="174" spans="5:12" ht="15">
      <c r="E174" s="5"/>
      <c r="F174" s="24"/>
      <c r="I174" s="5"/>
      <c r="J174" s="5"/>
      <c r="K174" s="5"/>
      <c r="L174" s="5"/>
    </row>
    <row r="175" spans="5:12" ht="15">
      <c r="E175" s="5"/>
      <c r="F175" s="24"/>
      <c r="I175" s="5"/>
      <c r="J175" s="5"/>
      <c r="K175" s="5"/>
      <c r="L175" s="5"/>
    </row>
    <row r="176" spans="5:12" ht="15">
      <c r="E176" s="5"/>
      <c r="F176" s="24"/>
      <c r="I176" s="5"/>
      <c r="J176" s="5"/>
      <c r="K176" s="5"/>
      <c r="L176" s="5"/>
    </row>
    <row r="177" spans="5:12" ht="15">
      <c r="E177" s="5"/>
      <c r="F177" s="24"/>
      <c r="L177" s="5"/>
    </row>
    <row r="178" spans="5:12" ht="15">
      <c r="E178" s="5"/>
      <c r="F178" s="24"/>
      <c r="L178" s="5"/>
    </row>
    <row r="179" spans="5:12" ht="15">
      <c r="E179" s="5"/>
      <c r="F179" s="24"/>
      <c r="L179" s="5"/>
    </row>
    <row r="180" spans="5:12" ht="15">
      <c r="E180" s="5"/>
      <c r="F180" s="24"/>
      <c r="I180" s="5"/>
      <c r="J180" s="5"/>
      <c r="K180" s="5"/>
      <c r="L180" s="5"/>
    </row>
    <row r="181" spans="5:12" ht="15">
      <c r="E181" s="5"/>
      <c r="F181" s="24"/>
      <c r="I181" s="5"/>
      <c r="J181" s="5"/>
      <c r="K181" s="5"/>
      <c r="L181" s="5"/>
    </row>
    <row r="182" spans="5:12" ht="15">
      <c r="E182" s="5"/>
      <c r="F182" s="24"/>
      <c r="I182" s="5"/>
      <c r="J182" s="5"/>
      <c r="K182" s="5"/>
      <c r="L182" s="5"/>
    </row>
    <row r="183" spans="5:11" ht="15">
      <c r="E183" s="5"/>
      <c r="F183" s="24"/>
      <c r="I183" s="5"/>
      <c r="J183" s="5"/>
      <c r="K183" s="5"/>
    </row>
    <row r="184" spans="5:11" ht="15">
      <c r="E184" s="5"/>
      <c r="F184" s="24"/>
      <c r="I184" s="5"/>
      <c r="J184" s="5"/>
      <c r="K184" s="5"/>
    </row>
    <row r="185" spans="5:11" ht="15">
      <c r="E185" s="5"/>
      <c r="F185" s="24"/>
      <c r="I185" s="5"/>
      <c r="J185" s="5"/>
      <c r="K185" s="5"/>
    </row>
    <row r="186" spans="5:11" ht="15">
      <c r="E186" s="5"/>
      <c r="F186" s="24"/>
      <c r="I186" s="5"/>
      <c r="J186" s="5"/>
      <c r="K186" s="5"/>
    </row>
    <row r="187" spans="5:11" ht="15">
      <c r="E187" s="5"/>
      <c r="F187" s="24"/>
      <c r="I187" s="5"/>
      <c r="J187" s="5"/>
      <c r="K187" s="5"/>
    </row>
    <row r="188" spans="5:11" ht="15">
      <c r="E188" s="5"/>
      <c r="F188" s="24"/>
      <c r="I188" s="5"/>
      <c r="J188" s="5"/>
      <c r="K188" s="5"/>
    </row>
    <row r="189" spans="5:11" ht="15">
      <c r="E189" s="5"/>
      <c r="F189" s="24"/>
      <c r="I189" s="5"/>
      <c r="J189" s="5"/>
      <c r="K189" s="5"/>
    </row>
    <row r="190" spans="5:11" ht="15">
      <c r="E190" s="5"/>
      <c r="F190" s="24"/>
      <c r="I190" s="5"/>
      <c r="J190" s="5"/>
      <c r="K190" s="5"/>
    </row>
    <row r="191" spans="5:11" ht="15">
      <c r="E191" s="5"/>
      <c r="F191" s="24"/>
      <c r="I191" s="5"/>
      <c r="J191" s="5"/>
      <c r="K191" s="5"/>
    </row>
    <row r="192" spans="5:11" ht="15">
      <c r="E192" s="5"/>
      <c r="F192" s="24"/>
      <c r="I192" s="5"/>
      <c r="J192" s="5"/>
      <c r="K192" s="5"/>
    </row>
    <row r="193" spans="5:11" ht="15">
      <c r="E193" s="5"/>
      <c r="F193" s="24"/>
      <c r="I193" s="5"/>
      <c r="J193" s="5"/>
      <c r="K193" s="5"/>
    </row>
    <row r="194" spans="5:11" ht="15">
      <c r="E194" s="5"/>
      <c r="F194" s="24"/>
      <c r="I194" s="5"/>
      <c r="J194" s="5"/>
      <c r="K194" s="5"/>
    </row>
    <row r="195" spans="5:11" ht="15">
      <c r="E195" s="5"/>
      <c r="F195" s="24"/>
      <c r="I195" s="5"/>
      <c r="J195" s="5"/>
      <c r="K195" s="5"/>
    </row>
    <row r="196" spans="5:11" ht="15">
      <c r="E196" s="5"/>
      <c r="F196" s="24"/>
      <c r="I196" s="5"/>
      <c r="J196" s="5"/>
      <c r="K196" s="5"/>
    </row>
    <row r="197" spans="5:11" ht="15">
      <c r="E197" s="5"/>
      <c r="F197" s="24"/>
      <c r="I197" s="5"/>
      <c r="J197" s="5"/>
      <c r="K197" s="5"/>
    </row>
    <row r="198" spans="5:11" ht="15">
      <c r="E198" s="5"/>
      <c r="F198" s="24"/>
      <c r="I198" s="5"/>
      <c r="J198" s="5"/>
      <c r="K198" s="5"/>
    </row>
    <row r="199" spans="5:11" ht="15">
      <c r="E199" s="5"/>
      <c r="F199" s="24"/>
      <c r="I199" s="5"/>
      <c r="J199" s="5"/>
      <c r="K199" s="5"/>
    </row>
    <row r="200" spans="5:11" ht="15">
      <c r="E200" s="5"/>
      <c r="F200" s="24"/>
      <c r="I200" s="5"/>
      <c r="J200" s="5"/>
      <c r="K200" s="5"/>
    </row>
    <row r="201" spans="5:11" ht="15">
      <c r="E201" s="5"/>
      <c r="F201" s="24"/>
      <c r="I201" s="5"/>
      <c r="J201" s="5"/>
      <c r="K201" s="5"/>
    </row>
    <row r="202" spans="5:11" ht="15">
      <c r="E202" s="5"/>
      <c r="F202" s="24"/>
      <c r="I202" s="5"/>
      <c r="J202" s="5"/>
      <c r="K202" s="5"/>
    </row>
    <row r="203" spans="5:11" ht="15">
      <c r="E203" s="5"/>
      <c r="F203" s="24"/>
      <c r="I203" s="5"/>
      <c r="J203" s="5"/>
      <c r="K203" s="5"/>
    </row>
    <row r="204" spans="5:11" ht="15">
      <c r="E204" s="5"/>
      <c r="F204" s="24"/>
      <c r="I204" s="5"/>
      <c r="J204" s="5"/>
      <c r="K204" s="5"/>
    </row>
    <row r="205" spans="5:11" ht="15">
      <c r="E205" s="5"/>
      <c r="F205" s="24"/>
      <c r="I205" s="5"/>
      <c r="J205" s="5"/>
      <c r="K205" s="5"/>
    </row>
    <row r="206" spans="5:11" ht="15">
      <c r="E206" s="5"/>
      <c r="F206" s="24"/>
      <c r="I206" s="5"/>
      <c r="J206" s="5"/>
      <c r="K206" s="5"/>
    </row>
  </sheetData>
  <sheetProtection/>
  <printOptions horizontalCentered="1"/>
  <pageMargins left="0.45" right="0.5" top="0.75" bottom="0.55" header="0" footer="0"/>
  <pageSetup fitToHeight="1" fitToWidth="1" horizontalDpi="600" verticalDpi="600" orientation="landscape" scale="78" r:id="rId2"/>
  <headerFooter alignWithMargins="0">
    <oddFooter>&amp;LJW &amp;A&amp;CPage &amp;P&amp;R&amp;D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OutlineSymbols="0" zoomScale="87" zoomScaleNormal="87" zoomScalePageLayoutView="0" workbookViewId="0" topLeftCell="A16">
      <selection activeCell="J19" sqref="J19"/>
    </sheetView>
  </sheetViews>
  <sheetFormatPr defaultColWidth="9.6640625" defaultRowHeight="15"/>
  <cols>
    <col min="1" max="3" width="2.6640625" style="1" customWidth="1"/>
    <col min="4" max="4" width="26.6640625" style="1" customWidth="1"/>
    <col min="5" max="5" width="13.6640625" style="1" customWidth="1"/>
    <col min="6" max="6" width="3.77734375" style="25" customWidth="1"/>
    <col min="7" max="7" width="10.6640625" style="1" customWidth="1"/>
    <col min="8" max="8" width="3.77734375" style="25" customWidth="1"/>
    <col min="9" max="9" width="10.6640625" style="1" customWidth="1"/>
    <col min="10" max="10" width="11.6640625" style="1" customWidth="1"/>
    <col min="11" max="11" width="10.6640625" style="1" customWidth="1"/>
    <col min="12" max="14" width="12.6640625" style="1" customWidth="1"/>
    <col min="15" max="16384" width="9.6640625" style="1" customWidth="1"/>
  </cols>
  <sheetData>
    <row r="1" spans="1:14" ht="15">
      <c r="A1" s="48"/>
      <c r="B1" s="50" t="str">
        <f>PLANT!B1</f>
        <v>WEAVTEL</v>
      </c>
      <c r="C1" s="50"/>
      <c r="D1" s="50"/>
      <c r="E1" s="50"/>
      <c r="F1" s="20"/>
      <c r="G1" s="50"/>
      <c r="H1" s="20"/>
      <c r="I1" s="49"/>
      <c r="J1" s="49"/>
      <c r="K1" s="49"/>
      <c r="L1" s="50"/>
      <c r="M1" s="50"/>
      <c r="N1" s="50"/>
    </row>
    <row r="2" spans="1:14" ht="15">
      <c r="A2" s="51"/>
      <c r="B2" s="50" t="s">
        <v>27</v>
      </c>
      <c r="C2" s="50"/>
      <c r="D2" s="50"/>
      <c r="E2" s="50"/>
      <c r="F2" s="20"/>
      <c r="G2" s="50"/>
      <c r="H2" s="20"/>
      <c r="I2" s="50"/>
      <c r="J2" s="50"/>
      <c r="K2" s="50"/>
      <c r="L2" s="50"/>
      <c r="M2" s="50"/>
      <c r="N2" s="50"/>
    </row>
    <row r="3" spans="1:14" ht="15">
      <c r="A3" s="51"/>
      <c r="B3" s="50" t="str">
        <f>PLANT!B3</f>
        <v>FOR THE STUDY YEAR ENDED DECEMBER 31, 2008</v>
      </c>
      <c r="C3" s="50"/>
      <c r="D3" s="50"/>
      <c r="E3" s="50"/>
      <c r="F3" s="20"/>
      <c r="G3" s="50"/>
      <c r="H3" s="20"/>
      <c r="I3" s="50"/>
      <c r="J3" s="50"/>
      <c r="K3" s="50"/>
      <c r="L3" s="50"/>
      <c r="M3" s="50"/>
      <c r="N3" s="27"/>
    </row>
    <row r="4" spans="1:14" ht="15">
      <c r="A4" s="51"/>
      <c r="B4" s="50"/>
      <c r="C4" s="50"/>
      <c r="D4" s="50"/>
      <c r="E4" s="50"/>
      <c r="F4" s="20"/>
      <c r="G4" s="50"/>
      <c r="H4" s="20"/>
      <c r="I4" s="50"/>
      <c r="J4" s="50"/>
      <c r="K4" s="50"/>
      <c r="L4" s="50"/>
      <c r="M4" s="50"/>
      <c r="N4" s="50"/>
    </row>
    <row r="5" spans="1:14" ht="15">
      <c r="A5" s="51"/>
      <c r="B5" s="50"/>
      <c r="C5" s="50"/>
      <c r="D5" s="50"/>
      <c r="E5" s="28" t="s">
        <v>49</v>
      </c>
      <c r="F5" s="20"/>
      <c r="G5" s="50"/>
      <c r="H5" s="20"/>
      <c r="I5" s="50"/>
      <c r="J5" s="28" t="s">
        <v>2</v>
      </c>
      <c r="K5" s="28" t="s">
        <v>3</v>
      </c>
      <c r="L5" s="28" t="s">
        <v>1</v>
      </c>
      <c r="M5" s="28" t="s">
        <v>1</v>
      </c>
      <c r="N5" s="28" t="s">
        <v>4</v>
      </c>
    </row>
    <row r="6" spans="1:14" ht="15">
      <c r="A6" s="51"/>
      <c r="B6" s="50"/>
      <c r="C6" s="50"/>
      <c r="D6" s="50"/>
      <c r="E6" s="28" t="s">
        <v>5</v>
      </c>
      <c r="F6" s="20"/>
      <c r="G6" s="29" t="s">
        <v>6</v>
      </c>
      <c r="H6" s="23"/>
      <c r="I6" s="29"/>
      <c r="J6" s="28" t="s">
        <v>7</v>
      </c>
      <c r="K6" s="28" t="s">
        <v>8</v>
      </c>
      <c r="L6" s="28" t="s">
        <v>7</v>
      </c>
      <c r="M6" s="28" t="s">
        <v>7</v>
      </c>
      <c r="N6" s="28" t="s">
        <v>7</v>
      </c>
    </row>
    <row r="7" spans="1:14" ht="15">
      <c r="A7" s="51"/>
      <c r="B7" s="50"/>
      <c r="C7" s="50"/>
      <c r="D7" s="50"/>
      <c r="E7" s="28" t="str">
        <f>PLANT!E7</f>
        <v>12/31/08</v>
      </c>
      <c r="F7" s="20"/>
      <c r="G7" s="28" t="s">
        <v>28</v>
      </c>
      <c r="H7" s="20"/>
      <c r="I7" s="28" t="s">
        <v>29</v>
      </c>
      <c r="J7" s="28" t="str">
        <f>E7</f>
        <v>12/31/08</v>
      </c>
      <c r="K7" s="28" t="s">
        <v>11</v>
      </c>
      <c r="L7" s="28" t="str">
        <f>J7</f>
        <v>12/31/08</v>
      </c>
      <c r="M7" s="28" t="str">
        <f>PLANT!M7</f>
        <v>12/31/07</v>
      </c>
      <c r="N7" s="28" t="str">
        <f>PLANT!N7</f>
        <v>12/31/08</v>
      </c>
    </row>
    <row r="8" spans="1:14" ht="15">
      <c r="A8" s="51"/>
      <c r="B8" s="51"/>
      <c r="C8" s="51"/>
      <c r="D8" s="51"/>
      <c r="E8" s="67" t="s">
        <v>51</v>
      </c>
      <c r="F8" s="20"/>
      <c r="G8" s="33"/>
      <c r="H8" s="20"/>
      <c r="I8" s="32"/>
      <c r="J8" s="32"/>
      <c r="K8" s="67" t="s">
        <v>51</v>
      </c>
      <c r="L8" s="32"/>
      <c r="M8" s="33"/>
      <c r="N8" s="32"/>
    </row>
    <row r="9" spans="1:14" ht="15">
      <c r="A9" s="51"/>
      <c r="B9" s="31" t="s">
        <v>12</v>
      </c>
      <c r="C9" s="51"/>
      <c r="D9" s="51"/>
      <c r="E9" s="34"/>
      <c r="F9" s="21"/>
      <c r="G9" s="51"/>
      <c r="H9" s="20"/>
      <c r="I9" s="35"/>
      <c r="J9" s="35"/>
      <c r="K9" s="35"/>
      <c r="L9" s="35"/>
      <c r="M9" s="35"/>
      <c r="N9" s="35"/>
    </row>
    <row r="10" spans="1:14" ht="15">
      <c r="A10" s="51"/>
      <c r="B10" s="51"/>
      <c r="C10" s="51" t="s">
        <v>58</v>
      </c>
      <c r="D10" s="51"/>
      <c r="E10" s="68">
        <f>(-(ROUND([1]!TBLink("Trial Balance I","BOOKED[3]","321121:321124","16","3"),2)))</f>
        <v>0</v>
      </c>
      <c r="F10" s="20"/>
      <c r="G10" s="58"/>
      <c r="H10" s="20"/>
      <c r="I10" s="58"/>
      <c r="J10" s="35">
        <f aca="true" t="shared" si="0" ref="J10:J17">E10-G10+I10</f>
        <v>0</v>
      </c>
      <c r="K10" s="76"/>
      <c r="L10" s="35">
        <f aca="true" t="shared" si="1" ref="L10:L15">J10-K10</f>
        <v>0</v>
      </c>
      <c r="M10" s="57"/>
      <c r="N10" s="35">
        <f aca="true" t="shared" si="2" ref="N10:N15">(L10+M10)/2</f>
        <v>0</v>
      </c>
    </row>
    <row r="11" spans="1:14" ht="15">
      <c r="A11" s="51"/>
      <c r="B11" s="51"/>
      <c r="C11" s="51" t="s">
        <v>59</v>
      </c>
      <c r="D11" s="51"/>
      <c r="E11" s="68">
        <v>45282</v>
      </c>
      <c r="F11" s="21"/>
      <c r="G11" s="58"/>
      <c r="H11" s="20"/>
      <c r="I11" s="57"/>
      <c r="J11" s="35">
        <f t="shared" si="0"/>
        <v>45282</v>
      </c>
      <c r="K11" s="35">
        <f>2264-1</f>
        <v>2263</v>
      </c>
      <c r="L11" s="35">
        <f t="shared" si="1"/>
        <v>43019</v>
      </c>
      <c r="M11" s="57">
        <v>37501</v>
      </c>
      <c r="N11" s="35">
        <f t="shared" si="2"/>
        <v>40260</v>
      </c>
    </row>
    <row r="12" spans="1:14" ht="15">
      <c r="A12" s="51"/>
      <c r="B12" s="51"/>
      <c r="C12" s="51" t="s">
        <v>61</v>
      </c>
      <c r="D12" s="51"/>
      <c r="E12" s="34">
        <v>0</v>
      </c>
      <c r="F12" s="21"/>
      <c r="G12" s="58"/>
      <c r="H12" s="20"/>
      <c r="I12" s="58"/>
      <c r="J12" s="35">
        <f t="shared" si="0"/>
        <v>0</v>
      </c>
      <c r="K12" s="51"/>
      <c r="L12" s="35">
        <f t="shared" si="1"/>
        <v>0</v>
      </c>
      <c r="M12" s="57">
        <v>0</v>
      </c>
      <c r="N12" s="35">
        <f t="shared" si="2"/>
        <v>0</v>
      </c>
    </row>
    <row r="13" spans="1:14" ht="15">
      <c r="A13" s="51"/>
      <c r="B13" s="51"/>
      <c r="C13" s="51" t="s">
        <v>62</v>
      </c>
      <c r="D13" s="51"/>
      <c r="E13" s="68">
        <v>34086</v>
      </c>
      <c r="F13" s="21"/>
      <c r="G13" s="57"/>
      <c r="H13" s="20"/>
      <c r="I13" s="57"/>
      <c r="J13" s="35">
        <f t="shared" si="0"/>
        <v>34086</v>
      </c>
      <c r="K13" s="35">
        <v>1461</v>
      </c>
      <c r="L13" s="35">
        <f t="shared" si="1"/>
        <v>32625</v>
      </c>
      <c r="M13" s="57">
        <v>20479</v>
      </c>
      <c r="N13" s="35">
        <f t="shared" si="2"/>
        <v>26552</v>
      </c>
    </row>
    <row r="14" spans="1:14" ht="15">
      <c r="A14" s="51"/>
      <c r="B14" s="51"/>
      <c r="C14" s="51" t="s">
        <v>65</v>
      </c>
      <c r="D14" s="51"/>
      <c r="E14" s="68">
        <f>(-(ROUND([1]!TBLink("Trial Balance I","BOOKED[3]","321210:321216","16","3"),2)))</f>
        <v>0</v>
      </c>
      <c r="F14" s="21"/>
      <c r="G14" s="58"/>
      <c r="H14" s="20"/>
      <c r="I14" s="57"/>
      <c r="J14" s="35">
        <f t="shared" si="0"/>
        <v>0</v>
      </c>
      <c r="K14" s="76"/>
      <c r="L14" s="35">
        <f t="shared" si="1"/>
        <v>0</v>
      </c>
      <c r="M14" s="57"/>
      <c r="N14" s="35">
        <f t="shared" si="2"/>
        <v>0</v>
      </c>
    </row>
    <row r="15" spans="1:14" ht="15">
      <c r="A15" s="51"/>
      <c r="B15" s="51"/>
      <c r="C15" s="51" t="s">
        <v>60</v>
      </c>
      <c r="D15" s="51"/>
      <c r="E15" s="68">
        <v>15490</v>
      </c>
      <c r="F15" s="21"/>
      <c r="G15" s="58"/>
      <c r="H15" s="20"/>
      <c r="I15" s="57"/>
      <c r="J15" s="35">
        <f t="shared" si="0"/>
        <v>15490</v>
      </c>
      <c r="K15" s="76">
        <v>465</v>
      </c>
      <c r="L15" s="35">
        <f t="shared" si="1"/>
        <v>15025</v>
      </c>
      <c r="M15" s="57">
        <v>13531</v>
      </c>
      <c r="N15" s="35">
        <f t="shared" si="2"/>
        <v>14278</v>
      </c>
    </row>
    <row r="16" spans="1:14" ht="15">
      <c r="A16" s="51"/>
      <c r="B16" s="51"/>
      <c r="C16" s="51" t="s">
        <v>64</v>
      </c>
      <c r="D16" s="51"/>
      <c r="E16" s="34">
        <v>0</v>
      </c>
      <c r="F16" s="21"/>
      <c r="G16" s="58"/>
      <c r="H16" s="20"/>
      <c r="I16" s="58"/>
      <c r="J16" s="35">
        <f t="shared" si="0"/>
        <v>0</v>
      </c>
      <c r="K16" s="35"/>
      <c r="L16" s="51"/>
      <c r="M16" s="58"/>
      <c r="N16" s="51"/>
    </row>
    <row r="17" spans="1:14" ht="15">
      <c r="A17" s="51"/>
      <c r="B17" s="51"/>
      <c r="C17" s="51" t="s">
        <v>63</v>
      </c>
      <c r="D17" s="51"/>
      <c r="E17" s="68">
        <v>10697</v>
      </c>
      <c r="F17" s="21"/>
      <c r="G17" s="58"/>
      <c r="H17" s="20"/>
      <c r="I17" s="57"/>
      <c r="J17" s="35">
        <f t="shared" si="0"/>
        <v>10697</v>
      </c>
      <c r="K17" s="76">
        <v>321</v>
      </c>
      <c r="L17" s="35">
        <f>J17-K17</f>
        <v>10376</v>
      </c>
      <c r="M17" s="57">
        <v>10697</v>
      </c>
      <c r="N17" s="35">
        <f>(L17+M17)/2</f>
        <v>10536.5</v>
      </c>
    </row>
    <row r="18" spans="1:14" ht="15">
      <c r="A18" s="51"/>
      <c r="B18" s="51"/>
      <c r="C18" s="51"/>
      <c r="D18" s="36" t="s">
        <v>13</v>
      </c>
      <c r="E18" s="37">
        <f>SUM(E9:E17)</f>
        <v>105555</v>
      </c>
      <c r="F18" s="21"/>
      <c r="G18" s="38">
        <f>SUM(G9:G17)</f>
        <v>0</v>
      </c>
      <c r="H18" s="20"/>
      <c r="I18" s="38">
        <f aca="true" t="shared" si="3" ref="I18:N18">SUM(I9:I17)</f>
        <v>0</v>
      </c>
      <c r="J18" s="38">
        <f t="shared" si="3"/>
        <v>105555</v>
      </c>
      <c r="K18" s="38">
        <f t="shared" si="3"/>
        <v>4510</v>
      </c>
      <c r="L18" s="38">
        <f t="shared" si="3"/>
        <v>101045</v>
      </c>
      <c r="M18" s="38">
        <f t="shared" si="3"/>
        <v>82208</v>
      </c>
      <c r="N18" s="38">
        <f t="shared" si="3"/>
        <v>91626.5</v>
      </c>
    </row>
    <row r="19" spans="1:14" ht="15">
      <c r="A19" s="51"/>
      <c r="B19" s="31" t="s">
        <v>14</v>
      </c>
      <c r="C19" s="51"/>
      <c r="D19" s="51"/>
      <c r="E19" s="39"/>
      <c r="F19" s="21"/>
      <c r="G19" s="33"/>
      <c r="H19" s="20"/>
      <c r="I19" s="32"/>
      <c r="J19" s="32"/>
      <c r="K19" s="32"/>
      <c r="L19" s="32"/>
      <c r="M19" s="32"/>
      <c r="N19" s="32"/>
    </row>
    <row r="20" spans="1:14" ht="15">
      <c r="A20" s="51"/>
      <c r="B20" s="51"/>
      <c r="C20" s="51" t="s">
        <v>66</v>
      </c>
      <c r="D20" s="51"/>
      <c r="E20" s="68">
        <v>120543</v>
      </c>
      <c r="F20" s="21"/>
      <c r="G20" s="57"/>
      <c r="H20" s="20">
        <v>8</v>
      </c>
      <c r="I20" s="57">
        <v>6167</v>
      </c>
      <c r="J20" s="35">
        <f>E20-G20+I20</f>
        <v>126710</v>
      </c>
      <c r="K20" s="35"/>
      <c r="L20" s="35">
        <f>J20-K20</f>
        <v>126710</v>
      </c>
      <c r="M20" s="57">
        <v>74357</v>
      </c>
      <c r="N20" s="35">
        <f>(L20+M20)/2</f>
        <v>100533.5</v>
      </c>
    </row>
    <row r="21" spans="1:14" ht="15">
      <c r="A21" s="51"/>
      <c r="B21" s="51"/>
      <c r="C21" s="51" t="s">
        <v>67</v>
      </c>
      <c r="D21" s="51"/>
      <c r="E21" s="34"/>
      <c r="F21" s="21"/>
      <c r="G21" s="58"/>
      <c r="H21" s="20"/>
      <c r="I21" s="57"/>
      <c r="J21" s="35">
        <f>E21-G21+I21</f>
        <v>0</v>
      </c>
      <c r="K21" s="35"/>
      <c r="L21" s="35">
        <f>J21-K21</f>
        <v>0</v>
      </c>
      <c r="M21" s="57">
        <v>0</v>
      </c>
      <c r="N21" s="35">
        <f>(L21+M21)/2</f>
        <v>0</v>
      </c>
    </row>
    <row r="22" spans="1:14" ht="15">
      <c r="A22" s="51"/>
      <c r="B22" s="51"/>
      <c r="C22" s="51" t="s">
        <v>68</v>
      </c>
      <c r="D22" s="51"/>
      <c r="E22" s="68">
        <v>147900</v>
      </c>
      <c r="F22" s="21">
        <v>8</v>
      </c>
      <c r="G22" s="57">
        <v>6167</v>
      </c>
      <c r="H22" s="20"/>
      <c r="I22" s="57"/>
      <c r="J22" s="35">
        <f>E22-G22+I22</f>
        <v>141733</v>
      </c>
      <c r="K22" s="35"/>
      <c r="L22" s="35"/>
      <c r="M22" s="59"/>
      <c r="N22" s="35"/>
    </row>
    <row r="23" spans="1:14" ht="15">
      <c r="A23" s="51"/>
      <c r="B23" s="51"/>
      <c r="C23" s="51" t="s">
        <v>69</v>
      </c>
      <c r="D23" s="51"/>
      <c r="E23" s="68">
        <v>53428</v>
      </c>
      <c r="F23" s="21"/>
      <c r="G23" s="57"/>
      <c r="H23" s="20"/>
      <c r="I23" s="57"/>
      <c r="J23" s="35">
        <f>E23-G23+I23</f>
        <v>53428</v>
      </c>
      <c r="K23" s="35"/>
      <c r="L23" s="35">
        <f>SUM(J22:J24)-SUM(K22:K24)</f>
        <v>195161</v>
      </c>
      <c r="M23" s="57">
        <v>116308</v>
      </c>
      <c r="N23" s="35">
        <f>(L23+M23)/2</f>
        <v>155734.5</v>
      </c>
    </row>
    <row r="24" spans="1:14" ht="15">
      <c r="A24" s="51"/>
      <c r="B24" s="51"/>
      <c r="C24" s="51"/>
      <c r="D24" s="51"/>
      <c r="E24" s="59"/>
      <c r="F24" s="21"/>
      <c r="G24" s="58"/>
      <c r="H24" s="20"/>
      <c r="I24" s="57"/>
      <c r="J24" s="35">
        <f>E24-G24+I24</f>
        <v>0</v>
      </c>
      <c r="K24" s="35"/>
      <c r="L24" s="35"/>
      <c r="M24" s="35"/>
      <c r="N24" s="35"/>
    </row>
    <row r="25" spans="1:14" ht="15">
      <c r="A25" s="51"/>
      <c r="B25" s="51"/>
      <c r="C25" s="51"/>
      <c r="D25" s="36" t="s">
        <v>15</v>
      </c>
      <c r="E25" s="37">
        <f>SUM(E20:E24)</f>
        <v>321871</v>
      </c>
      <c r="F25" s="21"/>
      <c r="G25" s="38">
        <f>SUM(G20:G24)</f>
        <v>6167</v>
      </c>
      <c r="H25" s="20"/>
      <c r="I25" s="38">
        <f aca="true" t="shared" si="4" ref="I25:N25">SUM(I20:I24)</f>
        <v>6167</v>
      </c>
      <c r="J25" s="38">
        <f t="shared" si="4"/>
        <v>321871</v>
      </c>
      <c r="K25" s="38">
        <f t="shared" si="4"/>
        <v>0</v>
      </c>
      <c r="L25" s="38">
        <f t="shared" si="4"/>
        <v>321871</v>
      </c>
      <c r="M25" s="38">
        <f t="shared" si="4"/>
        <v>190665</v>
      </c>
      <c r="N25" s="38">
        <f t="shared" si="4"/>
        <v>256268</v>
      </c>
    </row>
    <row r="26" spans="1:14" ht="15">
      <c r="A26" s="51"/>
      <c r="B26" s="31" t="s">
        <v>16</v>
      </c>
      <c r="C26" s="51"/>
      <c r="D26" s="51"/>
      <c r="E26" s="39"/>
      <c r="F26" s="21"/>
      <c r="G26" s="33"/>
      <c r="H26" s="20"/>
      <c r="I26" s="32"/>
      <c r="J26" s="32"/>
      <c r="K26" s="32"/>
      <c r="L26" s="32"/>
      <c r="M26" s="32"/>
      <c r="N26" s="32"/>
    </row>
    <row r="27" spans="1:14" ht="15">
      <c r="A27" s="51"/>
      <c r="B27" s="51"/>
      <c r="C27" s="51" t="s">
        <v>70</v>
      </c>
      <c r="D27" s="51"/>
      <c r="E27" s="34"/>
      <c r="F27" s="21"/>
      <c r="G27" s="35"/>
      <c r="H27" s="20"/>
      <c r="I27" s="35"/>
      <c r="J27" s="35">
        <f>E27-G27+I27</f>
        <v>0</v>
      </c>
      <c r="K27" s="35"/>
      <c r="L27" s="35">
        <f>J27-K27</f>
        <v>0</v>
      </c>
      <c r="M27" s="35">
        <v>0</v>
      </c>
      <c r="N27" s="35">
        <f>(L27+M27)/2</f>
        <v>0</v>
      </c>
    </row>
    <row r="28" spans="1:14" ht="15">
      <c r="A28" s="51"/>
      <c r="B28" s="51"/>
      <c r="C28" s="51"/>
      <c r="D28" s="51"/>
      <c r="E28" s="34"/>
      <c r="F28" s="21"/>
      <c r="G28" s="51"/>
      <c r="H28" s="20"/>
      <c r="I28" s="35"/>
      <c r="J28" s="35">
        <f>E28-G28+I28</f>
        <v>0</v>
      </c>
      <c r="K28" s="35"/>
      <c r="L28" s="35">
        <f>J28-K28</f>
        <v>0</v>
      </c>
      <c r="M28" s="35">
        <v>0</v>
      </c>
      <c r="N28" s="35">
        <f>(L28+M28)/2</f>
        <v>0</v>
      </c>
    </row>
    <row r="29" spans="1:14" ht="15">
      <c r="A29" s="51"/>
      <c r="B29" s="51"/>
      <c r="C29" s="51"/>
      <c r="D29" s="36" t="s">
        <v>17</v>
      </c>
      <c r="E29" s="37">
        <f>E27+E28</f>
        <v>0</v>
      </c>
      <c r="F29" s="21"/>
      <c r="G29" s="38">
        <f>G27+G28</f>
        <v>0</v>
      </c>
      <c r="H29" s="20"/>
      <c r="I29" s="38">
        <f aca="true" t="shared" si="5" ref="I29:N29">I27+I28</f>
        <v>0</v>
      </c>
      <c r="J29" s="38">
        <f t="shared" si="5"/>
        <v>0</v>
      </c>
      <c r="K29" s="38">
        <f t="shared" si="5"/>
        <v>0</v>
      </c>
      <c r="L29" s="38">
        <f t="shared" si="5"/>
        <v>0</v>
      </c>
      <c r="M29" s="38">
        <f t="shared" si="5"/>
        <v>0</v>
      </c>
      <c r="N29" s="38">
        <f t="shared" si="5"/>
        <v>0</v>
      </c>
    </row>
    <row r="30" spans="1:14" ht="15">
      <c r="A30" s="51"/>
      <c r="B30" s="31" t="s">
        <v>18</v>
      </c>
      <c r="C30" s="51"/>
      <c r="D30" s="51"/>
      <c r="E30" s="39"/>
      <c r="F30" s="21"/>
      <c r="G30" s="33"/>
      <c r="H30" s="20"/>
      <c r="I30" s="32"/>
      <c r="J30" s="32"/>
      <c r="K30" s="32"/>
      <c r="L30" s="32"/>
      <c r="M30" s="32"/>
      <c r="N30" s="32"/>
    </row>
    <row r="31" spans="1:14" ht="15">
      <c r="A31" s="51"/>
      <c r="B31" s="51"/>
      <c r="C31" s="51" t="s">
        <v>71</v>
      </c>
      <c r="D31" s="51"/>
      <c r="E31" s="68">
        <v>27377</v>
      </c>
      <c r="F31" s="21"/>
      <c r="G31" s="57"/>
      <c r="H31" s="20"/>
      <c r="I31" s="58"/>
      <c r="J31" s="35">
        <f>E31-G31+I31</f>
        <v>27377</v>
      </c>
      <c r="K31" s="35"/>
      <c r="L31" s="35">
        <f>J31-K31</f>
        <v>27377</v>
      </c>
      <c r="M31" s="57">
        <v>16426</v>
      </c>
      <c r="N31" s="35">
        <f>(L31+M31)/2</f>
        <v>21901.5</v>
      </c>
    </row>
    <row r="32" spans="1:14" ht="15">
      <c r="A32" s="51"/>
      <c r="B32" s="51"/>
      <c r="C32" s="51"/>
      <c r="D32" s="51"/>
      <c r="E32" s="60"/>
      <c r="F32" s="21"/>
      <c r="G32" s="19"/>
      <c r="H32" s="21"/>
      <c r="I32" s="19"/>
      <c r="J32" s="41">
        <f>E32-G32+I32</f>
        <v>0</v>
      </c>
      <c r="K32" s="41"/>
      <c r="L32" s="41">
        <f>J32-K32</f>
        <v>0</v>
      </c>
      <c r="M32" s="19">
        <v>0</v>
      </c>
      <c r="N32" s="41">
        <f>(L32+M32)/2</f>
        <v>0</v>
      </c>
    </row>
    <row r="33" spans="1:14" ht="15">
      <c r="A33" s="51"/>
      <c r="B33" s="51"/>
      <c r="C33" s="51"/>
      <c r="D33" s="36" t="s">
        <v>19</v>
      </c>
      <c r="E33" s="37">
        <f>SUM(E31:E32)</f>
        <v>27377</v>
      </c>
      <c r="F33" s="21"/>
      <c r="G33" s="38">
        <f>SUM(G31:G32)</f>
        <v>0</v>
      </c>
      <c r="H33" s="20"/>
      <c r="I33" s="38">
        <f aca="true" t="shared" si="6" ref="I33:N33">SUM(I31:I32)</f>
        <v>0</v>
      </c>
      <c r="J33" s="38">
        <f t="shared" si="6"/>
        <v>27377</v>
      </c>
      <c r="K33" s="38">
        <f t="shared" si="6"/>
        <v>0</v>
      </c>
      <c r="L33" s="38">
        <f t="shared" si="6"/>
        <v>27377</v>
      </c>
      <c r="M33" s="38">
        <f t="shared" si="6"/>
        <v>16426</v>
      </c>
      <c r="N33" s="38">
        <f t="shared" si="6"/>
        <v>21901.5</v>
      </c>
    </row>
    <row r="34" spans="1:14" ht="15">
      <c r="A34" s="51"/>
      <c r="B34" s="51"/>
      <c r="C34" s="51" t="s">
        <v>30</v>
      </c>
      <c r="D34" s="51"/>
      <c r="E34" s="39">
        <f>E18+E25+E29+E33</f>
        <v>454803</v>
      </c>
      <c r="F34" s="20"/>
      <c r="G34" s="32">
        <f>G18+G25+G29+G33</f>
        <v>6167</v>
      </c>
      <c r="H34" s="20"/>
      <c r="I34" s="32">
        <f aca="true" t="shared" si="7" ref="I34:N34">I18+I25+I29+I33</f>
        <v>6167</v>
      </c>
      <c r="J34" s="32">
        <f t="shared" si="7"/>
        <v>454803</v>
      </c>
      <c r="K34" s="32">
        <f t="shared" si="7"/>
        <v>4510</v>
      </c>
      <c r="L34" s="32">
        <f t="shared" si="7"/>
        <v>450293</v>
      </c>
      <c r="M34" s="32">
        <f t="shared" si="7"/>
        <v>289299</v>
      </c>
      <c r="N34" s="32">
        <f t="shared" si="7"/>
        <v>369796</v>
      </c>
    </row>
    <row r="35" spans="1:14" ht="15">
      <c r="A35" s="51"/>
      <c r="B35" s="50" t="s">
        <v>20</v>
      </c>
      <c r="C35" s="51"/>
      <c r="D35" s="51"/>
      <c r="E35" s="34"/>
      <c r="F35" s="20"/>
      <c r="G35" s="35"/>
      <c r="H35" s="20"/>
      <c r="I35" s="35"/>
      <c r="J35" s="35">
        <f>E35-G35+I35</f>
        <v>0</v>
      </c>
      <c r="K35" s="35"/>
      <c r="L35" s="35">
        <f>J35-K35</f>
        <v>0</v>
      </c>
      <c r="M35" s="35"/>
      <c r="N35" s="35">
        <f>(L35+M35)/2</f>
        <v>0</v>
      </c>
    </row>
    <row r="36" spans="1:14" ht="15">
      <c r="A36" s="51"/>
      <c r="B36" s="50"/>
      <c r="C36" s="51"/>
      <c r="D36" s="51"/>
      <c r="E36" s="40"/>
      <c r="F36" s="21"/>
      <c r="G36" s="41"/>
      <c r="H36" s="21"/>
      <c r="I36" s="41"/>
      <c r="J36" s="41">
        <f>E36-G36+I36</f>
        <v>0</v>
      </c>
      <c r="K36" s="41"/>
      <c r="L36" s="41">
        <f>J36-K36</f>
        <v>0</v>
      </c>
      <c r="M36" s="41">
        <v>0</v>
      </c>
      <c r="N36" s="41">
        <f>(L36+M36)/2</f>
        <v>0</v>
      </c>
    </row>
    <row r="37" spans="1:14" ht="15">
      <c r="A37" s="51"/>
      <c r="B37" s="51"/>
      <c r="C37" s="51"/>
      <c r="D37" s="51"/>
      <c r="E37" s="39"/>
      <c r="F37" s="21"/>
      <c r="G37" s="32"/>
      <c r="H37" s="20"/>
      <c r="I37" s="32"/>
      <c r="J37" s="32"/>
      <c r="K37" s="32"/>
      <c r="L37" s="32"/>
      <c r="M37" s="32"/>
      <c r="N37" s="32"/>
    </row>
    <row r="38" spans="1:14" ht="15.75" thickBot="1">
      <c r="A38" s="51"/>
      <c r="B38" s="51"/>
      <c r="C38" s="51"/>
      <c r="D38" s="36" t="s">
        <v>22</v>
      </c>
      <c r="E38" s="40">
        <f>E34+E35+E36</f>
        <v>454803</v>
      </c>
      <c r="F38" s="21"/>
      <c r="G38" s="41">
        <f>G34+G35+G36</f>
        <v>6167</v>
      </c>
      <c r="H38" s="21"/>
      <c r="I38" s="41">
        <f aca="true" t="shared" si="8" ref="I38:N38">I34+I35+I36</f>
        <v>6167</v>
      </c>
      <c r="J38" s="41">
        <f t="shared" si="8"/>
        <v>454803</v>
      </c>
      <c r="K38" s="41">
        <f t="shared" si="8"/>
        <v>4510</v>
      </c>
      <c r="L38" s="41">
        <f t="shared" si="8"/>
        <v>450293</v>
      </c>
      <c r="M38" s="41">
        <f t="shared" si="8"/>
        <v>289299</v>
      </c>
      <c r="N38" s="41">
        <f t="shared" si="8"/>
        <v>369796</v>
      </c>
    </row>
    <row r="39" spans="1:14" ht="15.75" thickTop="1">
      <c r="A39" s="51"/>
      <c r="B39" s="51"/>
      <c r="C39" s="51"/>
      <c r="D39" s="65" t="s">
        <v>50</v>
      </c>
      <c r="E39" s="79">
        <f>(-(ROUND([1]!TBLink("Trial Balance I","BOOKED[3]","3110.00","2","3"),0)))</f>
        <v>454803</v>
      </c>
      <c r="F39" s="64"/>
      <c r="G39" s="43"/>
      <c r="H39" s="64"/>
      <c r="I39" s="43"/>
      <c r="J39" s="79">
        <f>(-(ROUND([1]!TBLink("Trial Balance I","ADJCS[3]","3110.00","2","3"),0)))</f>
        <v>454803</v>
      </c>
      <c r="K39" s="43"/>
      <c r="L39" s="79">
        <f>(-(ROUND([1]!TBLink("Trial Balance I","FINAL[7]","3110.00","2","3"),0)))</f>
        <v>450293</v>
      </c>
      <c r="M39" s="43"/>
      <c r="N39" s="43"/>
    </row>
    <row r="40" spans="1:14" ht="15">
      <c r="A40" s="51"/>
      <c r="B40" s="51"/>
      <c r="C40" s="51"/>
      <c r="D40" s="63"/>
      <c r="E40" s="69">
        <f>E38-E39</f>
        <v>0</v>
      </c>
      <c r="F40" s="64"/>
      <c r="G40" s="62"/>
      <c r="H40" s="64"/>
      <c r="I40" s="62"/>
      <c r="J40" s="75">
        <f>J38-J39</f>
        <v>0</v>
      </c>
      <c r="K40" s="62"/>
      <c r="L40" s="75">
        <f>L38-L39</f>
        <v>0</v>
      </c>
      <c r="M40" s="62"/>
      <c r="N40" s="62"/>
    </row>
    <row r="41" spans="1:14" ht="15">
      <c r="A41" s="51"/>
      <c r="B41" s="51"/>
      <c r="C41" s="51"/>
      <c r="D41" s="51"/>
      <c r="E41" s="61"/>
      <c r="F41" s="22"/>
      <c r="G41" s="62"/>
      <c r="H41" s="64"/>
      <c r="I41" s="62"/>
      <c r="J41" s="62"/>
      <c r="K41" s="62"/>
      <c r="L41" s="62"/>
      <c r="M41" s="62"/>
      <c r="N41" s="62"/>
    </row>
    <row r="42" spans="1:14" ht="15">
      <c r="A42" s="51"/>
      <c r="B42" s="51" t="s">
        <v>31</v>
      </c>
      <c r="C42" s="51"/>
      <c r="D42" s="51"/>
      <c r="E42" s="68">
        <f>(-(ROUND([1]!TBLink("Trial Balance I","BOOKED[3]","40400","16","3"),2)))</f>
        <v>0</v>
      </c>
      <c r="F42" s="20"/>
      <c r="G42" s="51"/>
      <c r="H42" s="20"/>
      <c r="I42" s="51"/>
      <c r="J42" s="35">
        <f>E42-G42+I42</f>
        <v>0</v>
      </c>
      <c r="K42" s="51"/>
      <c r="L42" s="35">
        <f>J42-K42</f>
        <v>0</v>
      </c>
      <c r="M42" s="57"/>
      <c r="N42" s="35">
        <f>(L42+M42)/2</f>
        <v>0</v>
      </c>
    </row>
    <row r="43" spans="13:14" ht="15">
      <c r="M43" s="5"/>
      <c r="N43" s="5"/>
    </row>
    <row r="44" spans="13:14" ht="15">
      <c r="M44" s="5"/>
      <c r="N44" s="5"/>
    </row>
    <row r="45" spans="2:14" ht="15">
      <c r="B45" s="9"/>
      <c r="D45" s="3"/>
      <c r="M45" s="5"/>
      <c r="N45" s="5"/>
    </row>
    <row r="46" spans="13:14" ht="15">
      <c r="M46" s="5"/>
      <c r="N46" s="5"/>
    </row>
  </sheetData>
  <sheetProtection/>
  <printOptions/>
  <pageMargins left="0.5" right="0.25" top="0.75" bottom="0.55" header="0" footer="0.25"/>
  <pageSetup fitToHeight="1" fitToWidth="1" horizontalDpi="600" verticalDpi="600" orientation="landscape" scale="79" r:id="rId1"/>
  <headerFooter alignWithMargins="0">
    <oddFooter>&amp;LJW &amp;A&amp;CPAGE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OutlineSymbols="0" zoomScale="87" zoomScaleNormal="87" zoomScalePageLayoutView="0" workbookViewId="0" topLeftCell="A19">
      <selection activeCell="J19" sqref="J19"/>
    </sheetView>
  </sheetViews>
  <sheetFormatPr defaultColWidth="9.6640625" defaultRowHeight="15"/>
  <cols>
    <col min="1" max="3" width="2.6640625" style="1" customWidth="1"/>
    <col min="4" max="4" width="26.6640625" style="1" customWidth="1"/>
    <col min="5" max="5" width="13.6640625" style="1" customWidth="1"/>
    <col min="6" max="6" width="3.77734375" style="17" customWidth="1"/>
    <col min="7" max="7" width="10.6640625" style="1" customWidth="1"/>
    <col min="8" max="8" width="3.77734375" style="17" customWidth="1"/>
    <col min="9" max="11" width="10.6640625" style="1" customWidth="1"/>
    <col min="12" max="14" width="11.6640625" style="1" customWidth="1"/>
    <col min="15" max="16384" width="9.6640625" style="1" customWidth="1"/>
  </cols>
  <sheetData>
    <row r="1" spans="1:15" ht="15">
      <c r="A1" s="48"/>
      <c r="B1" s="50" t="str">
        <f>PLANT!B1</f>
        <v>WEAVTEL</v>
      </c>
      <c r="C1" s="50"/>
      <c r="D1" s="50"/>
      <c r="E1" s="50"/>
      <c r="F1" s="22"/>
      <c r="G1" s="71"/>
      <c r="H1" s="72" t="s">
        <v>52</v>
      </c>
      <c r="I1" s="73" t="s">
        <v>53</v>
      </c>
      <c r="J1" s="50"/>
      <c r="K1" s="50"/>
      <c r="L1" s="50"/>
      <c r="M1" s="50"/>
      <c r="N1" s="50"/>
      <c r="O1" s="51"/>
    </row>
    <row r="2" spans="1:15" ht="15">
      <c r="A2" s="51"/>
      <c r="B2" s="50" t="s">
        <v>32</v>
      </c>
      <c r="C2" s="50"/>
      <c r="D2" s="50"/>
      <c r="E2" s="50"/>
      <c r="F2" s="20"/>
      <c r="G2" s="50"/>
      <c r="H2" s="20"/>
      <c r="I2" s="50"/>
      <c r="J2" s="50"/>
      <c r="K2" s="50"/>
      <c r="L2" s="50"/>
      <c r="M2" s="50"/>
      <c r="N2" s="50"/>
      <c r="O2" s="51"/>
    </row>
    <row r="3" spans="1:15" ht="15">
      <c r="A3" s="51"/>
      <c r="B3" s="50" t="str">
        <f>PLANT!B3</f>
        <v>FOR THE STUDY YEAR ENDED DECEMBER 31, 2008</v>
      </c>
      <c r="C3" s="50"/>
      <c r="D3" s="50"/>
      <c r="E3" s="50"/>
      <c r="F3" s="20"/>
      <c r="G3" s="50"/>
      <c r="H3" s="20"/>
      <c r="I3" s="27"/>
      <c r="J3" s="27"/>
      <c r="K3" s="27"/>
      <c r="L3" s="50"/>
      <c r="M3" s="50"/>
      <c r="N3" s="27"/>
      <c r="O3" s="51"/>
    </row>
    <row r="4" spans="1:15" ht="15">
      <c r="A4" s="51"/>
      <c r="B4" s="50"/>
      <c r="C4" s="50"/>
      <c r="D4" s="50"/>
      <c r="E4" s="50"/>
      <c r="F4" s="20"/>
      <c r="G4" s="50"/>
      <c r="H4" s="20"/>
      <c r="I4" s="27"/>
      <c r="J4" s="27"/>
      <c r="K4" s="27"/>
      <c r="L4" s="27"/>
      <c r="M4" s="50"/>
      <c r="N4" s="50"/>
      <c r="O4" s="51"/>
    </row>
    <row r="5" spans="1:15" ht="15">
      <c r="A5" s="51"/>
      <c r="B5" s="50"/>
      <c r="C5" s="50"/>
      <c r="D5" s="50"/>
      <c r="E5" s="28" t="s">
        <v>1</v>
      </c>
      <c r="F5" s="20"/>
      <c r="G5" s="50"/>
      <c r="H5" s="20"/>
      <c r="I5" s="50"/>
      <c r="J5" s="28" t="s">
        <v>2</v>
      </c>
      <c r="K5" s="28" t="s">
        <v>3</v>
      </c>
      <c r="L5" s="28" t="s">
        <v>1</v>
      </c>
      <c r="M5" s="28" t="s">
        <v>1</v>
      </c>
      <c r="N5" s="28" t="s">
        <v>4</v>
      </c>
      <c r="O5" s="51"/>
    </row>
    <row r="6" spans="1:15" ht="15">
      <c r="A6" s="51"/>
      <c r="B6" s="50"/>
      <c r="C6" s="50"/>
      <c r="D6" s="50"/>
      <c r="E6" s="28" t="s">
        <v>5</v>
      </c>
      <c r="F6" s="20"/>
      <c r="G6" s="29" t="s">
        <v>6</v>
      </c>
      <c r="H6" s="18"/>
      <c r="I6" s="29"/>
      <c r="J6" s="28" t="s">
        <v>7</v>
      </c>
      <c r="K6" s="28" t="s">
        <v>8</v>
      </c>
      <c r="L6" s="28" t="s">
        <v>7</v>
      </c>
      <c r="M6" s="28" t="s">
        <v>7</v>
      </c>
      <c r="N6" s="28" t="s">
        <v>7</v>
      </c>
      <c r="O6" s="51"/>
    </row>
    <row r="7" spans="1:15" ht="15">
      <c r="A7" s="51"/>
      <c r="B7" s="50"/>
      <c r="C7" s="50"/>
      <c r="D7" s="50"/>
      <c r="E7" s="28" t="str">
        <f>'ACCUM DEPR'!E7</f>
        <v>12/31/08</v>
      </c>
      <c r="F7" s="20"/>
      <c r="G7" s="28" t="s">
        <v>9</v>
      </c>
      <c r="H7" s="20"/>
      <c r="I7" s="28" t="s">
        <v>10</v>
      </c>
      <c r="J7" s="28" t="str">
        <f>E7</f>
        <v>12/31/08</v>
      </c>
      <c r="K7" s="28" t="s">
        <v>11</v>
      </c>
      <c r="L7" s="28" t="str">
        <f>E7</f>
        <v>12/31/08</v>
      </c>
      <c r="M7" s="28" t="str">
        <f>'ACCUM DEPR'!M7</f>
        <v>12/31/07</v>
      </c>
      <c r="N7" s="28" t="str">
        <f>'ACCUM DEPR'!N7</f>
        <v>12/31/08</v>
      </c>
      <c r="O7" s="51"/>
    </row>
    <row r="8" spans="1:15" ht="15">
      <c r="A8" s="51"/>
      <c r="B8" s="31" t="s">
        <v>33</v>
      </c>
      <c r="C8" s="51"/>
      <c r="D8" s="51"/>
      <c r="E8" s="33"/>
      <c r="F8" s="15"/>
      <c r="G8" s="33"/>
      <c r="H8" s="15"/>
      <c r="I8" s="33"/>
      <c r="J8" s="33"/>
      <c r="K8" s="33"/>
      <c r="L8" s="33"/>
      <c r="M8" s="33"/>
      <c r="N8" s="32"/>
      <c r="O8" s="51"/>
    </row>
    <row r="9" spans="1:15" ht="15">
      <c r="A9" s="51"/>
      <c r="B9" s="51"/>
      <c r="C9" s="51" t="s">
        <v>12</v>
      </c>
      <c r="D9" s="51"/>
      <c r="E9" s="34"/>
      <c r="F9" s="16"/>
      <c r="G9" s="51"/>
      <c r="H9" s="15"/>
      <c r="I9" s="35"/>
      <c r="J9" s="35">
        <f>E9+G9-I9</f>
        <v>0</v>
      </c>
      <c r="K9" s="35"/>
      <c r="L9" s="35">
        <f>J9-K9</f>
        <v>0</v>
      </c>
      <c r="M9" s="35">
        <v>0</v>
      </c>
      <c r="N9" s="35">
        <f>(L9+M9)/2</f>
        <v>0</v>
      </c>
      <c r="O9" s="51"/>
    </row>
    <row r="10" spans="1:15" ht="15">
      <c r="A10" s="51"/>
      <c r="B10" s="51"/>
      <c r="C10" s="51"/>
      <c r="D10" s="51"/>
      <c r="E10" s="34"/>
      <c r="F10" s="16"/>
      <c r="G10" s="51"/>
      <c r="H10" s="15"/>
      <c r="I10" s="35"/>
      <c r="J10" s="35"/>
      <c r="K10" s="35"/>
      <c r="L10" s="35"/>
      <c r="M10" s="35"/>
      <c r="N10" s="35"/>
      <c r="O10" s="51"/>
    </row>
    <row r="11" spans="1:15" ht="15">
      <c r="A11" s="51"/>
      <c r="B11" s="51"/>
      <c r="C11" s="51" t="s">
        <v>14</v>
      </c>
      <c r="D11" s="51"/>
      <c r="E11" s="34"/>
      <c r="F11" s="15"/>
      <c r="G11" s="35"/>
      <c r="H11" s="15"/>
      <c r="I11" s="35"/>
      <c r="J11" s="35">
        <f>E11+G11-I11</f>
        <v>0</v>
      </c>
      <c r="K11" s="35"/>
      <c r="L11" s="35">
        <f>J11-K11</f>
        <v>0</v>
      </c>
      <c r="M11" s="35">
        <v>0</v>
      </c>
      <c r="N11" s="35">
        <f>(L11+M11)/2</f>
        <v>0</v>
      </c>
      <c r="O11" s="51"/>
    </row>
    <row r="12" spans="1:15" ht="15">
      <c r="A12" s="51"/>
      <c r="B12" s="51"/>
      <c r="C12" s="51"/>
      <c r="D12" s="51"/>
      <c r="E12" s="34"/>
      <c r="F12" s="15"/>
      <c r="G12" s="51"/>
      <c r="H12" s="15"/>
      <c r="I12" s="35"/>
      <c r="J12" s="35"/>
      <c r="K12" s="35"/>
      <c r="L12" s="35"/>
      <c r="M12" s="35"/>
      <c r="N12" s="35"/>
      <c r="O12" s="51"/>
    </row>
    <row r="13" spans="1:15" ht="15">
      <c r="A13" s="51"/>
      <c r="B13" s="51"/>
      <c r="C13" s="51" t="s">
        <v>16</v>
      </c>
      <c r="D13" s="51"/>
      <c r="E13" s="51"/>
      <c r="F13" s="16"/>
      <c r="G13" s="51"/>
      <c r="H13" s="15"/>
      <c r="I13" s="35"/>
      <c r="J13" s="35">
        <f>E13+G13-I13</f>
        <v>0</v>
      </c>
      <c r="K13" s="35"/>
      <c r="L13" s="35">
        <f>J13-K13</f>
        <v>0</v>
      </c>
      <c r="M13" s="35">
        <v>0</v>
      </c>
      <c r="N13" s="35">
        <f>(L13+M13)/2</f>
        <v>0</v>
      </c>
      <c r="O13" s="51"/>
    </row>
    <row r="14" spans="1:15" ht="15">
      <c r="A14" s="51"/>
      <c r="B14" s="51"/>
      <c r="C14" s="51"/>
      <c r="D14" s="51"/>
      <c r="E14" s="51"/>
      <c r="F14" s="16"/>
      <c r="G14" s="51"/>
      <c r="H14" s="15"/>
      <c r="I14" s="35"/>
      <c r="J14" s="35"/>
      <c r="K14" s="35"/>
      <c r="L14" s="35"/>
      <c r="M14" s="35"/>
      <c r="N14" s="35"/>
      <c r="O14" s="51"/>
    </row>
    <row r="15" spans="1:15" ht="15">
      <c r="A15" s="51"/>
      <c r="B15" s="51"/>
      <c r="C15" s="51" t="s">
        <v>18</v>
      </c>
      <c r="D15" s="51"/>
      <c r="E15" s="51"/>
      <c r="F15" s="16"/>
      <c r="G15" s="41"/>
      <c r="H15" s="15"/>
      <c r="I15" s="41"/>
      <c r="J15" s="41">
        <f>E15+G15-I15</f>
        <v>0</v>
      </c>
      <c r="K15" s="41"/>
      <c r="L15" s="41">
        <f>J15-K15</f>
        <v>0</v>
      </c>
      <c r="M15" s="41">
        <v>0</v>
      </c>
      <c r="N15" s="41">
        <f>(L15+M15)/2</f>
        <v>0</v>
      </c>
      <c r="O15" s="51"/>
    </row>
    <row r="16" spans="1:15" ht="15">
      <c r="A16" s="51"/>
      <c r="B16" s="51"/>
      <c r="C16" s="51"/>
      <c r="D16" s="51"/>
      <c r="E16" s="39"/>
      <c r="F16" s="16"/>
      <c r="G16" s="32"/>
      <c r="H16" s="16"/>
      <c r="I16" s="32"/>
      <c r="J16" s="32"/>
      <c r="K16" s="32"/>
      <c r="L16" s="32"/>
      <c r="M16" s="33"/>
      <c r="N16" s="32"/>
      <c r="O16" s="51"/>
    </row>
    <row r="17" spans="1:15" ht="15">
      <c r="A17" s="51"/>
      <c r="B17" s="51"/>
      <c r="C17" s="51"/>
      <c r="D17" s="36" t="s">
        <v>22</v>
      </c>
      <c r="E17" s="40">
        <f>SUM(E9:E15)</f>
        <v>0</v>
      </c>
      <c r="F17" s="16"/>
      <c r="G17" s="41">
        <f>SUM(G9:G15)</f>
        <v>0</v>
      </c>
      <c r="H17" s="16"/>
      <c r="I17" s="41">
        <f aca="true" t="shared" si="0" ref="I17:N17">SUM(I9:I15)</f>
        <v>0</v>
      </c>
      <c r="J17" s="41">
        <f t="shared" si="0"/>
        <v>0</v>
      </c>
      <c r="K17" s="41">
        <f t="shared" si="0"/>
        <v>0</v>
      </c>
      <c r="L17" s="41">
        <f t="shared" si="0"/>
        <v>0</v>
      </c>
      <c r="M17" s="41">
        <f t="shared" si="0"/>
        <v>0</v>
      </c>
      <c r="N17" s="41">
        <f t="shared" si="0"/>
        <v>0</v>
      </c>
      <c r="O17" s="51"/>
    </row>
    <row r="18" spans="1:15" ht="15">
      <c r="A18" s="51"/>
      <c r="B18" s="51"/>
      <c r="C18" s="51"/>
      <c r="D18" s="51"/>
      <c r="E18" s="42"/>
      <c r="F18" s="16"/>
      <c r="G18" s="43"/>
      <c r="H18" s="16"/>
      <c r="I18" s="43"/>
      <c r="J18" s="43"/>
      <c r="K18" s="43"/>
      <c r="L18" s="43"/>
      <c r="M18" s="26"/>
      <c r="N18" s="43"/>
      <c r="O18" s="51"/>
    </row>
    <row r="19" spans="1:15" ht="15">
      <c r="A19" s="51"/>
      <c r="B19" s="31" t="s">
        <v>34</v>
      </c>
      <c r="C19" s="51"/>
      <c r="D19" s="51"/>
      <c r="E19" s="51"/>
      <c r="F19" s="16"/>
      <c r="G19" s="51"/>
      <c r="H19" s="15"/>
      <c r="I19" s="35"/>
      <c r="J19" s="35"/>
      <c r="K19" s="35"/>
      <c r="L19" s="51"/>
      <c r="M19" s="51"/>
      <c r="N19" s="35"/>
      <c r="O19" s="51"/>
    </row>
    <row r="20" spans="1:15" ht="15">
      <c r="A20" s="51"/>
      <c r="B20" s="51"/>
      <c r="C20" s="51" t="s">
        <v>12</v>
      </c>
      <c r="D20" s="51"/>
      <c r="E20" s="34"/>
      <c r="F20" s="16"/>
      <c r="G20" s="51"/>
      <c r="H20" s="15"/>
      <c r="I20" s="35"/>
      <c r="J20" s="35">
        <f>E20+G20-I20</f>
        <v>0</v>
      </c>
      <c r="K20" s="35"/>
      <c r="L20" s="35">
        <f>J20-K20</f>
        <v>0</v>
      </c>
      <c r="M20" s="57"/>
      <c r="N20" s="35">
        <f>(L20+M20)/2</f>
        <v>0</v>
      </c>
      <c r="O20" s="51"/>
    </row>
    <row r="21" spans="1:15" ht="15">
      <c r="A21" s="51"/>
      <c r="B21" s="51"/>
      <c r="C21" s="51"/>
      <c r="D21" s="51"/>
      <c r="E21" s="34"/>
      <c r="F21" s="16"/>
      <c r="G21" s="51"/>
      <c r="H21" s="15"/>
      <c r="I21" s="35"/>
      <c r="J21" s="35"/>
      <c r="K21" s="35"/>
      <c r="L21" s="35"/>
      <c r="M21" s="57"/>
      <c r="N21" s="35"/>
      <c r="O21" s="51"/>
    </row>
    <row r="22" spans="1:15" ht="15">
      <c r="A22" s="51"/>
      <c r="B22" s="51"/>
      <c r="C22" s="51" t="s">
        <v>14</v>
      </c>
      <c r="D22" s="51"/>
      <c r="E22" s="76">
        <v>447</v>
      </c>
      <c r="F22" s="16"/>
      <c r="G22" s="35"/>
      <c r="H22" s="15"/>
      <c r="I22" s="35"/>
      <c r="J22" s="35">
        <f>E22+G22-I22</f>
        <v>447</v>
      </c>
      <c r="K22" s="35"/>
      <c r="L22" s="35">
        <f>J22-K22</f>
        <v>447</v>
      </c>
      <c r="M22" s="80">
        <f>(ROUND([1]!TBLink("Trial Balance I","1st PP-FINAL[200]","2003.30","2","3"),0))</f>
        <v>0</v>
      </c>
      <c r="N22" s="35">
        <f>(L22+M22)/2</f>
        <v>223.5</v>
      </c>
      <c r="O22" s="51"/>
    </row>
    <row r="23" spans="1:15" ht="15">
      <c r="A23" s="51"/>
      <c r="B23" s="51"/>
      <c r="C23" s="51"/>
      <c r="D23" s="51"/>
      <c r="E23" s="51"/>
      <c r="F23" s="16"/>
      <c r="G23" s="51"/>
      <c r="H23" s="15"/>
      <c r="I23" s="35"/>
      <c r="J23" s="35"/>
      <c r="K23" s="35"/>
      <c r="L23" s="35"/>
      <c r="M23" s="57"/>
      <c r="N23" s="35"/>
      <c r="O23" s="51"/>
    </row>
    <row r="24" spans="1:15" ht="15">
      <c r="A24" s="51"/>
      <c r="B24" s="51"/>
      <c r="C24" s="51" t="s">
        <v>16</v>
      </c>
      <c r="D24" s="51"/>
      <c r="E24" s="51"/>
      <c r="F24" s="16"/>
      <c r="G24" s="51"/>
      <c r="H24" s="15"/>
      <c r="I24" s="35"/>
      <c r="J24" s="35">
        <f>E24+G24-I24</f>
        <v>0</v>
      </c>
      <c r="K24" s="35"/>
      <c r="L24" s="35">
        <f>J24-K24</f>
        <v>0</v>
      </c>
      <c r="M24" s="57">
        <v>0</v>
      </c>
      <c r="N24" s="35">
        <f>(L24+M24)/2</f>
        <v>0</v>
      </c>
      <c r="O24" s="51"/>
    </row>
    <row r="25" spans="1:15" ht="15">
      <c r="A25" s="51"/>
      <c r="B25" s="51"/>
      <c r="C25" s="51"/>
      <c r="D25" s="51"/>
      <c r="E25" s="51"/>
      <c r="F25" s="16"/>
      <c r="G25" s="51"/>
      <c r="H25" s="15"/>
      <c r="I25" s="35"/>
      <c r="J25" s="35"/>
      <c r="K25" s="35"/>
      <c r="L25" s="35"/>
      <c r="M25" s="57"/>
      <c r="N25" s="35"/>
      <c r="O25" s="51"/>
    </row>
    <row r="26" spans="1:15" ht="15">
      <c r="A26" s="51"/>
      <c r="B26" s="51"/>
      <c r="C26" s="51" t="s">
        <v>18</v>
      </c>
      <c r="D26" s="51"/>
      <c r="E26" s="34"/>
      <c r="F26" s="16"/>
      <c r="G26" s="51"/>
      <c r="H26" s="15"/>
      <c r="I26" s="35"/>
      <c r="J26" s="35">
        <f>E26+G26-I26</f>
        <v>0</v>
      </c>
      <c r="K26" s="35"/>
      <c r="L26" s="35">
        <f>J26-K26</f>
        <v>0</v>
      </c>
      <c r="M26" s="57">
        <v>0</v>
      </c>
      <c r="N26" s="35">
        <f>(L26+M26)/2</f>
        <v>0</v>
      </c>
      <c r="O26" s="51"/>
    </row>
    <row r="27" spans="1:15" ht="15">
      <c r="A27" s="51"/>
      <c r="B27" s="51"/>
      <c r="C27" s="51"/>
      <c r="D27" s="51"/>
      <c r="E27" s="34"/>
      <c r="F27" s="16"/>
      <c r="G27" s="35"/>
      <c r="H27" s="16"/>
      <c r="I27" s="35"/>
      <c r="J27" s="35"/>
      <c r="K27" s="35"/>
      <c r="L27" s="35"/>
      <c r="M27" s="57"/>
      <c r="N27" s="35"/>
      <c r="O27" s="51"/>
    </row>
    <row r="28" spans="1:15" ht="15">
      <c r="A28" s="51"/>
      <c r="B28" s="51"/>
      <c r="C28" s="51" t="s">
        <v>72</v>
      </c>
      <c r="D28" s="51"/>
      <c r="E28" s="76">
        <f>(ROUND([1]!TBLink("Trial Balance I","BOOKED[3]","2003.30","2","3"),0))</f>
        <v>18968</v>
      </c>
      <c r="F28" s="16"/>
      <c r="G28" s="35"/>
      <c r="H28" s="16">
        <v>9</v>
      </c>
      <c r="I28" s="35">
        <f>E28</f>
        <v>18968</v>
      </c>
      <c r="J28" s="35">
        <f>E28+G28-I28</f>
        <v>0</v>
      </c>
      <c r="K28" s="35"/>
      <c r="L28" s="35">
        <f>J28-K28</f>
        <v>0</v>
      </c>
      <c r="M28" s="57">
        <v>0</v>
      </c>
      <c r="N28" s="35">
        <f>(L28+M28)/2</f>
        <v>0</v>
      </c>
      <c r="O28" s="51"/>
    </row>
    <row r="29" spans="1:15" ht="15">
      <c r="A29" s="51"/>
      <c r="B29" s="51"/>
      <c r="C29" s="51"/>
      <c r="D29" s="51"/>
      <c r="E29" s="40"/>
      <c r="F29" s="16"/>
      <c r="G29" s="41"/>
      <c r="H29" s="16"/>
      <c r="I29" s="41"/>
      <c r="J29" s="41">
        <f>E29+G29-I29</f>
        <v>0</v>
      </c>
      <c r="K29" s="41"/>
      <c r="L29" s="41">
        <f>J29-K29</f>
        <v>0</v>
      </c>
      <c r="M29" s="19">
        <v>0</v>
      </c>
      <c r="N29" s="41">
        <f>(L29+M29)/2</f>
        <v>0</v>
      </c>
      <c r="O29" s="51"/>
    </row>
    <row r="30" spans="1:15" ht="15">
      <c r="A30" s="51"/>
      <c r="B30" s="51"/>
      <c r="C30" s="51"/>
      <c r="D30" s="51"/>
      <c r="E30" s="39"/>
      <c r="F30" s="16"/>
      <c r="G30" s="32"/>
      <c r="H30" s="16"/>
      <c r="I30" s="32"/>
      <c r="J30" s="32"/>
      <c r="K30" s="32"/>
      <c r="L30" s="32"/>
      <c r="M30" s="33"/>
      <c r="N30" s="32"/>
      <c r="O30" s="51"/>
    </row>
    <row r="31" spans="1:15" ht="15.75" thickBot="1">
      <c r="A31" s="51"/>
      <c r="B31" s="51"/>
      <c r="C31" s="51"/>
      <c r="D31" s="36" t="s">
        <v>22</v>
      </c>
      <c r="E31" s="40">
        <f>SUM(E20:E29)</f>
        <v>19415</v>
      </c>
      <c r="F31" s="16"/>
      <c r="G31" s="41">
        <f>SUM(G20:G29)</f>
        <v>0</v>
      </c>
      <c r="H31" s="16"/>
      <c r="I31" s="41">
        <f aca="true" t="shared" si="1" ref="I31:N31">SUM(I20:I29)</f>
        <v>18968</v>
      </c>
      <c r="J31" s="41">
        <f t="shared" si="1"/>
        <v>447</v>
      </c>
      <c r="K31" s="41">
        <f t="shared" si="1"/>
        <v>0</v>
      </c>
      <c r="L31" s="41">
        <f t="shared" si="1"/>
        <v>447</v>
      </c>
      <c r="M31" s="41">
        <f t="shared" si="1"/>
        <v>0</v>
      </c>
      <c r="N31" s="41">
        <f t="shared" si="1"/>
        <v>223.5</v>
      </c>
      <c r="O31" s="51"/>
    </row>
    <row r="32" spans="1:14" ht="15.75" thickTop="1">
      <c r="A32" s="51"/>
      <c r="B32" s="51"/>
      <c r="C32" s="51"/>
      <c r="D32" s="65" t="s">
        <v>50</v>
      </c>
      <c r="E32" s="79">
        <f>(ROUND([1]!TBLink("Trial Balance I","BOOKED[3]","E1|10","2","2"),0))</f>
        <v>19415</v>
      </c>
      <c r="F32" s="64"/>
      <c r="G32" s="43"/>
      <c r="H32" s="64"/>
      <c r="I32" s="43"/>
      <c r="J32" s="43"/>
      <c r="K32" s="43"/>
      <c r="L32" s="43"/>
      <c r="M32" s="43"/>
      <c r="N32" s="43"/>
    </row>
    <row r="33" spans="1:14" ht="15">
      <c r="A33" s="51"/>
      <c r="B33" s="51"/>
      <c r="C33" s="51"/>
      <c r="D33" s="63"/>
      <c r="E33" s="66">
        <f>E31-E32</f>
        <v>0</v>
      </c>
      <c r="F33" s="64"/>
      <c r="G33" s="62"/>
      <c r="H33" s="64"/>
      <c r="I33" s="62"/>
      <c r="J33" s="62"/>
      <c r="K33" s="62"/>
      <c r="L33" s="62"/>
      <c r="M33" s="62"/>
      <c r="N33" s="62"/>
    </row>
    <row r="34" spans="1:15" ht="15">
      <c r="A34" s="51"/>
      <c r="B34" s="51"/>
      <c r="C34" s="51"/>
      <c r="D34" s="51"/>
      <c r="E34" s="51"/>
      <c r="F34" s="15"/>
      <c r="G34" s="51"/>
      <c r="H34" s="15"/>
      <c r="I34" s="51"/>
      <c r="J34" s="51"/>
      <c r="K34" s="51"/>
      <c r="L34" s="51"/>
      <c r="M34" s="51"/>
      <c r="N34" s="51"/>
      <c r="O34" s="51"/>
    </row>
    <row r="35" spans="1:15" ht="15">
      <c r="A35" s="51"/>
      <c r="B35" s="51"/>
      <c r="C35" s="51"/>
      <c r="D35" s="51"/>
      <c r="E35" s="51"/>
      <c r="F35" s="15"/>
      <c r="G35" s="51"/>
      <c r="H35" s="15"/>
      <c r="I35" s="51"/>
      <c r="J35" s="51"/>
      <c r="K35" s="51"/>
      <c r="L35" s="51"/>
      <c r="M35" s="51"/>
      <c r="N35" s="51"/>
      <c r="O35" s="51"/>
    </row>
    <row r="36" spans="1:15" ht="15">
      <c r="A36" s="51"/>
      <c r="B36" s="51"/>
      <c r="C36" s="51"/>
      <c r="D36" s="51"/>
      <c r="E36" s="51"/>
      <c r="F36" s="15"/>
      <c r="G36" s="51"/>
      <c r="H36" s="15"/>
      <c r="I36" s="51"/>
      <c r="J36" s="51"/>
      <c r="K36" s="51"/>
      <c r="L36" s="51"/>
      <c r="M36" s="51"/>
      <c r="N36" s="51"/>
      <c r="O36" s="51"/>
    </row>
    <row r="37" spans="1:15" ht="15">
      <c r="A37" s="51"/>
      <c r="B37" s="51"/>
      <c r="C37" s="51"/>
      <c r="D37" s="51"/>
      <c r="E37" s="51"/>
      <c r="F37" s="15"/>
      <c r="G37" s="51"/>
      <c r="H37" s="15"/>
      <c r="I37" s="51"/>
      <c r="J37" s="51"/>
      <c r="K37" s="51"/>
      <c r="L37" s="51"/>
      <c r="M37" s="51"/>
      <c r="N37" s="51"/>
      <c r="O37" s="51"/>
    </row>
    <row r="38" spans="1:15" ht="15">
      <c r="A38" s="51"/>
      <c r="B38" s="51"/>
      <c r="C38" s="51"/>
      <c r="D38" s="51"/>
      <c r="E38" s="51"/>
      <c r="F38" s="15"/>
      <c r="G38" s="51"/>
      <c r="H38" s="15"/>
      <c r="I38" s="51"/>
      <c r="J38" s="51"/>
      <c r="K38" s="51"/>
      <c r="L38" s="51"/>
      <c r="M38" s="51"/>
      <c r="N38" s="51"/>
      <c r="O38" s="51"/>
    </row>
  </sheetData>
  <sheetProtection/>
  <printOptions/>
  <pageMargins left="0.5" right="0.25" top="0.75" bottom="0.55" header="0" footer="0"/>
  <pageSetup fitToHeight="1" fitToWidth="1" horizontalDpi="600" verticalDpi="600" orientation="landscape" scale="82" r:id="rId1"/>
  <headerFooter alignWithMargins="0">
    <oddFooter>&amp;LJW &amp;A&amp;CPAGE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OutlineSymbols="0" zoomScale="87" zoomScaleNormal="87" zoomScalePageLayoutView="0" workbookViewId="0" topLeftCell="A1">
      <pane xSplit="4" ySplit="7" topLeftCell="E26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J19" sqref="J19"/>
    </sheetView>
  </sheetViews>
  <sheetFormatPr defaultColWidth="9.6640625" defaultRowHeight="15"/>
  <cols>
    <col min="1" max="3" width="2.6640625" style="1" customWidth="1"/>
    <col min="4" max="4" width="26.6640625" style="1" customWidth="1"/>
    <col min="5" max="5" width="13.6640625" style="1" customWidth="1"/>
    <col min="6" max="6" width="3.77734375" style="25" customWidth="1"/>
    <col min="7" max="7" width="10.6640625" style="1" customWidth="1"/>
    <col min="8" max="8" width="3.77734375" style="25" customWidth="1"/>
    <col min="9" max="11" width="10.6640625" style="1" customWidth="1"/>
    <col min="12" max="14" width="11.6640625" style="1" customWidth="1"/>
    <col min="15" max="16384" width="9.6640625" style="1" customWidth="1"/>
  </cols>
  <sheetData>
    <row r="1" spans="1:15" ht="15">
      <c r="A1" s="48"/>
      <c r="B1" s="50" t="str">
        <f>TPUC!B1</f>
        <v>WEAVTEL</v>
      </c>
      <c r="C1" s="50"/>
      <c r="D1" s="50"/>
      <c r="E1" s="50"/>
      <c r="F1" s="20"/>
      <c r="G1" s="50"/>
      <c r="H1" s="20"/>
      <c r="I1" s="49"/>
      <c r="J1" s="49"/>
      <c r="K1" s="49"/>
      <c r="L1" s="50"/>
      <c r="M1" s="50"/>
      <c r="N1" s="50"/>
      <c r="O1" s="51"/>
    </row>
    <row r="2" spans="1:15" ht="15">
      <c r="A2" s="48"/>
      <c r="B2" s="50" t="s">
        <v>36</v>
      </c>
      <c r="C2" s="50"/>
      <c r="D2" s="50"/>
      <c r="E2" s="50"/>
      <c r="F2" s="20"/>
      <c r="G2" s="50"/>
      <c r="H2" s="20"/>
      <c r="I2" s="50"/>
      <c r="J2" s="50"/>
      <c r="K2" s="50"/>
      <c r="L2" s="50"/>
      <c r="M2" s="50"/>
      <c r="N2" s="50"/>
      <c r="O2" s="51"/>
    </row>
    <row r="3" spans="1:15" ht="15">
      <c r="A3" s="48"/>
      <c r="B3" s="50" t="str">
        <f>TPUC!B3</f>
        <v>FOR THE STUDY YEAR ENDED DECEMBER 31, 2008</v>
      </c>
      <c r="C3" s="50"/>
      <c r="D3" s="50"/>
      <c r="E3" s="50"/>
      <c r="F3" s="20"/>
      <c r="G3" s="50"/>
      <c r="H3" s="20"/>
      <c r="I3" s="50"/>
      <c r="J3" s="50"/>
      <c r="K3" s="50"/>
      <c r="L3" s="50"/>
      <c r="M3" s="50"/>
      <c r="N3" s="27"/>
      <c r="O3" s="51"/>
    </row>
    <row r="4" spans="1:15" ht="15">
      <c r="A4" s="48"/>
      <c r="B4" s="50"/>
      <c r="C4" s="50"/>
      <c r="D4" s="50"/>
      <c r="E4" s="50"/>
      <c r="F4" s="20"/>
      <c r="G4" s="50"/>
      <c r="H4" s="20"/>
      <c r="I4" s="50"/>
      <c r="J4" s="50"/>
      <c r="K4" s="50"/>
      <c r="L4" s="50"/>
      <c r="M4" s="50"/>
      <c r="N4" s="50"/>
      <c r="O4" s="51"/>
    </row>
    <row r="5" spans="1:15" ht="15">
      <c r="A5" s="48"/>
      <c r="B5" s="50"/>
      <c r="C5" s="50"/>
      <c r="D5" s="50"/>
      <c r="E5" s="28" t="s">
        <v>1</v>
      </c>
      <c r="F5" s="20"/>
      <c r="G5" s="50"/>
      <c r="H5" s="20"/>
      <c r="I5" s="50"/>
      <c r="J5" s="28" t="s">
        <v>2</v>
      </c>
      <c r="K5" s="28" t="s">
        <v>3</v>
      </c>
      <c r="L5" s="28" t="s">
        <v>1</v>
      </c>
      <c r="M5" s="28" t="s">
        <v>1</v>
      </c>
      <c r="N5" s="28" t="s">
        <v>4</v>
      </c>
      <c r="O5" s="51"/>
    </row>
    <row r="6" spans="1:15" ht="15">
      <c r="A6" s="48"/>
      <c r="B6" s="50"/>
      <c r="C6" s="50"/>
      <c r="D6" s="50"/>
      <c r="E6" s="28" t="s">
        <v>5</v>
      </c>
      <c r="F6" s="20"/>
      <c r="G6" s="29" t="s">
        <v>6</v>
      </c>
      <c r="H6" s="23"/>
      <c r="I6" s="29"/>
      <c r="J6" s="28" t="s">
        <v>7</v>
      </c>
      <c r="K6" s="28" t="s">
        <v>8</v>
      </c>
      <c r="L6" s="28" t="s">
        <v>7</v>
      </c>
      <c r="M6" s="28" t="s">
        <v>7</v>
      </c>
      <c r="N6" s="28" t="s">
        <v>7</v>
      </c>
      <c r="O6" s="51"/>
    </row>
    <row r="7" spans="1:15" ht="15">
      <c r="A7" s="48"/>
      <c r="B7" s="50"/>
      <c r="C7" s="50"/>
      <c r="D7" s="50"/>
      <c r="E7" s="28" t="str">
        <f>TPUC!E7</f>
        <v>12/31/08</v>
      </c>
      <c r="F7" s="20"/>
      <c r="G7" s="28" t="s">
        <v>28</v>
      </c>
      <c r="H7" s="20"/>
      <c r="I7" s="28" t="s">
        <v>29</v>
      </c>
      <c r="J7" s="28" t="str">
        <f>E7</f>
        <v>12/31/08</v>
      </c>
      <c r="K7" s="28" t="s">
        <v>11</v>
      </c>
      <c r="L7" s="28" t="str">
        <f>J7</f>
        <v>12/31/08</v>
      </c>
      <c r="M7" s="28" t="str">
        <f>TPUC!M7</f>
        <v>12/31/07</v>
      </c>
      <c r="N7" s="28" t="str">
        <f>TPUC!N7</f>
        <v>12/31/08</v>
      </c>
      <c r="O7" s="51"/>
    </row>
    <row r="8" spans="1:15" ht="15">
      <c r="A8" s="48"/>
      <c r="B8" s="31" t="s">
        <v>12</v>
      </c>
      <c r="C8" s="51"/>
      <c r="D8" s="51"/>
      <c r="E8" s="67" t="s">
        <v>51</v>
      </c>
      <c r="F8" s="20"/>
      <c r="G8" s="33"/>
      <c r="H8" s="20"/>
      <c r="I8" s="32"/>
      <c r="J8" s="32"/>
      <c r="K8" s="67" t="s">
        <v>54</v>
      </c>
      <c r="L8" s="32"/>
      <c r="M8" s="32"/>
      <c r="N8" s="32"/>
      <c r="O8" s="51"/>
    </row>
    <row r="9" spans="1:15" ht="15">
      <c r="A9" s="48"/>
      <c r="B9" s="51"/>
      <c r="C9" s="51" t="s">
        <v>58</v>
      </c>
      <c r="D9" s="51"/>
      <c r="E9" s="35">
        <v>0</v>
      </c>
      <c r="F9" s="21"/>
      <c r="G9" s="51"/>
      <c r="H9" s="20"/>
      <c r="I9" s="35"/>
      <c r="J9" s="35">
        <f aca="true" t="shared" si="0" ref="J9:J16">E9-G9+I9</f>
        <v>0</v>
      </c>
      <c r="K9" s="57"/>
      <c r="L9" s="35">
        <f aca="true" t="shared" si="1" ref="L9:L14">J9-K9</f>
        <v>0</v>
      </c>
      <c r="M9" s="57"/>
      <c r="N9" s="35">
        <f aca="true" t="shared" si="2" ref="N9:N15">(L9+M9)/2</f>
        <v>0</v>
      </c>
      <c r="O9" s="51"/>
    </row>
    <row r="10" spans="1:15" ht="15">
      <c r="A10" s="48"/>
      <c r="B10" s="51"/>
      <c r="C10" s="51" t="s">
        <v>59</v>
      </c>
      <c r="D10" s="51"/>
      <c r="E10" s="35">
        <v>-99.33</v>
      </c>
      <c r="F10" s="20"/>
      <c r="G10" s="51"/>
      <c r="H10" s="20"/>
      <c r="I10" s="51"/>
      <c r="J10" s="35">
        <f t="shared" si="0"/>
        <v>-99.33</v>
      </c>
      <c r="K10" s="57">
        <v>-5</v>
      </c>
      <c r="L10" s="35">
        <f t="shared" si="1"/>
        <v>-94.33</v>
      </c>
      <c r="M10" s="57">
        <v>505</v>
      </c>
      <c r="N10" s="35">
        <f t="shared" si="2"/>
        <v>205.335</v>
      </c>
      <c r="O10" s="51"/>
    </row>
    <row r="11" spans="1:15" ht="15">
      <c r="A11" s="48"/>
      <c r="B11" s="51"/>
      <c r="C11" s="51" t="s">
        <v>61</v>
      </c>
      <c r="D11" s="51"/>
      <c r="E11" s="35">
        <v>0</v>
      </c>
      <c r="F11" s="21"/>
      <c r="G11" s="51"/>
      <c r="H11" s="20"/>
      <c r="I11" s="35"/>
      <c r="J11" s="35">
        <f t="shared" si="0"/>
        <v>0</v>
      </c>
      <c r="K11" s="57"/>
      <c r="L11" s="35">
        <f t="shared" si="1"/>
        <v>0</v>
      </c>
      <c r="M11" s="57"/>
      <c r="N11" s="35">
        <f t="shared" si="2"/>
        <v>0</v>
      </c>
      <c r="O11" s="51"/>
    </row>
    <row r="12" spans="1:15" ht="15">
      <c r="A12" s="48"/>
      <c r="B12" s="51"/>
      <c r="C12" s="51" t="s">
        <v>62</v>
      </c>
      <c r="D12" s="51"/>
      <c r="E12" s="35">
        <v>-2441.53</v>
      </c>
      <c r="F12" s="21"/>
      <c r="G12" s="51"/>
      <c r="H12" s="20"/>
      <c r="I12" s="51"/>
      <c r="J12" s="35">
        <f t="shared" si="0"/>
        <v>-2441.53</v>
      </c>
      <c r="K12" s="57">
        <v>-105</v>
      </c>
      <c r="L12" s="35">
        <f t="shared" si="1"/>
        <v>-2336.53</v>
      </c>
      <c r="M12" s="57">
        <v>-1709</v>
      </c>
      <c r="N12" s="35">
        <f t="shared" si="2"/>
        <v>-2022.765</v>
      </c>
      <c r="O12" s="51"/>
    </row>
    <row r="13" spans="1:15" ht="15">
      <c r="A13" s="48"/>
      <c r="B13" s="51"/>
      <c r="C13" s="51" t="s">
        <v>65</v>
      </c>
      <c r="D13" s="51"/>
      <c r="E13" s="35">
        <v>0</v>
      </c>
      <c r="F13" s="21"/>
      <c r="G13" s="35"/>
      <c r="H13" s="20"/>
      <c r="I13" s="35"/>
      <c r="J13" s="35">
        <f t="shared" si="0"/>
        <v>0</v>
      </c>
      <c r="K13" s="57"/>
      <c r="L13" s="35">
        <f t="shared" si="1"/>
        <v>0</v>
      </c>
      <c r="M13" s="57"/>
      <c r="N13" s="35">
        <f t="shared" si="2"/>
        <v>0</v>
      </c>
      <c r="O13" s="51"/>
    </row>
    <row r="14" spans="1:15" ht="15">
      <c r="A14" s="48"/>
      <c r="B14" s="51"/>
      <c r="C14" s="51" t="s">
        <v>60</v>
      </c>
      <c r="D14" s="51"/>
      <c r="E14" s="35">
        <v>-94.54</v>
      </c>
      <c r="F14" s="21"/>
      <c r="G14" s="51"/>
      <c r="H14" s="20"/>
      <c r="I14" s="35"/>
      <c r="J14" s="35">
        <f t="shared" si="0"/>
        <v>-94.54</v>
      </c>
      <c r="K14" s="57">
        <v>-3</v>
      </c>
      <c r="L14" s="35">
        <f t="shared" si="1"/>
        <v>-91.54</v>
      </c>
      <c r="M14" s="57">
        <v>153</v>
      </c>
      <c r="N14" s="35">
        <f t="shared" si="2"/>
        <v>30.729999999999997</v>
      </c>
      <c r="O14" s="51"/>
    </row>
    <row r="15" spans="1:15" ht="15">
      <c r="A15" s="48"/>
      <c r="B15" s="51"/>
      <c r="C15" s="51" t="s">
        <v>64</v>
      </c>
      <c r="D15" s="51"/>
      <c r="E15" s="35">
        <v>0</v>
      </c>
      <c r="F15" s="21"/>
      <c r="G15" s="51"/>
      <c r="H15" s="20"/>
      <c r="I15" s="35"/>
      <c r="J15" s="35">
        <f t="shared" si="0"/>
        <v>0</v>
      </c>
      <c r="K15" s="57"/>
      <c r="L15" s="35">
        <f>SUM(J15:J15)-SUM(K15:K15)</f>
        <v>0</v>
      </c>
      <c r="M15" s="57"/>
      <c r="N15" s="35">
        <f t="shared" si="2"/>
        <v>0</v>
      </c>
      <c r="O15" s="51"/>
    </row>
    <row r="16" spans="1:15" ht="15">
      <c r="A16" s="48"/>
      <c r="B16" s="51"/>
      <c r="C16" s="51" t="s">
        <v>63</v>
      </c>
      <c r="D16" s="51"/>
      <c r="E16" s="35">
        <v>-82.74</v>
      </c>
      <c r="F16" s="21"/>
      <c r="G16" s="51"/>
      <c r="H16" s="20"/>
      <c r="I16" s="35"/>
      <c r="J16" s="35">
        <f t="shared" si="0"/>
        <v>-82.74</v>
      </c>
      <c r="K16" s="57">
        <v>-2</v>
      </c>
      <c r="L16" s="35">
        <f>J16-K16</f>
        <v>-80.74</v>
      </c>
      <c r="M16" s="57">
        <v>-137</v>
      </c>
      <c r="N16" s="35">
        <f>(L16+M16)/2</f>
        <v>-108.87</v>
      </c>
      <c r="O16" s="51"/>
    </row>
    <row r="17" spans="1:15" ht="15">
      <c r="A17" s="48"/>
      <c r="B17" s="51"/>
      <c r="C17" s="51"/>
      <c r="D17" s="36" t="s">
        <v>13</v>
      </c>
      <c r="E17" s="38">
        <f>SUM(E9:E16)</f>
        <v>-2718.14</v>
      </c>
      <c r="F17" s="21"/>
      <c r="G17" s="38">
        <f>SUM(G9:G16)</f>
        <v>0</v>
      </c>
      <c r="H17" s="20"/>
      <c r="I17" s="38">
        <f aca="true" t="shared" si="3" ref="I17:N17">SUM(I9:I16)</f>
        <v>0</v>
      </c>
      <c r="J17" s="38">
        <f t="shared" si="3"/>
        <v>-2718.14</v>
      </c>
      <c r="K17" s="38">
        <f t="shared" si="3"/>
        <v>-115</v>
      </c>
      <c r="L17" s="38">
        <f t="shared" si="3"/>
        <v>-2603.14</v>
      </c>
      <c r="M17" s="38">
        <f t="shared" si="3"/>
        <v>-1188</v>
      </c>
      <c r="N17" s="38">
        <f t="shared" si="3"/>
        <v>-1895.5700000000002</v>
      </c>
      <c r="O17" s="51"/>
    </row>
    <row r="18" spans="1:15" ht="15">
      <c r="A18" s="48"/>
      <c r="B18" s="31" t="s">
        <v>14</v>
      </c>
      <c r="C18" s="51"/>
      <c r="D18" s="51"/>
      <c r="E18" s="32"/>
      <c r="F18" s="21"/>
      <c r="G18" s="33"/>
      <c r="H18" s="20"/>
      <c r="I18" s="32"/>
      <c r="J18" s="32"/>
      <c r="K18" s="32"/>
      <c r="L18" s="32"/>
      <c r="M18" s="32"/>
      <c r="N18" s="33"/>
      <c r="O18" s="51"/>
    </row>
    <row r="19" spans="1:15" ht="15">
      <c r="A19" s="48"/>
      <c r="B19" s="51"/>
      <c r="C19" s="51" t="s">
        <v>66</v>
      </c>
      <c r="D19" s="51"/>
      <c r="E19" s="35">
        <v>42135.23</v>
      </c>
      <c r="F19" s="21"/>
      <c r="G19" s="57"/>
      <c r="H19" s="20">
        <v>8</v>
      </c>
      <c r="I19" s="57">
        <v>2155</v>
      </c>
      <c r="J19" s="35">
        <f>E19-G19+I19</f>
        <v>44290.23</v>
      </c>
      <c r="K19" s="35"/>
      <c r="L19" s="35">
        <f>J19-K19</f>
        <v>44290.23</v>
      </c>
      <c r="M19" s="57">
        <v>20933</v>
      </c>
      <c r="N19" s="35">
        <f>(L19+M19)/2</f>
        <v>32611.615</v>
      </c>
      <c r="O19" s="51"/>
    </row>
    <row r="20" spans="1:15" ht="15">
      <c r="A20" s="48"/>
      <c r="B20" s="51"/>
      <c r="C20" s="51" t="s">
        <v>67</v>
      </c>
      <c r="D20" s="51"/>
      <c r="E20" s="35">
        <v>0</v>
      </c>
      <c r="F20" s="21"/>
      <c r="G20" s="57"/>
      <c r="H20" s="20"/>
      <c r="I20" s="57"/>
      <c r="J20" s="35">
        <f>E20-G20+I20</f>
        <v>0</v>
      </c>
      <c r="K20" s="35"/>
      <c r="L20" s="35">
        <f>J20-K20</f>
        <v>0</v>
      </c>
      <c r="M20" s="57"/>
      <c r="N20" s="35">
        <f>(L20+M20)/2</f>
        <v>0</v>
      </c>
      <c r="O20" s="51"/>
    </row>
    <row r="21" spans="1:15" ht="15">
      <c r="A21" s="48"/>
      <c r="B21" s="51"/>
      <c r="C21" s="51" t="s">
        <v>68</v>
      </c>
      <c r="D21" s="51"/>
      <c r="E21" s="35">
        <v>30000.27</v>
      </c>
      <c r="F21" s="21">
        <v>8</v>
      </c>
      <c r="G21" s="57">
        <v>2155</v>
      </c>
      <c r="H21" s="20"/>
      <c r="I21" s="57"/>
      <c r="J21" s="35">
        <f>E21-G21+I21</f>
        <v>27845.27</v>
      </c>
      <c r="K21" s="35"/>
      <c r="L21" s="35"/>
      <c r="M21" s="57"/>
      <c r="N21" s="35">
        <f>(L21+M21)/2</f>
        <v>0</v>
      </c>
      <c r="O21" s="51"/>
    </row>
    <row r="22" spans="1:15" ht="15">
      <c r="A22" s="48"/>
      <c r="B22" s="51"/>
      <c r="C22" s="51" t="s">
        <v>69</v>
      </c>
      <c r="D22" s="51"/>
      <c r="E22" s="35">
        <v>11142.42</v>
      </c>
      <c r="F22" s="21"/>
      <c r="G22" s="58"/>
      <c r="H22" s="21"/>
      <c r="I22" s="57"/>
      <c r="J22" s="35">
        <f>E22-G22+I22</f>
        <v>11142.42</v>
      </c>
      <c r="K22" s="35"/>
      <c r="L22" s="35">
        <f>SUM(J21:J23)-SUM(K21:K23)</f>
        <v>38987.69</v>
      </c>
      <c r="M22" s="57">
        <v>26348</v>
      </c>
      <c r="N22" s="35">
        <f>(L22+M22)/2</f>
        <v>32667.845</v>
      </c>
      <c r="O22" s="51"/>
    </row>
    <row r="23" spans="1:15" ht="15">
      <c r="A23" s="48"/>
      <c r="B23" s="51"/>
      <c r="C23" s="51"/>
      <c r="D23" s="51"/>
      <c r="E23" s="35">
        <v>0</v>
      </c>
      <c r="F23" s="21"/>
      <c r="G23" s="58"/>
      <c r="H23" s="20"/>
      <c r="I23" s="57"/>
      <c r="J23" s="35">
        <f>E23-G23+I23</f>
        <v>0</v>
      </c>
      <c r="K23" s="35"/>
      <c r="L23" s="35"/>
      <c r="M23" s="35"/>
      <c r="N23" s="35"/>
      <c r="O23" s="51"/>
    </row>
    <row r="24" spans="1:15" ht="15">
      <c r="A24" s="48"/>
      <c r="B24" s="51"/>
      <c r="C24" s="51"/>
      <c r="D24" s="36" t="s">
        <v>15</v>
      </c>
      <c r="E24" s="38">
        <f>SUM(E19:E23)</f>
        <v>83277.92</v>
      </c>
      <c r="F24" s="21"/>
      <c r="G24" s="38">
        <f>SUM(G19:G23)</f>
        <v>2155</v>
      </c>
      <c r="H24" s="20"/>
      <c r="I24" s="38">
        <f aca="true" t="shared" si="4" ref="I24:N24">SUM(I19:I23)</f>
        <v>2155</v>
      </c>
      <c r="J24" s="38">
        <f t="shared" si="4"/>
        <v>83277.92</v>
      </c>
      <c r="K24" s="38">
        <f t="shared" si="4"/>
        <v>0</v>
      </c>
      <c r="L24" s="38">
        <f t="shared" si="4"/>
        <v>83277.92000000001</v>
      </c>
      <c r="M24" s="38">
        <f t="shared" si="4"/>
        <v>47281</v>
      </c>
      <c r="N24" s="38">
        <f t="shared" si="4"/>
        <v>65279.46000000001</v>
      </c>
      <c r="O24" s="51"/>
    </row>
    <row r="25" spans="1:15" ht="15">
      <c r="A25" s="48"/>
      <c r="B25" s="31" t="s">
        <v>16</v>
      </c>
      <c r="C25" s="51"/>
      <c r="D25" s="51"/>
      <c r="E25" s="32"/>
      <c r="F25" s="21"/>
      <c r="G25" s="33"/>
      <c r="H25" s="20"/>
      <c r="I25" s="32"/>
      <c r="J25" s="32"/>
      <c r="K25" s="32"/>
      <c r="L25" s="32"/>
      <c r="M25" s="32"/>
      <c r="N25" s="33"/>
      <c r="O25" s="51"/>
    </row>
    <row r="26" spans="1:15" ht="15">
      <c r="A26" s="48"/>
      <c r="B26" s="51"/>
      <c r="C26" s="51" t="s">
        <v>70</v>
      </c>
      <c r="D26" s="51"/>
      <c r="E26" s="35">
        <v>0</v>
      </c>
      <c r="F26" s="21"/>
      <c r="G26" s="51"/>
      <c r="H26" s="20"/>
      <c r="I26" s="35"/>
      <c r="J26" s="35">
        <f>E26-G26+I26</f>
        <v>0</v>
      </c>
      <c r="K26" s="35"/>
      <c r="L26" s="35">
        <f>J26-K26</f>
        <v>0</v>
      </c>
      <c r="M26" s="35">
        <v>0</v>
      </c>
      <c r="N26" s="35">
        <f>(L26+M26)/2</f>
        <v>0</v>
      </c>
      <c r="O26" s="51"/>
    </row>
    <row r="27" spans="1:15" ht="15">
      <c r="A27" s="48"/>
      <c r="B27" s="51"/>
      <c r="C27" s="51"/>
      <c r="D27" s="51"/>
      <c r="E27" s="35">
        <v>0</v>
      </c>
      <c r="F27" s="21"/>
      <c r="G27" s="51"/>
      <c r="H27" s="20"/>
      <c r="I27" s="35"/>
      <c r="J27" s="35">
        <f>E27-G27+I27</f>
        <v>0</v>
      </c>
      <c r="K27" s="35"/>
      <c r="L27" s="35">
        <f>J27-K27</f>
        <v>0</v>
      </c>
      <c r="M27" s="35">
        <v>0</v>
      </c>
      <c r="N27" s="35">
        <f>(L27+M27)/2</f>
        <v>0</v>
      </c>
      <c r="O27" s="51"/>
    </row>
    <row r="28" spans="1:15" ht="15">
      <c r="A28" s="48"/>
      <c r="B28" s="51"/>
      <c r="C28" s="51"/>
      <c r="D28" s="36" t="s">
        <v>17</v>
      </c>
      <c r="E28" s="38">
        <f>SUM(E26:E27)</f>
        <v>0</v>
      </c>
      <c r="F28" s="21"/>
      <c r="G28" s="38">
        <f>SUM(G26:G27)</f>
        <v>0</v>
      </c>
      <c r="H28" s="20"/>
      <c r="I28" s="38">
        <f aca="true" t="shared" si="5" ref="I28:N28">SUM(I26:I27)</f>
        <v>0</v>
      </c>
      <c r="J28" s="38">
        <f t="shared" si="5"/>
        <v>0</v>
      </c>
      <c r="K28" s="38">
        <f t="shared" si="5"/>
        <v>0</v>
      </c>
      <c r="L28" s="38">
        <f t="shared" si="5"/>
        <v>0</v>
      </c>
      <c r="M28" s="38">
        <f t="shared" si="5"/>
        <v>0</v>
      </c>
      <c r="N28" s="38">
        <f t="shared" si="5"/>
        <v>0</v>
      </c>
      <c r="O28" s="51"/>
    </row>
    <row r="29" spans="1:15" ht="15">
      <c r="A29" s="48"/>
      <c r="B29" s="31" t="s">
        <v>18</v>
      </c>
      <c r="C29" s="51"/>
      <c r="D29" s="51"/>
      <c r="E29" s="32"/>
      <c r="F29" s="21"/>
      <c r="G29" s="33"/>
      <c r="H29" s="20"/>
      <c r="I29" s="32"/>
      <c r="J29" s="32"/>
      <c r="K29" s="32"/>
      <c r="L29" s="32"/>
      <c r="M29" s="32"/>
      <c r="N29" s="32"/>
      <c r="O29" s="51"/>
    </row>
    <row r="30" spans="1:15" ht="15">
      <c r="A30" s="48"/>
      <c r="B30" s="51"/>
      <c r="C30" s="51" t="s">
        <v>71</v>
      </c>
      <c r="D30" s="51"/>
      <c r="E30" s="35">
        <v>1372.16</v>
      </c>
      <c r="F30" s="21"/>
      <c r="G30" s="35"/>
      <c r="H30" s="20"/>
      <c r="I30" s="35"/>
      <c r="J30" s="35">
        <f>E30-G30+I30</f>
        <v>1372.16</v>
      </c>
      <c r="K30" s="35"/>
      <c r="L30" s="35">
        <f>J30-K30</f>
        <v>1372.16</v>
      </c>
      <c r="M30" s="57">
        <v>582</v>
      </c>
      <c r="N30" s="35">
        <f>(L30+M30)/2</f>
        <v>977.08</v>
      </c>
      <c r="O30" s="51"/>
    </row>
    <row r="31" spans="1:15" ht="15">
      <c r="A31" s="48"/>
      <c r="B31" s="51"/>
      <c r="C31" s="51"/>
      <c r="D31" s="51"/>
      <c r="E31" s="35">
        <v>0</v>
      </c>
      <c r="F31" s="21"/>
      <c r="G31" s="51"/>
      <c r="H31" s="20"/>
      <c r="I31" s="41"/>
      <c r="J31" s="41">
        <f>E31-G31+I31</f>
        <v>0</v>
      </c>
      <c r="K31" s="41"/>
      <c r="L31" s="41">
        <f>J31-K31</f>
        <v>0</v>
      </c>
      <c r="M31" s="19">
        <v>0</v>
      </c>
      <c r="N31" s="41">
        <f>(L31+M31)/2</f>
        <v>0</v>
      </c>
      <c r="O31" s="51"/>
    </row>
    <row r="32" spans="1:15" ht="15">
      <c r="A32" s="48"/>
      <c r="B32" s="51"/>
      <c r="C32" s="51"/>
      <c r="D32" s="36" t="s">
        <v>19</v>
      </c>
      <c r="E32" s="38">
        <f>SUM(E30:E31)</f>
        <v>1372.16</v>
      </c>
      <c r="F32" s="21"/>
      <c r="G32" s="38">
        <f>SUM(G30:G31)</f>
        <v>0</v>
      </c>
      <c r="H32" s="20"/>
      <c r="I32" s="38">
        <f aca="true" t="shared" si="6" ref="I32:N32">SUM(I30:I31)</f>
        <v>0</v>
      </c>
      <c r="J32" s="38">
        <f t="shared" si="6"/>
        <v>1372.16</v>
      </c>
      <c r="K32" s="38">
        <f t="shared" si="6"/>
        <v>0</v>
      </c>
      <c r="L32" s="38">
        <f t="shared" si="6"/>
        <v>1372.16</v>
      </c>
      <c r="M32" s="38">
        <f t="shared" si="6"/>
        <v>582</v>
      </c>
      <c r="N32" s="38">
        <f t="shared" si="6"/>
        <v>977.08</v>
      </c>
      <c r="O32" s="51"/>
    </row>
    <row r="33" spans="1:15" ht="15">
      <c r="A33" s="48"/>
      <c r="B33" s="51"/>
      <c r="C33" s="51"/>
      <c r="D33" s="51"/>
      <c r="E33" s="32"/>
      <c r="F33" s="21"/>
      <c r="G33" s="33"/>
      <c r="H33" s="20"/>
      <c r="I33" s="33"/>
      <c r="J33" s="33"/>
      <c r="K33" s="33"/>
      <c r="L33" s="33"/>
      <c r="M33" s="32"/>
      <c r="N33" s="33"/>
      <c r="O33" s="51"/>
    </row>
    <row r="34" spans="1:15" ht="15">
      <c r="A34" s="48"/>
      <c r="B34" s="50" t="s">
        <v>20</v>
      </c>
      <c r="C34" s="51"/>
      <c r="D34" s="51"/>
      <c r="E34" s="35">
        <v>0</v>
      </c>
      <c r="F34" s="21"/>
      <c r="G34" s="51"/>
      <c r="H34" s="20"/>
      <c r="I34" s="51"/>
      <c r="J34" s="35">
        <f>E34-G34+I34</f>
        <v>0</v>
      </c>
      <c r="K34" s="51"/>
      <c r="L34" s="35">
        <f>J34-K34</f>
        <v>0</v>
      </c>
      <c r="M34" s="35">
        <v>0</v>
      </c>
      <c r="N34" s="35">
        <f>(L34+M34)/2</f>
        <v>0</v>
      </c>
      <c r="O34" s="51"/>
    </row>
    <row r="35" spans="1:15" ht="15">
      <c r="A35" s="48"/>
      <c r="B35" s="50"/>
      <c r="C35" s="51"/>
      <c r="D35" s="51"/>
      <c r="E35" s="35">
        <v>0</v>
      </c>
      <c r="F35" s="21"/>
      <c r="G35" s="41"/>
      <c r="H35" s="21"/>
      <c r="I35" s="41"/>
      <c r="J35" s="35">
        <f>E35-G35+I35</f>
        <v>0</v>
      </c>
      <c r="K35" s="41"/>
      <c r="L35" s="35">
        <f>J35-K35</f>
        <v>0</v>
      </c>
      <c r="M35" s="35">
        <v>0</v>
      </c>
      <c r="N35" s="35">
        <f>(L35+M35)/2</f>
        <v>0</v>
      </c>
      <c r="O35" s="51"/>
    </row>
    <row r="36" spans="1:15" ht="15">
      <c r="A36" s="48"/>
      <c r="B36" s="51"/>
      <c r="C36" s="51"/>
      <c r="D36" s="51"/>
      <c r="E36" s="32"/>
      <c r="F36" s="21"/>
      <c r="G36" s="33"/>
      <c r="H36" s="20"/>
      <c r="I36" s="33"/>
      <c r="J36" s="33"/>
      <c r="K36" s="33"/>
      <c r="L36" s="33"/>
      <c r="M36" s="32"/>
      <c r="N36" s="33"/>
      <c r="O36" s="51"/>
    </row>
    <row r="37" spans="1:15" ht="15">
      <c r="A37" s="48"/>
      <c r="B37" s="51"/>
      <c r="C37" s="51" t="s">
        <v>37</v>
      </c>
      <c r="D37" s="36"/>
      <c r="E37" s="41">
        <f>E17+E24+E28+E32+E34+E35</f>
        <v>81931.94</v>
      </c>
      <c r="F37" s="21"/>
      <c r="G37" s="41">
        <f>G17+G24+G28+G32+G34+G35</f>
        <v>2155</v>
      </c>
      <c r="H37" s="21"/>
      <c r="I37" s="41">
        <f>I17+I24+I28+I32+I34+I35</f>
        <v>2155</v>
      </c>
      <c r="J37" s="41">
        <f>E37-G37+I37</f>
        <v>81931.94</v>
      </c>
      <c r="K37" s="41">
        <f>K17+K24+K28+K32+K34+K35</f>
        <v>-115</v>
      </c>
      <c r="L37" s="41">
        <f>J37-K37</f>
        <v>82046.94</v>
      </c>
      <c r="M37" s="41">
        <f>M17+M24+M28+M32+M34+M35</f>
        <v>46675</v>
      </c>
      <c r="N37" s="41">
        <f>N17+N24+N28+N32+N34+N35</f>
        <v>64360.97000000001</v>
      </c>
      <c r="O37" s="51"/>
    </row>
    <row r="38" spans="1:15" ht="15">
      <c r="A38" s="48"/>
      <c r="B38" s="51"/>
      <c r="C38" s="51"/>
      <c r="D38" s="51"/>
      <c r="E38" s="35"/>
      <c r="F38" s="20"/>
      <c r="G38" s="51"/>
      <c r="H38" s="20"/>
      <c r="I38" s="51"/>
      <c r="J38" s="51"/>
      <c r="K38" s="51"/>
      <c r="L38" s="51"/>
      <c r="M38" s="35"/>
      <c r="N38" s="51"/>
      <c r="O38" s="51"/>
    </row>
    <row r="39" spans="1:15" ht="15">
      <c r="A39" s="48"/>
      <c r="B39" s="51" t="s">
        <v>35</v>
      </c>
      <c r="C39" s="51"/>
      <c r="D39" s="51"/>
      <c r="E39" s="19"/>
      <c r="F39" s="21"/>
      <c r="G39" s="41"/>
      <c r="H39" s="21"/>
      <c r="I39" s="41"/>
      <c r="J39" s="41">
        <f>E39-G39+I39</f>
        <v>0</v>
      </c>
      <c r="K39" s="41">
        <f>J39</f>
        <v>0</v>
      </c>
      <c r="L39" s="41">
        <f>J39-K39</f>
        <v>0</v>
      </c>
      <c r="M39" s="41">
        <v>0</v>
      </c>
      <c r="N39" s="41">
        <f>(L39+M39)/2</f>
        <v>0</v>
      </c>
      <c r="O39" s="51"/>
    </row>
    <row r="40" spans="1:15" ht="15">
      <c r="A40" s="48"/>
      <c r="B40" s="51"/>
      <c r="C40" s="51"/>
      <c r="D40" s="51"/>
      <c r="E40" s="32"/>
      <c r="F40" s="21"/>
      <c r="G40" s="33"/>
      <c r="H40" s="20"/>
      <c r="I40" s="33"/>
      <c r="J40" s="33"/>
      <c r="K40" s="33"/>
      <c r="L40" s="33"/>
      <c r="M40" s="32"/>
      <c r="N40" s="33"/>
      <c r="O40" s="51"/>
    </row>
    <row r="41" spans="1:15" ht="15">
      <c r="A41" s="48"/>
      <c r="B41" s="51"/>
      <c r="C41" s="51"/>
      <c r="D41" s="36" t="s">
        <v>22</v>
      </c>
      <c r="E41" s="35">
        <f>E37+E39</f>
        <v>81931.94</v>
      </c>
      <c r="F41" s="20"/>
      <c r="G41" s="35">
        <f>G37+G39</f>
        <v>2155</v>
      </c>
      <c r="H41" s="20"/>
      <c r="I41" s="35">
        <f aca="true" t="shared" si="7" ref="I41:N41">I37+I39</f>
        <v>2155</v>
      </c>
      <c r="J41" s="35">
        <f t="shared" si="7"/>
        <v>81931.94</v>
      </c>
      <c r="K41" s="35">
        <f t="shared" si="7"/>
        <v>-115</v>
      </c>
      <c r="L41" s="35">
        <f t="shared" si="7"/>
        <v>82046.94</v>
      </c>
      <c r="M41" s="35">
        <f t="shared" si="7"/>
        <v>46675</v>
      </c>
      <c r="N41" s="35">
        <f t="shared" si="7"/>
        <v>64360.97000000001</v>
      </c>
      <c r="O41" s="51"/>
    </row>
    <row r="42" spans="1:15" ht="15">
      <c r="A42" s="48"/>
      <c r="B42" s="51"/>
      <c r="C42" s="51"/>
      <c r="D42" s="84" t="s">
        <v>75</v>
      </c>
      <c r="E42" s="43"/>
      <c r="F42" s="20"/>
      <c r="G42" s="26"/>
      <c r="H42" s="20"/>
      <c r="I42" s="26"/>
      <c r="J42" s="79">
        <f>(-(ROUND([1]!TBLink("Trial Balance I","CS ADJ[5]","4340.00","2","3"),0)))</f>
        <v>81932</v>
      </c>
      <c r="K42" s="78"/>
      <c r="L42" s="79">
        <f>(-(ROUND([1]!TBLink("Trial Balance I","FINAL[7]","4340.00","2","3"),0)))</f>
        <v>82047</v>
      </c>
      <c r="M42" s="43"/>
      <c r="N42" s="26"/>
      <c r="O42" s="51"/>
    </row>
    <row r="43" spans="1:15" ht="15">
      <c r="A43" s="48"/>
      <c r="B43" s="51"/>
      <c r="C43" s="51"/>
      <c r="D43" s="51"/>
      <c r="E43" s="35"/>
      <c r="F43" s="20"/>
      <c r="G43" s="51"/>
      <c r="H43" s="20"/>
      <c r="I43" s="51"/>
      <c r="J43" s="41">
        <f>J41-J42</f>
        <v>-0.059999999997671694</v>
      </c>
      <c r="K43" s="51"/>
      <c r="L43" s="81">
        <f>L41-L42</f>
        <v>-0.059999999997671694</v>
      </c>
      <c r="M43" s="35"/>
      <c r="N43" s="51"/>
      <c r="O43" s="51"/>
    </row>
    <row r="44" spans="1:15" ht="15">
      <c r="A44" s="48"/>
      <c r="B44" s="44"/>
      <c r="C44" s="51"/>
      <c r="D44" s="51"/>
      <c r="E44" s="41"/>
      <c r="F44" s="20"/>
      <c r="G44" s="51"/>
      <c r="H44" s="20"/>
      <c r="I44" s="51"/>
      <c r="J44" s="51"/>
      <c r="K44" s="51"/>
      <c r="L44" s="51"/>
      <c r="M44" s="35"/>
      <c r="N44" s="51"/>
      <c r="O44" s="51"/>
    </row>
    <row r="45" spans="1:14" ht="15">
      <c r="A45" s="14"/>
      <c r="B45" s="14"/>
      <c r="C45" s="14"/>
      <c r="D45" s="14"/>
      <c r="E45" s="48"/>
      <c r="F45" s="56"/>
      <c r="G45" s="48"/>
      <c r="H45" s="56"/>
      <c r="I45" s="48"/>
      <c r="J45" s="55"/>
      <c r="K45" s="48"/>
      <c r="L45" s="48"/>
      <c r="M45" s="48"/>
      <c r="N45" s="14"/>
    </row>
    <row r="46" spans="5:13" ht="15">
      <c r="E46" s="51"/>
      <c r="F46" s="56"/>
      <c r="G46" s="51"/>
      <c r="H46" s="56"/>
      <c r="I46" s="51"/>
      <c r="J46" s="51"/>
      <c r="K46" s="51"/>
      <c r="L46" s="51"/>
      <c r="M46" s="51"/>
    </row>
    <row r="47" spans="5:13" ht="15">
      <c r="E47" s="51"/>
      <c r="F47" s="56"/>
      <c r="G47" s="51"/>
      <c r="H47" s="56"/>
      <c r="I47" s="51"/>
      <c r="J47" s="51"/>
      <c r="K47" s="51"/>
      <c r="L47" s="51"/>
      <c r="M47" s="51"/>
    </row>
    <row r="48" spans="5:13" ht="15">
      <c r="E48" s="51"/>
      <c r="F48" s="56"/>
      <c r="G48" s="51"/>
      <c r="H48" s="56"/>
      <c r="I48" s="51"/>
      <c r="J48" s="51"/>
      <c r="K48" s="51"/>
      <c r="L48" s="51"/>
      <c r="M48" s="51"/>
    </row>
    <row r="49" spans="5:13" ht="15">
      <c r="E49" s="51"/>
      <c r="F49" s="56"/>
      <c r="G49" s="51"/>
      <c r="H49" s="56"/>
      <c r="I49" s="51"/>
      <c r="J49" s="51"/>
      <c r="K49" s="51"/>
      <c r="L49" s="51"/>
      <c r="M49" s="51"/>
    </row>
    <row r="50" spans="5:13" ht="15">
      <c r="E50" s="51"/>
      <c r="F50" s="56"/>
      <c r="G50" s="51"/>
      <c r="H50" s="56"/>
      <c r="I50" s="51"/>
      <c r="J50" s="51"/>
      <c r="K50" s="51"/>
      <c r="L50" s="51"/>
      <c r="M50" s="51"/>
    </row>
    <row r="51" spans="5:13" ht="15">
      <c r="E51" s="51"/>
      <c r="F51" s="56"/>
      <c r="G51" s="51"/>
      <c r="H51" s="56"/>
      <c r="I51" s="51"/>
      <c r="J51" s="51"/>
      <c r="K51" s="51"/>
      <c r="L51" s="51"/>
      <c r="M51" s="51"/>
    </row>
  </sheetData>
  <sheetProtection/>
  <printOptions/>
  <pageMargins left="0.5" right="0.25" top="0.75" bottom="0.55" header="0" footer="0"/>
  <pageSetup fitToHeight="1" fitToWidth="1" horizontalDpi="600" verticalDpi="600" orientation="landscape" scale="80" r:id="rId1"/>
  <headerFooter alignWithMargins="0">
    <oddFooter>&amp;LJW &amp;A&amp;CPAGE 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tabSelected="1" showOutlineSymbols="0" zoomScale="87" zoomScaleNormal="87" zoomScalePageLayoutView="0" workbookViewId="0" topLeftCell="A1">
      <selection activeCell="G19" sqref="G19"/>
    </sheetView>
  </sheetViews>
  <sheetFormatPr defaultColWidth="9.6640625" defaultRowHeight="15"/>
  <cols>
    <col min="1" max="3" width="2.6640625" style="1" customWidth="1"/>
    <col min="4" max="4" width="27.6640625" style="1" customWidth="1"/>
    <col min="5" max="5" width="11.6640625" style="1" customWidth="1"/>
    <col min="6" max="6" width="3.6640625" style="1" customWidth="1"/>
    <col min="7" max="7" width="10.6640625" style="1" customWidth="1"/>
    <col min="8" max="8" width="3.6640625" style="1" customWidth="1"/>
    <col min="9" max="11" width="10.6640625" style="1" customWidth="1"/>
    <col min="12" max="14" width="11.6640625" style="1" customWidth="1"/>
    <col min="15" max="16384" width="9.6640625" style="1" customWidth="1"/>
  </cols>
  <sheetData>
    <row r="1" spans="1:14" ht="15">
      <c r="A1" s="48"/>
      <c r="B1" s="50" t="str">
        <f>PLANT!B1</f>
        <v>WEAVTEL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5">
      <c r="A2" s="51"/>
      <c r="B2" s="50" t="s">
        <v>38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">
      <c r="A3" s="51"/>
      <c r="B3" s="50" t="str">
        <f>PLANT!B3</f>
        <v>FOR THE STUDY YEAR ENDED DECEMBER 31, 2008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5">
      <c r="A4" s="51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ht="15">
      <c r="A5" s="51"/>
      <c r="B5" s="50"/>
      <c r="C5" s="50"/>
      <c r="D5" s="50"/>
      <c r="E5" s="28" t="s">
        <v>1</v>
      </c>
      <c r="F5" s="50"/>
      <c r="G5" s="50"/>
      <c r="H5" s="50"/>
      <c r="I5" s="50"/>
      <c r="J5" s="28" t="s">
        <v>2</v>
      </c>
      <c r="K5" s="28" t="s">
        <v>3</v>
      </c>
      <c r="L5" s="28" t="s">
        <v>1</v>
      </c>
      <c r="M5" s="28" t="s">
        <v>1</v>
      </c>
      <c r="N5" s="28" t="s">
        <v>4</v>
      </c>
    </row>
    <row r="6" spans="1:14" ht="15">
      <c r="A6" s="51"/>
      <c r="B6" s="50"/>
      <c r="C6" s="50"/>
      <c r="D6" s="50"/>
      <c r="E6" s="28" t="s">
        <v>5</v>
      </c>
      <c r="F6" s="50"/>
      <c r="G6" s="29" t="s">
        <v>6</v>
      </c>
      <c r="H6" s="30"/>
      <c r="I6" s="29"/>
      <c r="J6" s="28" t="s">
        <v>7</v>
      </c>
      <c r="K6" s="28" t="s">
        <v>8</v>
      </c>
      <c r="L6" s="28" t="s">
        <v>7</v>
      </c>
      <c r="M6" s="28" t="s">
        <v>7</v>
      </c>
      <c r="N6" s="28" t="s">
        <v>7</v>
      </c>
    </row>
    <row r="7" spans="1:14" ht="15">
      <c r="A7" s="51"/>
      <c r="B7" s="50"/>
      <c r="C7" s="50"/>
      <c r="D7" s="50"/>
      <c r="E7" s="28" t="str">
        <f>'DEFERRED TAX'!N7</f>
        <v>12/31/08</v>
      </c>
      <c r="F7" s="50"/>
      <c r="G7" s="28" t="s">
        <v>9</v>
      </c>
      <c r="H7" s="50"/>
      <c r="I7" s="28" t="s">
        <v>10</v>
      </c>
      <c r="J7" s="28" t="str">
        <f>E7</f>
        <v>12/31/08</v>
      </c>
      <c r="K7" s="28" t="s">
        <v>11</v>
      </c>
      <c r="L7" s="28" t="str">
        <f>J7</f>
        <v>12/31/08</v>
      </c>
      <c r="M7" s="28" t="str">
        <f>'DEFERRED TAX'!M7</f>
        <v>12/31/07</v>
      </c>
      <c r="N7" s="28" t="str">
        <f>L7</f>
        <v>12/31/08</v>
      </c>
    </row>
    <row r="8" spans="1:14" ht="15">
      <c r="A8" s="51"/>
      <c r="B8" s="51"/>
      <c r="C8" s="51"/>
      <c r="D8" s="51"/>
      <c r="E8" s="4"/>
      <c r="F8" s="52"/>
      <c r="G8" s="4"/>
      <c r="H8" s="52"/>
      <c r="I8" s="4"/>
      <c r="J8" s="4"/>
      <c r="K8" s="4"/>
      <c r="L8" s="4"/>
      <c r="M8" s="4"/>
      <c r="N8" s="4"/>
    </row>
    <row r="9" spans="1:14" ht="15">
      <c r="A9" s="51"/>
      <c r="B9" s="51" t="s">
        <v>12</v>
      </c>
      <c r="C9" s="51"/>
      <c r="D9" s="51"/>
      <c r="E9" s="53">
        <f>SUM(PLANT!E9:E16)</f>
        <v>551661</v>
      </c>
      <c r="F9" s="52"/>
      <c r="G9" s="53">
        <f>SUM(PLANT!G9:G16)</f>
        <v>0</v>
      </c>
      <c r="H9" s="52"/>
      <c r="I9" s="53">
        <f>SUM(PLANT!I9:I16)</f>
        <v>0</v>
      </c>
      <c r="J9" s="53">
        <f>SUM(PLANT!J9:J16)</f>
        <v>551661</v>
      </c>
      <c r="K9" s="53">
        <f>SUM(PLANT!K9:K16)</f>
        <v>23650</v>
      </c>
      <c r="L9" s="53">
        <f>SUM(PLANT!L9:L16)</f>
        <v>528011</v>
      </c>
      <c r="M9" s="53">
        <f>SUM(PLANT!M9:M16)</f>
        <v>551661</v>
      </c>
      <c r="N9" s="53">
        <f>SUM(PLANT!N9:N16)</f>
        <v>539836</v>
      </c>
    </row>
    <row r="10" spans="1:14" ht="15">
      <c r="A10" s="51"/>
      <c r="B10" s="51" t="s">
        <v>14</v>
      </c>
      <c r="C10" s="51"/>
      <c r="D10" s="51"/>
      <c r="E10" s="53">
        <f>SUM(PLANT!E19:E23)</f>
        <v>1120025</v>
      </c>
      <c r="F10" s="52"/>
      <c r="G10" s="53">
        <f>SUM(PLANT!G19:G23)</f>
        <v>227584</v>
      </c>
      <c r="H10" s="52"/>
      <c r="I10" s="53">
        <f>SUM(PLANT!I19:I23)</f>
        <v>201411</v>
      </c>
      <c r="J10" s="53">
        <f>SUM(PLANT!J19:J23)</f>
        <v>1146198</v>
      </c>
      <c r="K10" s="53">
        <f>SUM(PLANT!K19:K23)</f>
        <v>0</v>
      </c>
      <c r="L10" s="53">
        <f>SUM(PLANT!L19:L23)</f>
        <v>1146198</v>
      </c>
      <c r="M10" s="53">
        <f>SUM(PLANT!M19:M23)</f>
        <v>1433951</v>
      </c>
      <c r="N10" s="53">
        <f>SUM(PLANT!N19:N23)</f>
        <v>1290074.5</v>
      </c>
    </row>
    <row r="11" spans="1:14" ht="15">
      <c r="A11" s="51"/>
      <c r="B11" s="51" t="s">
        <v>16</v>
      </c>
      <c r="C11" s="51"/>
      <c r="D11" s="51"/>
      <c r="E11" s="53">
        <f>SUM(PLANT!E26:E27)</f>
        <v>0</v>
      </c>
      <c r="F11" s="52"/>
      <c r="G11" s="53">
        <f>SUM(PLANT!G26:G27)</f>
        <v>0</v>
      </c>
      <c r="H11" s="52"/>
      <c r="I11" s="53">
        <f>SUM(PLANT!I26:I27)</f>
        <v>0</v>
      </c>
      <c r="J11" s="53">
        <f>SUM(PLANT!J26:J27)</f>
        <v>0</v>
      </c>
      <c r="K11" s="53">
        <f>SUM(PLANT!K26:K27)</f>
        <v>0</v>
      </c>
      <c r="L11" s="53">
        <f>SUM(PLANT!L26:L27)</f>
        <v>0</v>
      </c>
      <c r="M11" s="53">
        <f>SUM(PLANT!M26:M27)</f>
        <v>0</v>
      </c>
      <c r="N11" s="53">
        <f>SUM(PLANT!N26:N27)</f>
        <v>0</v>
      </c>
    </row>
    <row r="12" spans="1:14" ht="15">
      <c r="A12" s="51"/>
      <c r="B12" s="51" t="s">
        <v>18</v>
      </c>
      <c r="C12" s="51"/>
      <c r="D12" s="51"/>
      <c r="E12" s="53">
        <f>SUM(PLANT!E30:E31)</f>
        <v>182508</v>
      </c>
      <c r="F12" s="52"/>
      <c r="G12" s="53">
        <f>SUM(PLANT!G30:G31)</f>
        <v>0</v>
      </c>
      <c r="H12" s="52"/>
      <c r="I12" s="53">
        <f>SUM(PLANT!I30:I31)</f>
        <v>0</v>
      </c>
      <c r="J12" s="53">
        <f>SUM(PLANT!J30:J31)</f>
        <v>182508</v>
      </c>
      <c r="K12" s="53">
        <f>SUM(PLANT!K30:K31)</f>
        <v>0</v>
      </c>
      <c r="L12" s="53">
        <f>SUM(PLANT!L30:L31)</f>
        <v>182508</v>
      </c>
      <c r="M12" s="53">
        <f>SUM(PLANT!M30:M31)</f>
        <v>182508</v>
      </c>
      <c r="N12" s="53">
        <f>SUM(PLANT!N30:N31)</f>
        <v>182508</v>
      </c>
    </row>
    <row r="13" spans="1:14" ht="15">
      <c r="A13" s="51"/>
      <c r="B13" s="51" t="s">
        <v>20</v>
      </c>
      <c r="C13" s="51"/>
      <c r="D13" s="51"/>
      <c r="E13" s="52">
        <f>SUM(PLANT!E33:E34)</f>
        <v>0</v>
      </c>
      <c r="F13" s="52"/>
      <c r="G13" s="52">
        <f>SUM(PLANT!G33:G34)</f>
        <v>0</v>
      </c>
      <c r="H13" s="52"/>
      <c r="I13" s="52">
        <f>SUM(PLANT!I33:I34)</f>
        <v>0</v>
      </c>
      <c r="J13" s="52">
        <f>SUM(PLANT!J33:J34)</f>
        <v>0</v>
      </c>
      <c r="K13" s="52">
        <f>SUM(PLANT!K33:K34)</f>
        <v>0</v>
      </c>
      <c r="L13" s="52">
        <f>SUM(PLANT!L33:L34)</f>
        <v>0</v>
      </c>
      <c r="M13" s="52">
        <f>SUM(PLANT!M33:M34)</f>
        <v>0</v>
      </c>
      <c r="N13" s="52">
        <f>SUM(PLANT!N33:N34)</f>
        <v>0</v>
      </c>
    </row>
    <row r="14" spans="1:14" ht="15">
      <c r="A14" s="51"/>
      <c r="B14" s="51"/>
      <c r="C14" s="51"/>
      <c r="D14" s="51"/>
      <c r="E14" s="4"/>
      <c r="F14" s="52"/>
      <c r="G14" s="4"/>
      <c r="H14" s="52"/>
      <c r="I14" s="4"/>
      <c r="J14" s="4"/>
      <c r="K14" s="4"/>
      <c r="L14" s="4"/>
      <c r="M14" s="4"/>
      <c r="N14" s="4"/>
    </row>
    <row r="15" spans="1:14" ht="15">
      <c r="A15" s="51"/>
      <c r="B15" s="51"/>
      <c r="C15" s="51" t="s">
        <v>39</v>
      </c>
      <c r="D15" s="51"/>
      <c r="E15" s="53">
        <f>SUM(E9:E13)</f>
        <v>1854194</v>
      </c>
      <c r="F15" s="52"/>
      <c r="G15" s="53">
        <f>SUM(G9:G13)</f>
        <v>227584</v>
      </c>
      <c r="H15" s="52"/>
      <c r="I15" s="53">
        <f aca="true" t="shared" si="0" ref="I15:N15">SUM(I9:I13)</f>
        <v>201411</v>
      </c>
      <c r="J15" s="53">
        <f t="shared" si="0"/>
        <v>1880367</v>
      </c>
      <c r="K15" s="53">
        <f t="shared" si="0"/>
        <v>23650</v>
      </c>
      <c r="L15" s="53">
        <f t="shared" si="0"/>
        <v>1856717</v>
      </c>
      <c r="M15" s="53">
        <f t="shared" si="0"/>
        <v>2168120</v>
      </c>
      <c r="N15" s="53">
        <f t="shared" si="0"/>
        <v>2012418.5</v>
      </c>
    </row>
    <row r="16" spans="1:14" ht="15">
      <c r="A16" s="51"/>
      <c r="B16" s="51"/>
      <c r="C16" s="51"/>
      <c r="D16" s="51"/>
      <c r="E16" s="52"/>
      <c r="F16" s="52"/>
      <c r="G16" s="52"/>
      <c r="H16" s="52"/>
      <c r="I16" s="52"/>
      <c r="J16" s="52"/>
      <c r="K16" s="52"/>
      <c r="L16" s="52"/>
      <c r="M16" s="52"/>
      <c r="N16" s="52"/>
    </row>
    <row r="17" spans="1:14" ht="15">
      <c r="A17" s="51"/>
      <c r="B17" s="51" t="s">
        <v>40</v>
      </c>
      <c r="C17" s="51"/>
      <c r="D17" s="51"/>
      <c r="E17" s="53">
        <f>TPUC!E17</f>
        <v>0</v>
      </c>
      <c r="F17" s="52"/>
      <c r="G17" s="53">
        <f>TPUC!G17</f>
        <v>0</v>
      </c>
      <c r="H17" s="52"/>
      <c r="I17" s="53">
        <f>TPUC!I17</f>
        <v>0</v>
      </c>
      <c r="J17" s="53">
        <f>TPUC!J17</f>
        <v>0</v>
      </c>
      <c r="K17" s="53">
        <f>TPUC!K17</f>
        <v>0</v>
      </c>
      <c r="L17" s="53">
        <f>TPUC!L17</f>
        <v>0</v>
      </c>
      <c r="M17" s="53">
        <f>TPUC!M17</f>
        <v>0</v>
      </c>
      <c r="N17" s="53">
        <f>TPUC!N17</f>
        <v>0</v>
      </c>
    </row>
    <row r="18" spans="1:14" ht="15">
      <c r="A18" s="51"/>
      <c r="B18" s="51" t="s">
        <v>41</v>
      </c>
      <c r="C18" s="51"/>
      <c r="D18" s="51"/>
      <c r="E18" s="52">
        <f>TPUC!E31</f>
        <v>19415</v>
      </c>
      <c r="F18" s="52"/>
      <c r="G18" s="52">
        <f>TPUC!G31</f>
        <v>0</v>
      </c>
      <c r="H18" s="52"/>
      <c r="I18" s="52">
        <f>TPUC!I31</f>
        <v>18968</v>
      </c>
      <c r="J18" s="52">
        <f>TPUC!J31</f>
        <v>447</v>
      </c>
      <c r="K18" s="52">
        <f>TPUC!K31</f>
        <v>0</v>
      </c>
      <c r="L18" s="52">
        <f>TPUC!L31</f>
        <v>447</v>
      </c>
      <c r="M18" s="52">
        <f>TPUC!M31</f>
        <v>0</v>
      </c>
      <c r="N18" s="52">
        <f>TPUC!N31</f>
        <v>223.5</v>
      </c>
    </row>
    <row r="19" spans="1:14" ht="15">
      <c r="A19" s="51"/>
      <c r="B19" s="51"/>
      <c r="C19" s="51"/>
      <c r="D19" s="51"/>
      <c r="E19" s="4"/>
      <c r="F19" s="52"/>
      <c r="G19" s="4"/>
      <c r="H19" s="52"/>
      <c r="I19" s="4"/>
      <c r="J19" s="4"/>
      <c r="K19" s="4"/>
      <c r="L19" s="4"/>
      <c r="M19" s="4"/>
      <c r="N19" s="4"/>
    </row>
    <row r="20" spans="1:14" ht="15">
      <c r="A20" s="51"/>
      <c r="B20" s="51"/>
      <c r="C20" s="51" t="s">
        <v>42</v>
      </c>
      <c r="D20" s="51"/>
      <c r="E20" s="53">
        <f>SUM(E15:E18)</f>
        <v>1873609</v>
      </c>
      <c r="F20" s="52"/>
      <c r="G20" s="53">
        <f>SUM(G15:G18)</f>
        <v>227584</v>
      </c>
      <c r="H20" s="52"/>
      <c r="I20" s="53">
        <f aca="true" t="shared" si="1" ref="I20:N20">SUM(I15:I18)</f>
        <v>220379</v>
      </c>
      <c r="J20" s="53">
        <f t="shared" si="1"/>
        <v>1880814</v>
      </c>
      <c r="K20" s="53">
        <f t="shared" si="1"/>
        <v>23650</v>
      </c>
      <c r="L20" s="53">
        <f t="shared" si="1"/>
        <v>1857164</v>
      </c>
      <c r="M20" s="53">
        <f t="shared" si="1"/>
        <v>2168120</v>
      </c>
      <c r="N20" s="53">
        <f t="shared" si="1"/>
        <v>2012642</v>
      </c>
    </row>
    <row r="21" spans="1:14" ht="15">
      <c r="A21" s="51"/>
      <c r="B21" s="51"/>
      <c r="C21" s="51"/>
      <c r="D21" s="51"/>
      <c r="E21" s="52"/>
      <c r="F21" s="52"/>
      <c r="G21" s="52"/>
      <c r="H21" s="52"/>
      <c r="I21" s="52"/>
      <c r="J21" s="52"/>
      <c r="K21" s="52"/>
      <c r="L21" s="52"/>
      <c r="M21" s="52"/>
      <c r="N21" s="52"/>
    </row>
    <row r="22" spans="1:14" ht="15">
      <c r="A22" s="51"/>
      <c r="B22" s="51" t="s">
        <v>43</v>
      </c>
      <c r="C22" s="51"/>
      <c r="D22" s="51"/>
      <c r="E22" s="53">
        <f>'ACCUM DEPR'!E38</f>
        <v>454803</v>
      </c>
      <c r="F22" s="52"/>
      <c r="G22" s="53">
        <f>'ACCUM DEPR'!G38</f>
        <v>6167</v>
      </c>
      <c r="H22" s="52"/>
      <c r="I22" s="53">
        <f>'ACCUM DEPR'!I38</f>
        <v>6167</v>
      </c>
      <c r="J22" s="53">
        <f>'ACCUM DEPR'!J38</f>
        <v>454803</v>
      </c>
      <c r="K22" s="53">
        <f>'ACCUM DEPR'!K38</f>
        <v>4510</v>
      </c>
      <c r="L22" s="53">
        <f>'ACCUM DEPR'!L38</f>
        <v>450293</v>
      </c>
      <c r="M22" s="53">
        <f>'ACCUM DEPR'!M38</f>
        <v>289299</v>
      </c>
      <c r="N22" s="53">
        <f>'ACCUM DEPR'!N38</f>
        <v>369796</v>
      </c>
    </row>
    <row r="23" spans="1:14" ht="15">
      <c r="A23" s="51"/>
      <c r="B23" s="51" t="s">
        <v>36</v>
      </c>
      <c r="C23" s="51"/>
      <c r="D23" s="51"/>
      <c r="E23" s="53">
        <f>'DEFERRED TAX'!E41</f>
        <v>81931.94</v>
      </c>
      <c r="F23" s="52"/>
      <c r="G23" s="53">
        <f>'DEFERRED TAX'!G41</f>
        <v>2155</v>
      </c>
      <c r="H23" s="52"/>
      <c r="I23" s="53">
        <f>'DEFERRED TAX'!I41</f>
        <v>2155</v>
      </c>
      <c r="J23" s="53">
        <f>'DEFERRED TAX'!J41</f>
        <v>81931.94</v>
      </c>
      <c r="K23" s="53">
        <f>'DEFERRED TAX'!K41</f>
        <v>-115</v>
      </c>
      <c r="L23" s="53">
        <f>'DEFERRED TAX'!L41</f>
        <v>82046.94</v>
      </c>
      <c r="M23" s="53">
        <f>'DEFERRED TAX'!M41</f>
        <v>46675</v>
      </c>
      <c r="N23" s="53">
        <f>'DEFERRED TAX'!N41</f>
        <v>64360.97000000001</v>
      </c>
    </row>
    <row r="24" spans="1:14" ht="15">
      <c r="A24" s="51"/>
      <c r="B24" s="51" t="s">
        <v>31</v>
      </c>
      <c r="C24" s="51"/>
      <c r="D24" s="51"/>
      <c r="E24" s="52">
        <f>'ACCUM DEPR'!E42</f>
        <v>0</v>
      </c>
      <c r="F24" s="52"/>
      <c r="G24" s="52">
        <f>'ACCUM DEPR'!G42</f>
        <v>0</v>
      </c>
      <c r="H24" s="52"/>
      <c r="I24" s="52">
        <f>'ACCUM DEPR'!I42</f>
        <v>0</v>
      </c>
      <c r="J24" s="52">
        <f>'ACCUM DEPR'!J42</f>
        <v>0</v>
      </c>
      <c r="K24" s="52">
        <f>'ACCUM DEPR'!K42</f>
        <v>0</v>
      </c>
      <c r="L24" s="52">
        <f>'ACCUM DEPR'!L42</f>
        <v>0</v>
      </c>
      <c r="M24" s="52">
        <f>'ACCUM DEPR'!M42</f>
        <v>0</v>
      </c>
      <c r="N24" s="52">
        <f>'ACCUM DEPR'!N42</f>
        <v>0</v>
      </c>
    </row>
    <row r="25" spans="1:14" ht="15">
      <c r="A25" s="51"/>
      <c r="B25" s="51"/>
      <c r="C25" s="51"/>
      <c r="D25" s="51"/>
      <c r="E25" s="4"/>
      <c r="F25" s="52"/>
      <c r="G25" s="4"/>
      <c r="H25" s="52"/>
      <c r="I25" s="4"/>
      <c r="J25" s="4"/>
      <c r="K25" s="4"/>
      <c r="L25" s="4"/>
      <c r="M25" s="4"/>
      <c r="N25" s="4"/>
    </row>
    <row r="26" spans="1:14" ht="15">
      <c r="A26" s="51"/>
      <c r="B26" s="51"/>
      <c r="C26" s="51" t="s">
        <v>44</v>
      </c>
      <c r="D26" s="51"/>
      <c r="E26" s="53">
        <f>E20-SUM(E22:E24)</f>
        <v>1336874.06</v>
      </c>
      <c r="F26" s="52"/>
      <c r="G26" s="53">
        <f>G20-SUM(G22:G24)</f>
        <v>219262</v>
      </c>
      <c r="H26" s="52"/>
      <c r="I26" s="53">
        <f aca="true" t="shared" si="2" ref="I26:N26">I20-SUM(I22:I24)</f>
        <v>212057</v>
      </c>
      <c r="J26" s="53">
        <f t="shared" si="2"/>
        <v>1344079.06</v>
      </c>
      <c r="K26" s="53">
        <f t="shared" si="2"/>
        <v>19255</v>
      </c>
      <c r="L26" s="53">
        <f t="shared" si="2"/>
        <v>1324824.06</v>
      </c>
      <c r="M26" s="53">
        <f t="shared" si="2"/>
        <v>1832146</v>
      </c>
      <c r="N26" s="53">
        <f t="shared" si="2"/>
        <v>1578485.03</v>
      </c>
    </row>
    <row r="27" spans="1:14" ht="15">
      <c r="A27" s="51"/>
      <c r="B27" s="51"/>
      <c r="C27" s="51"/>
      <c r="D27" s="51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 ht="15">
      <c r="A28" s="51"/>
      <c r="B28" s="51" t="s">
        <v>45</v>
      </c>
      <c r="C28" s="51"/>
      <c r="D28" s="51"/>
      <c r="E28" s="53">
        <f>PLANT!E40</f>
        <v>0</v>
      </c>
      <c r="F28" s="52"/>
      <c r="G28" s="53">
        <f>PLANT!G40</f>
        <v>0</v>
      </c>
      <c r="H28" s="52"/>
      <c r="I28" s="53">
        <f>PLANT!I40</f>
        <v>0</v>
      </c>
      <c r="J28" s="53">
        <f>PLANT!J40</f>
        <v>0</v>
      </c>
      <c r="K28" s="53">
        <f>PLANT!K40</f>
        <v>0</v>
      </c>
      <c r="L28" s="53">
        <f>PLANT!L40</f>
        <v>0</v>
      </c>
      <c r="M28" s="53">
        <f>PLANT!M40</f>
        <v>0</v>
      </c>
      <c r="N28" s="53">
        <f>PLANT!N40</f>
        <v>0</v>
      </c>
    </row>
    <row r="29" spans="1:14" ht="15">
      <c r="A29" s="51"/>
      <c r="B29" s="51"/>
      <c r="C29" s="51" t="s">
        <v>46</v>
      </c>
      <c r="D29" s="51"/>
      <c r="E29" s="52"/>
      <c r="F29" s="52"/>
      <c r="G29" s="52"/>
      <c r="H29" s="52"/>
      <c r="I29" s="52"/>
      <c r="J29" s="52"/>
      <c r="K29" s="52"/>
      <c r="L29" s="82">
        <v>18135</v>
      </c>
      <c r="M29" s="83">
        <v>16348</v>
      </c>
      <c r="N29" s="52">
        <f>L29</f>
        <v>18135</v>
      </c>
    </row>
    <row r="30" spans="1:14" ht="15">
      <c r="A30" s="51"/>
      <c r="B30" s="51"/>
      <c r="C30" s="51"/>
      <c r="D30" s="51"/>
      <c r="E30" s="4"/>
      <c r="F30" s="52"/>
      <c r="G30" s="4"/>
      <c r="H30" s="52"/>
      <c r="I30" s="4"/>
      <c r="J30" s="4"/>
      <c r="K30" s="4"/>
      <c r="L30" s="67" t="s">
        <v>55</v>
      </c>
      <c r="M30" s="67" t="s">
        <v>55</v>
      </c>
      <c r="N30" s="4"/>
    </row>
    <row r="31" spans="1:14" ht="15">
      <c r="A31" s="51"/>
      <c r="B31" s="51"/>
      <c r="C31" s="51" t="s">
        <v>47</v>
      </c>
      <c r="D31" s="51"/>
      <c r="E31" s="52">
        <f>SUM(E26:E29)</f>
        <v>1336874.06</v>
      </c>
      <c r="F31" s="52"/>
      <c r="G31" s="52">
        <f>SUM(G26:G29)</f>
        <v>219262</v>
      </c>
      <c r="H31" s="52"/>
      <c r="I31" s="52">
        <f aca="true" t="shared" si="3" ref="I31:N31">SUM(I26:I29)</f>
        <v>212057</v>
      </c>
      <c r="J31" s="52">
        <f t="shared" si="3"/>
        <v>1344079.06</v>
      </c>
      <c r="K31" s="52">
        <f t="shared" si="3"/>
        <v>19255</v>
      </c>
      <c r="L31" s="52">
        <f t="shared" si="3"/>
        <v>1342959.06</v>
      </c>
      <c r="M31" s="52">
        <f t="shared" si="3"/>
        <v>1848494</v>
      </c>
      <c r="N31" s="52">
        <f t="shared" si="3"/>
        <v>1596620.03</v>
      </c>
    </row>
    <row r="32" spans="1:14" ht="15">
      <c r="A32" s="51"/>
      <c r="B32" s="51"/>
      <c r="C32" s="51"/>
      <c r="D32" s="51"/>
      <c r="E32" s="54"/>
      <c r="F32" s="52"/>
      <c r="G32" s="54"/>
      <c r="H32" s="52"/>
      <c r="I32" s="54"/>
      <c r="J32" s="54"/>
      <c r="K32" s="54"/>
      <c r="L32" s="54"/>
      <c r="M32" s="54"/>
      <c r="N32" s="54"/>
    </row>
    <row r="33" spans="1:14" ht="15">
      <c r="A33" s="51"/>
      <c r="B33" s="51" t="s">
        <v>40</v>
      </c>
      <c r="C33" s="51"/>
      <c r="D33" s="51"/>
      <c r="E33" s="53">
        <f>-E17</f>
        <v>0</v>
      </c>
      <c r="F33" s="52"/>
      <c r="G33" s="53">
        <f>-G17</f>
        <v>0</v>
      </c>
      <c r="H33" s="52"/>
      <c r="I33" s="53">
        <f aca="true" t="shared" si="4" ref="I33:N34">-I17</f>
        <v>0</v>
      </c>
      <c r="J33" s="53">
        <f t="shared" si="4"/>
        <v>0</v>
      </c>
      <c r="K33" s="53">
        <f t="shared" si="4"/>
        <v>0</v>
      </c>
      <c r="L33" s="53">
        <f t="shared" si="4"/>
        <v>0</v>
      </c>
      <c r="M33" s="53">
        <f t="shared" si="4"/>
        <v>0</v>
      </c>
      <c r="N33" s="53">
        <f t="shared" si="4"/>
        <v>0</v>
      </c>
    </row>
    <row r="34" spans="1:14" ht="15">
      <c r="A34" s="51"/>
      <c r="B34" s="51" t="s">
        <v>41</v>
      </c>
      <c r="C34" s="51"/>
      <c r="D34" s="51"/>
      <c r="E34" s="53">
        <f>-E18</f>
        <v>-19415</v>
      </c>
      <c r="F34" s="52"/>
      <c r="G34" s="53">
        <f>-G18</f>
        <v>0</v>
      </c>
      <c r="H34" s="52"/>
      <c r="I34" s="53">
        <f t="shared" si="4"/>
        <v>-18968</v>
      </c>
      <c r="J34" s="53">
        <f t="shared" si="4"/>
        <v>-447</v>
      </c>
      <c r="K34" s="53">
        <f t="shared" si="4"/>
        <v>0</v>
      </c>
      <c r="L34" s="53">
        <f t="shared" si="4"/>
        <v>-447</v>
      </c>
      <c r="M34" s="53">
        <f t="shared" si="4"/>
        <v>0</v>
      </c>
      <c r="N34" s="53">
        <f t="shared" si="4"/>
        <v>-223.5</v>
      </c>
    </row>
    <row r="35" spans="1:14" ht="15">
      <c r="A35" s="51"/>
      <c r="B35" s="51" t="s">
        <v>31</v>
      </c>
      <c r="C35" s="51"/>
      <c r="D35" s="51"/>
      <c r="E35" s="53">
        <f>E24</f>
        <v>0</v>
      </c>
      <c r="F35" s="52"/>
      <c r="G35" s="53">
        <f>G24</f>
        <v>0</v>
      </c>
      <c r="H35" s="52"/>
      <c r="I35" s="53">
        <f aca="true" t="shared" si="5" ref="I35:N35">I24</f>
        <v>0</v>
      </c>
      <c r="J35" s="53">
        <f t="shared" si="5"/>
        <v>0</v>
      </c>
      <c r="K35" s="53">
        <f t="shared" si="5"/>
        <v>0</v>
      </c>
      <c r="L35" s="53">
        <f t="shared" si="5"/>
        <v>0</v>
      </c>
      <c r="M35" s="53">
        <f t="shared" si="5"/>
        <v>0</v>
      </c>
      <c r="N35" s="53">
        <f t="shared" si="5"/>
        <v>0</v>
      </c>
    </row>
    <row r="36" spans="1:14" ht="15">
      <c r="A36" s="51"/>
      <c r="B36" s="51" t="s">
        <v>45</v>
      </c>
      <c r="C36" s="51"/>
      <c r="D36" s="51"/>
      <c r="E36" s="53">
        <f>-E28</f>
        <v>0</v>
      </c>
      <c r="F36" s="52"/>
      <c r="G36" s="53">
        <f>-G28</f>
        <v>0</v>
      </c>
      <c r="H36" s="52"/>
      <c r="I36" s="53">
        <f aca="true" t="shared" si="6" ref="I36:N36">-I28</f>
        <v>0</v>
      </c>
      <c r="J36" s="53">
        <f t="shared" si="6"/>
        <v>0</v>
      </c>
      <c r="K36" s="53">
        <f t="shared" si="6"/>
        <v>0</v>
      </c>
      <c r="L36" s="53">
        <f t="shared" si="6"/>
        <v>0</v>
      </c>
      <c r="M36" s="53">
        <f t="shared" si="6"/>
        <v>0</v>
      </c>
      <c r="N36" s="53">
        <f t="shared" si="6"/>
        <v>0</v>
      </c>
    </row>
    <row r="37" spans="1:14" ht="15">
      <c r="A37" s="51"/>
      <c r="B37" s="51"/>
      <c r="C37" s="51" t="s">
        <v>46</v>
      </c>
      <c r="D37" s="51"/>
      <c r="E37" s="52">
        <f>-E29</f>
        <v>0</v>
      </c>
      <c r="F37" s="52"/>
      <c r="G37" s="52">
        <f>-G29</f>
        <v>0</v>
      </c>
      <c r="H37" s="52"/>
      <c r="I37" s="52">
        <f aca="true" t="shared" si="7" ref="I37:N37">-I29</f>
        <v>0</v>
      </c>
      <c r="J37" s="52">
        <f t="shared" si="7"/>
        <v>0</v>
      </c>
      <c r="K37" s="52">
        <f t="shared" si="7"/>
        <v>0</v>
      </c>
      <c r="L37" s="52">
        <f t="shared" si="7"/>
        <v>-18135</v>
      </c>
      <c r="M37" s="52">
        <f t="shared" si="7"/>
        <v>-16348</v>
      </c>
      <c r="N37" s="52">
        <f t="shared" si="7"/>
        <v>-18135</v>
      </c>
    </row>
    <row r="38" spans="1:14" ht="15">
      <c r="A38" s="51"/>
      <c r="B38" s="51"/>
      <c r="C38" s="51"/>
      <c r="D38" s="51"/>
      <c r="E38" s="4"/>
      <c r="F38" s="52"/>
      <c r="G38" s="4"/>
      <c r="H38" s="52"/>
      <c r="I38" s="4"/>
      <c r="J38" s="4"/>
      <c r="K38" s="4"/>
      <c r="L38" s="4"/>
      <c r="M38" s="4"/>
      <c r="N38" s="4"/>
    </row>
    <row r="39" spans="1:14" ht="15">
      <c r="A39" s="51"/>
      <c r="B39" s="51"/>
      <c r="C39" s="51" t="s">
        <v>48</v>
      </c>
      <c r="D39" s="51"/>
      <c r="E39" s="52">
        <f>E31+SUM(E33:E37)</f>
        <v>1317459.06</v>
      </c>
      <c r="F39" s="52"/>
      <c r="G39" s="52">
        <f>G31+SUM(G33:G37)</f>
        <v>219262</v>
      </c>
      <c r="H39" s="52"/>
      <c r="I39" s="52">
        <f aca="true" t="shared" si="8" ref="I39:N39">I31+SUM(I33:I37)</f>
        <v>193089</v>
      </c>
      <c r="J39" s="52">
        <f t="shared" si="8"/>
        <v>1343632.06</v>
      </c>
      <c r="K39" s="52">
        <f t="shared" si="8"/>
        <v>19255</v>
      </c>
      <c r="L39" s="52">
        <f t="shared" si="8"/>
        <v>1324377.06</v>
      </c>
      <c r="M39" s="52">
        <f t="shared" si="8"/>
        <v>1832146</v>
      </c>
      <c r="N39" s="52">
        <f t="shared" si="8"/>
        <v>1578261.53</v>
      </c>
    </row>
    <row r="40" spans="1:14" ht="15">
      <c r="A40" s="51"/>
      <c r="B40" s="51"/>
      <c r="C40" s="51"/>
      <c r="D40" s="51"/>
      <c r="E40" s="54"/>
      <c r="F40" s="52"/>
      <c r="G40" s="54"/>
      <c r="H40" s="52"/>
      <c r="I40" s="54"/>
      <c r="J40" s="54"/>
      <c r="K40" s="54"/>
      <c r="L40" s="54"/>
      <c r="M40" s="54"/>
      <c r="N40" s="54"/>
    </row>
    <row r="41" spans="1:14" ht="15">
      <c r="A41" s="51"/>
      <c r="B41" s="51"/>
      <c r="C41" s="51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</row>
    <row r="42" spans="1:14" ht="15">
      <c r="A42" s="51"/>
      <c r="B42" s="51"/>
      <c r="C42" s="51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spans="1:14" ht="1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</row>
    <row r="44" spans="1:14" ht="1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</row>
    <row r="45" spans="1:14" ht="1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</row>
    <row r="46" spans="1:14" ht="1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</row>
    <row r="47" spans="1:14" ht="1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</row>
    <row r="48" spans="1:14" ht="1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</row>
    <row r="49" spans="1:14" ht="1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</row>
    <row r="50" spans="1:14" ht="1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</row>
    <row r="51" spans="1:14" ht="1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</row>
  </sheetData>
  <sheetProtection/>
  <printOptions horizontalCentered="1"/>
  <pageMargins left="0.45" right="0.5" top="0.75" bottom="0.55" header="0" footer="0"/>
  <pageSetup horizontalDpi="600" verticalDpi="600" orientation="landscape" scale="80" r:id="rId1"/>
  <headerFooter alignWithMargins="0">
    <oddFooter>&amp;LJW &amp;A&amp;R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jenifer</dc:creator>
  <cp:keywords/>
  <dc:description/>
  <cp:lastModifiedBy>Jenifer</cp:lastModifiedBy>
  <cp:lastPrinted>2009-07-16T16:09:47Z</cp:lastPrinted>
  <dcterms:created xsi:type="dcterms:W3CDTF">2005-05-11T16:56:28Z</dcterms:created>
  <dcterms:modified xsi:type="dcterms:W3CDTF">2009-10-28T16:08:18Z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30</vt:i4>
  </property>
  <property fmtid="{D5CDD505-2E9C-101B-9397-08002B2CF9AE}" pid="3" name="Refresh">
    <vt:bool>true</vt:bool>
  </property>
  <property fmtid="{D5CDD505-2E9C-101B-9397-08002B2CF9AE}" pid="4" name="Refresh97">
    <vt:bool>false</vt:bool>
  </property>
  <property fmtid="{D5CDD505-2E9C-101B-9397-08002B2CF9AE}" pid="5" name="DocumentSetType">
    <vt:lpwstr>Compliance</vt:lpwstr>
  </property>
  <property fmtid="{D5CDD505-2E9C-101B-9397-08002B2CF9AE}" pid="6" name="IsHighlyConfidential">
    <vt:lpwstr>0</vt:lpwstr>
  </property>
  <property fmtid="{D5CDD505-2E9C-101B-9397-08002B2CF9AE}" pid="7" name="DocketNumber">
    <vt:lpwstr>060762</vt:lpwstr>
  </property>
  <property fmtid="{D5CDD505-2E9C-101B-9397-08002B2CF9AE}" pid="8" name="IsConfidential">
    <vt:lpwstr>0</vt:lpwstr>
  </property>
  <property fmtid="{D5CDD505-2E9C-101B-9397-08002B2CF9AE}" pid="9" name="Date1">
    <vt:lpwstr>2009-10-30T00:00:00Z</vt:lpwstr>
  </property>
  <property fmtid="{D5CDD505-2E9C-101B-9397-08002B2CF9AE}" pid="10" name="CaseType">
    <vt:lpwstr>Petition</vt:lpwstr>
  </property>
  <property fmtid="{D5CDD505-2E9C-101B-9397-08002B2CF9AE}" pid="11" name="OpenedDate">
    <vt:lpwstr>2006-05-10T00:00:00Z</vt:lpwstr>
  </property>
  <property fmtid="{D5CDD505-2E9C-101B-9397-08002B2CF9AE}" pid="12" name="Prefix">
    <vt:lpwstr>UT</vt:lpwstr>
  </property>
  <property fmtid="{D5CDD505-2E9C-101B-9397-08002B2CF9AE}" pid="13" name="CaseCompanyNames">
    <vt:lpwstr>Westgate Communications LLC</vt:lpwstr>
  </property>
  <property fmtid="{D5CDD505-2E9C-101B-9397-08002B2CF9AE}" pid="14" name="IndustryCode">
    <vt:lpwstr>170</vt:lpwstr>
  </property>
  <property fmtid="{D5CDD505-2E9C-101B-9397-08002B2CF9AE}" pid="15" name="CaseStatus">
    <vt:lpwstr>Closed</vt:lpwstr>
  </property>
  <property fmtid="{D5CDD505-2E9C-101B-9397-08002B2CF9AE}" pid="16" name="_docset_NoMedatataSyncRequired">
    <vt:lpwstr>False</vt:lpwstr>
  </property>
  <property fmtid="{D5CDD505-2E9C-101B-9397-08002B2CF9AE}" pid="17" name="Nickname">
    <vt:lpwstr/>
  </property>
  <property fmtid="{D5CDD505-2E9C-101B-9397-08002B2CF9AE}" pid="18" name="Process">
    <vt:lpwstr/>
  </property>
  <property fmtid="{D5CDD505-2E9C-101B-9397-08002B2CF9AE}" pid="19" name="Visibility">
    <vt:lpwstr/>
  </property>
  <property fmtid="{D5CDD505-2E9C-101B-9397-08002B2CF9AE}" pid="20" name="DocumentGroup">
    <vt:lpwstr/>
  </property>
</Properties>
</file>