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65" windowHeight="8580" tabRatio="746" firstSheet="2" activeTab="5"/>
  </bookViews>
  <sheets>
    <sheet name="CAP Calculation" sheetId="1" r:id="rId1"/>
    <sheet name="Cust Stats 6-30-07" sheetId="2" r:id="rId2"/>
    <sheet name="Hypothetical Baseline 6-30-XX" sheetId="3" r:id="rId3"/>
    <sheet name="CAP Only % Change" sheetId="4" r:id="rId4"/>
    <sheet name="CAP &amp; Amort % Change" sheetId="5" r:id="rId5"/>
    <sheet name="PGA &amp; CAP % Change" sheetId="6" r:id="rId6"/>
  </sheets>
  <definedNames>
    <definedName name="_xlnm.Print_Area" localSheetId="4">'CAP &amp; Amort % Change'!$A$4:$N$82</definedName>
    <definedName name="_xlnm.Print_Area" localSheetId="3">'CAP Only % Change'!$A$4:$N$82</definedName>
    <definedName name="_xlnm.Print_Area" localSheetId="1">'Cust Stats 6-30-07'!$A$1:$P$31</definedName>
    <definedName name="_xlnm.Print_Area" localSheetId="2">'Hypothetical Baseline 6-30-XX'!$A$1:$L$37</definedName>
    <definedName name="_xlnm.Print_Area" localSheetId="5">'PGA &amp; CAP % Change'!$A$4:$N$82</definedName>
  </definedNames>
  <calcPr fullCalcOnLoad="1"/>
</workbook>
</file>

<file path=xl/sharedStrings.xml><?xml version="1.0" encoding="utf-8"?>
<sst xmlns="http://schemas.openxmlformats.org/spreadsheetml/2006/main" count="566" uniqueCount="187">
  <si>
    <t>Customers</t>
  </si>
  <si>
    <t>Actual Therms</t>
  </si>
  <si>
    <t>Therms</t>
  </si>
  <si>
    <t>WEATHER VARIANCE DEFERRAL BALANCE</t>
  </si>
  <si>
    <t>CONSERVATION VARIANCE DEFERRAL BALANCE</t>
  </si>
  <si>
    <t>Weather</t>
  </si>
  <si>
    <t>Cascade Natural Gas Corporation</t>
  </si>
  <si>
    <t>Rate</t>
  </si>
  <si>
    <t>Description</t>
  </si>
  <si>
    <t>Schedules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</si>
  <si>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</si>
  <si>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</si>
  <si>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</si>
  <si>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</si>
  <si>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</si>
  <si>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</si>
  <si>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</si>
  <si>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</si>
  <si>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</si>
  <si>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</si>
  <si>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</si>
  <si>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</si>
  <si>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CORE MARKET RATE SCHEDULES</t>
  </si>
  <si>
    <t>Residential</t>
  </si>
  <si>
    <t xml:space="preserve">    General Service</t>
  </si>
  <si>
    <t>503</t>
  </si>
  <si>
    <t xml:space="preserve">    Unbilled Month End</t>
  </si>
  <si>
    <t xml:space="preserve">    Less Unbilled Last Month</t>
  </si>
  <si>
    <t>Commercial</t>
  </si>
  <si>
    <t xml:space="preserve">    General Service </t>
  </si>
  <si>
    <t>504</t>
  </si>
  <si>
    <t xml:space="preserve">    Less Company Use</t>
  </si>
  <si>
    <t>Total</t>
  </si>
  <si>
    <t xml:space="preserve">        Total  Actual</t>
  </si>
  <si>
    <t>Weather Normalizing Adjustment</t>
  </si>
  <si>
    <t>Weather Adjust. Therms per Regression Analysis</t>
  </si>
  <si>
    <t>R/S 503</t>
  </si>
  <si>
    <t>R/S 504</t>
  </si>
  <si>
    <t>Month</t>
  </si>
  <si>
    <t>Adj Therms</t>
  </si>
  <si>
    <t xml:space="preserve">        Total  Adjusted Therms</t>
  </si>
  <si>
    <t>Annual Baseline Commodity Margin per Customer</t>
  </si>
  <si>
    <t>Total Margin</t>
  </si>
  <si>
    <t>New Baseline CAP Commodity Rate Per Therm</t>
  </si>
  <si>
    <t>Amortization of Deferral Balances:</t>
  </si>
  <si>
    <t>Interest During Amortization</t>
  </si>
  <si>
    <t>Total Deferral Balance</t>
  </si>
  <si>
    <t xml:space="preserve">Amortization Rate </t>
  </si>
  <si>
    <t>Total Amortization Rate Per Therm</t>
  </si>
  <si>
    <t>Total Change in Rate Schedule 503</t>
  </si>
  <si>
    <t>Total Change in Rate Schedule 504</t>
  </si>
  <si>
    <t>Amount</t>
  </si>
  <si>
    <t>Current Rate</t>
  </si>
  <si>
    <t>Change in Rate</t>
  </si>
  <si>
    <t>State Of Washington</t>
  </si>
  <si>
    <t>Unbilled Adjustment</t>
  </si>
  <si>
    <t>Weather Adjustment</t>
  </si>
  <si>
    <t>Adjusted Therms</t>
  </si>
  <si>
    <t>Basic Srv Charge</t>
  </si>
  <si>
    <t>Commodity Margin</t>
  </si>
  <si>
    <t>Baseline Avg Commodity Margin/cust</t>
  </si>
  <si>
    <t>Total Revenue</t>
  </si>
  <si>
    <t>Baseline Avg Margin/cust</t>
  </si>
  <si>
    <t>Residential Rate Schedule 503</t>
  </si>
  <si>
    <t>Jan</t>
  </si>
  <si>
    <t>Oct</t>
  </si>
  <si>
    <t>Feb</t>
  </si>
  <si>
    <t>Nov</t>
  </si>
  <si>
    <t>Mar</t>
  </si>
  <si>
    <t>Dec</t>
  </si>
  <si>
    <t>Apr</t>
  </si>
  <si>
    <t>May</t>
  </si>
  <si>
    <t>Jun</t>
  </si>
  <si>
    <t>Jul</t>
  </si>
  <si>
    <t>Aug</t>
  </si>
  <si>
    <t>Sep</t>
  </si>
  <si>
    <t xml:space="preserve">Average </t>
  </si>
  <si>
    <t>Commercial Rate Schedule 504</t>
  </si>
  <si>
    <t xml:space="preserve">   Net Unbilled</t>
  </si>
  <si>
    <t/>
  </si>
  <si>
    <t>State of Washington</t>
  </si>
  <si>
    <t>Per Therm</t>
  </si>
  <si>
    <t>Line</t>
  </si>
  <si>
    <t>Average</t>
  </si>
  <si>
    <t xml:space="preserve"> Actual</t>
  </si>
  <si>
    <t xml:space="preserve">  Actual</t>
  </si>
  <si>
    <t>Restated</t>
  </si>
  <si>
    <t>Amount of</t>
  </si>
  <si>
    <t>Percent</t>
  </si>
  <si>
    <t>No.</t>
  </si>
  <si>
    <t>Schedule</t>
  </si>
  <si>
    <t># of Bills</t>
  </si>
  <si>
    <t>Therms Sold</t>
  </si>
  <si>
    <t xml:space="preserve">  Revenue</t>
  </si>
  <si>
    <t>Change</t>
  </si>
  <si>
    <t>(a)</t>
  </si>
  <si>
    <t>(b)</t>
  </si>
  <si>
    <t>(c)</t>
  </si>
  <si>
    <t>(d)</t>
  </si>
  <si>
    <t xml:space="preserve">  (e)</t>
  </si>
  <si>
    <t xml:space="preserve">  (f)</t>
  </si>
  <si>
    <t>(g)</t>
  </si>
  <si>
    <t>(h)</t>
  </si>
  <si>
    <t>(i)</t>
  </si>
  <si>
    <t xml:space="preserve"> CORE MARKET RATE SCHEDULES</t>
  </si>
  <si>
    <t xml:space="preserve">    Dry Out</t>
  </si>
  <si>
    <t>502</t>
  </si>
  <si>
    <t xml:space="preserve">    Compressed Natural Gas</t>
  </si>
  <si>
    <t>512</t>
  </si>
  <si>
    <t xml:space="preserve">    Gas A/C</t>
  </si>
  <si>
    <t>541</t>
  </si>
  <si>
    <t xml:space="preserve">    Unbilled at 6/30/03</t>
  </si>
  <si>
    <t xml:space="preserve">    Less Unbilled at 6/30/02</t>
  </si>
  <si>
    <t xml:space="preserve">      Total Residential</t>
  </si>
  <si>
    <t xml:space="preserve">    Large Volume</t>
  </si>
  <si>
    <t>511</t>
  </si>
  <si>
    <t xml:space="preserve">      Total Commercial</t>
  </si>
  <si>
    <t>Industrial Firm</t>
  </si>
  <si>
    <t>505</t>
  </si>
  <si>
    <t xml:space="preserve">      Total Industrial Firm</t>
  </si>
  <si>
    <t>Industrial Interruptible</t>
  </si>
  <si>
    <t xml:space="preserve">    General</t>
  </si>
  <si>
    <t>570</t>
  </si>
  <si>
    <t xml:space="preserve">    Accounting Adjustment</t>
  </si>
  <si>
    <t xml:space="preserve">    Less Unbilled Adjustment</t>
  </si>
  <si>
    <t xml:space="preserve">      Total Industrial Inter.</t>
  </si>
  <si>
    <t>Institutional Interruptible</t>
  </si>
  <si>
    <t xml:space="preserve">    Institutional</t>
  </si>
  <si>
    <t>577</t>
  </si>
  <si>
    <t xml:space="preserve">      Total Institut. Interr.</t>
  </si>
  <si>
    <t xml:space="preserve">  Subtotal  Core</t>
  </si>
  <si>
    <t xml:space="preserve"> NONCORE MARKET RATE SCHEDULES</t>
  </si>
  <si>
    <t xml:space="preserve">  Gas Supply</t>
  </si>
  <si>
    <t>681, 682</t>
  </si>
  <si>
    <t xml:space="preserve">  Gas Supply - Cust.Owned</t>
  </si>
  <si>
    <t>683</t>
  </si>
  <si>
    <t xml:space="preserve">  Transportation</t>
  </si>
  <si>
    <t>685-686</t>
  </si>
  <si>
    <t>*a</t>
  </si>
  <si>
    <t xml:space="preserve">  Distribution</t>
  </si>
  <si>
    <t xml:space="preserve">     General</t>
  </si>
  <si>
    <t>663</t>
  </si>
  <si>
    <t xml:space="preserve">     Large Volume</t>
  </si>
  <si>
    <t>664</t>
  </si>
  <si>
    <t xml:space="preserve">     Elec.Gen.Interr. *a</t>
  </si>
  <si>
    <t xml:space="preserve">     Special Contracts</t>
  </si>
  <si>
    <t>901</t>
  </si>
  <si>
    <t>#0080</t>
  </si>
  <si>
    <t>#0180</t>
  </si>
  <si>
    <t>#0191</t>
  </si>
  <si>
    <t>#0350</t>
  </si>
  <si>
    <t>#0485</t>
  </si>
  <si>
    <t>#0500</t>
  </si>
  <si>
    <t>#0630</t>
  </si>
  <si>
    <t>#1215</t>
  </si>
  <si>
    <t>#1300</t>
  </si>
  <si>
    <t>#1497</t>
  </si>
  <si>
    <t>#1630</t>
  </si>
  <si>
    <t>#1640</t>
  </si>
  <si>
    <t>#2075</t>
  </si>
  <si>
    <t>#2502</t>
  </si>
  <si>
    <t xml:space="preserve">  Subtotal  Noncore</t>
  </si>
  <si>
    <t>TOTAL CORE AND NONCORE</t>
  </si>
  <si>
    <t xml:space="preserve"> ADJUSTMENTS</t>
  </si>
  <si>
    <t xml:space="preserve">    B &amp; O Tax</t>
  </si>
  <si>
    <t xml:space="preserve">    Billing/Technical Adjustments</t>
  </si>
  <si>
    <t xml:space="preserve">    Other</t>
  </si>
  <si>
    <t xml:space="preserve">        Total Adjustments</t>
  </si>
  <si>
    <t>ADJUSTED  CORE  &amp;  NONCORE  TOTALS</t>
  </si>
  <si>
    <t>Adjustments to Gas Transportation Revenue</t>
  </si>
  <si>
    <t>TOTAL  THERMS  &amp;  REVENUE</t>
  </si>
  <si>
    <t xml:space="preserve">Revenue </t>
  </si>
  <si>
    <t>Combined PGA</t>
  </si>
  <si>
    <t>CAP</t>
  </si>
  <si>
    <t>Rate Change</t>
  </si>
  <si>
    <t>Amortization</t>
  </si>
  <si>
    <t>IMPACT OF CAP &amp; AMORTIZATION RATE CHANGE</t>
  </si>
  <si>
    <t>IMPACT OF CAP ONLY RATE CHANGE</t>
  </si>
  <si>
    <t>IMPACT OF PGA, CAP &amp; AMORTIZATION RATE CHANGE</t>
  </si>
  <si>
    <t>Calculation of Hypothetical Baseline Monthly Margin Per Customer</t>
  </si>
  <si>
    <t>CAP Calculation @ June 30, 20XX</t>
  </si>
  <si>
    <t>Number of Customers @ 6/30/XX</t>
  </si>
  <si>
    <t>Weather Normalized Therms @ 6/30/XX</t>
  </si>
  <si>
    <t>Total Therms @ 6/30/XX</t>
  </si>
  <si>
    <t>Hypothetical Therms And Customers - Twelve Months Ended June 30. 2007</t>
  </si>
  <si>
    <t>CONSERVATION ALLIANCE PLAN SPECIMEN</t>
  </si>
  <si>
    <t>Based Upon Twelve Months Ended June 30. 20XX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</si>
</sst>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0_);_(* \(#,##0.00000000\);_(* &quot;-&quot;??_);_(@_)"/>
    <numFmt numFmtId="166" formatCode="_(* #,##0.0_);_(* \(#,##0.0\);_(* &quot;-&quot;??_);_(@_)"/>
    <numFmt numFmtId="167" formatCode="_(&quot;$&quot;* #,##0.00000_);_(&quot;$&quot;* \(#,##0.00000\);_(&quot;$&quot;* &quot;-&quot;??_);_(@_)"/>
    <numFmt numFmtId="168" formatCode="General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* #,##0.00000_);_(* \(#,##0.00000\);_(* &quot;-&quot;?????_);_(@_)"/>
    <numFmt numFmtId="172" formatCode="#,##0.0"/>
    <numFmt numFmtId="173" formatCode="_(* #,##0.00000_);_(* \(#,##0.00000\);_(* &quot;-&quot;??_);_(@_)"/>
    <numFmt numFmtId="174" formatCode="_(&quot;$&quot;* #,##0.000000_);_(&quot;$&quot;* \(#,##0.000000\);_(&quot;$&quot;* &quot;-&quot;??_);_(@_)"/>
    <numFmt numFmtId="175" formatCode="#,##0.00000_);\(#,##0.00000\)"/>
    <numFmt numFmtId="176" formatCode="_(* #,##0.000_);_(* \(#,##0.000\);_(* &quot;-&quot;??_);_(@_)"/>
    <numFmt numFmtId="177" formatCode="_(* #,##0.0000_);_(* \(#,##0.0000\);_(* &quot;-&quot;??_);_(@_)"/>
  </numFmts>
  <fonts count="20">
    <font>
      <sz val="12"/>
      <name val="Times New Roman"/>
      <family val="0"/>
    </font>
    <font>
      <b/>
      <sz val="10"/>
      <name val="Times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Courier"/>
      <family val="0"/>
    </font>
    <font>
      <u val="doubleAccounting"/>
      <sz val="12"/>
      <name val="Times New Roman"/>
      <family val="1"/>
    </font>
    <font>
      <b/>
      <sz val="12"/>
      <name val="Times"/>
      <family val="1"/>
    </font>
    <font>
      <b/>
      <sz val="14"/>
      <name val="Times"/>
      <family val="1"/>
    </font>
    <font>
      <sz val="14"/>
      <name val="Times"/>
      <family val="1"/>
    </font>
    <font>
      <b/>
      <sz val="10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sz val="10"/>
      <color indexed="8"/>
      <name val="Courier"/>
      <family val="3"/>
    </font>
    <font>
      <sz val="8"/>
      <color indexed="8"/>
      <name val="helv"/>
      <family val="0"/>
    </font>
    <font>
      <sz val="10"/>
      <color indexed="14"/>
      <name val="Courier"/>
      <family val="3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8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4" xfId="17" applyBorder="1" applyAlignment="1">
      <alignment/>
    </xf>
    <xf numFmtId="44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5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 applyProtection="1">
      <alignment horizontal="right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 applyProtection="1">
      <alignment horizontal="left"/>
      <protection/>
    </xf>
    <xf numFmtId="0" fontId="2" fillId="0" borderId="5" xfId="0" applyFont="1" applyFill="1" applyBorder="1" applyAlignment="1">
      <alignment/>
    </xf>
    <xf numFmtId="168" fontId="0" fillId="0" borderId="0" xfId="21" applyFont="1" quotePrefix="1">
      <alignment/>
      <protection/>
    </xf>
    <xf numFmtId="0" fontId="6" fillId="0" borderId="4" xfId="0" applyFont="1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7" fontId="0" fillId="0" borderId="13" xfId="0" applyNumberFormat="1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0" fontId="0" fillId="0" borderId="14" xfId="0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3" borderId="0" xfId="15" applyNumberFormat="1" applyFont="1" applyFill="1" applyAlignment="1">
      <alignment/>
    </xf>
    <xf numFmtId="37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4" xfId="0" applyFont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0" xfId="0" applyNumberFormat="1" applyAlignment="1">
      <alignment/>
    </xf>
    <xf numFmtId="44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0" borderId="0" xfId="0" applyBorder="1" applyAlignment="1">
      <alignment horizontal="center" wrapText="1"/>
    </xf>
    <xf numFmtId="164" fontId="0" fillId="0" borderId="16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10" xfId="0" applyBorder="1" applyAlignment="1">
      <alignment horizontal="center"/>
    </xf>
    <xf numFmtId="37" fontId="0" fillId="0" borderId="4" xfId="0" applyNumberFormat="1" applyBorder="1" applyAlignment="1">
      <alignment/>
    </xf>
    <xf numFmtId="167" fontId="0" fillId="0" borderId="4" xfId="17" applyNumberFormat="1" applyBorder="1" applyAlignment="1">
      <alignment/>
    </xf>
    <xf numFmtId="167" fontId="9" fillId="0" borderId="5" xfId="0" applyNumberFormat="1" applyFont="1" applyBorder="1" applyAlignment="1">
      <alignment/>
    </xf>
    <xf numFmtId="167" fontId="0" fillId="0" borderId="0" xfId="17" applyNumberFormat="1" applyBorder="1" applyAlignment="1">
      <alignment/>
    </xf>
    <xf numFmtId="167" fontId="0" fillId="0" borderId="5" xfId="17" applyNumberFormat="1" applyBorder="1" applyAlignment="1">
      <alignment/>
    </xf>
    <xf numFmtId="167" fontId="9" fillId="0" borderId="5" xfId="17" applyNumberFormat="1" applyFont="1" applyBorder="1" applyAlignment="1">
      <alignment/>
    </xf>
    <xf numFmtId="0" fontId="1" fillId="0" borderId="9" xfId="0" applyFont="1" applyBorder="1" applyAlignment="1">
      <alignment/>
    </xf>
    <xf numFmtId="44" fontId="0" fillId="0" borderId="15" xfId="17" applyBorder="1" applyAlignment="1">
      <alignment/>
    </xf>
    <xf numFmtId="167" fontId="0" fillId="0" borderId="15" xfId="17" applyNumberFormat="1" applyBorder="1" applyAlignment="1">
      <alignment/>
    </xf>
    <xf numFmtId="44" fontId="0" fillId="0" borderId="3" xfId="17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15" applyNumberFormat="1" applyFont="1" applyBorder="1" applyAlignment="1">
      <alignment/>
    </xf>
    <xf numFmtId="44" fontId="0" fillId="0" borderId="0" xfId="17" applyBorder="1" applyAlignment="1">
      <alignment/>
    </xf>
    <xf numFmtId="44" fontId="0" fillId="0" borderId="5" xfId="17" applyBorder="1" applyAlignment="1">
      <alignment/>
    </xf>
    <xf numFmtId="37" fontId="0" fillId="0" borderId="0" xfId="0" applyNumberFormat="1" applyBorder="1" applyAlignment="1">
      <alignment/>
    </xf>
    <xf numFmtId="167" fontId="0" fillId="0" borderId="0" xfId="17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 quotePrefix="1">
      <alignment horizontal="left"/>
      <protection/>
    </xf>
    <xf numFmtId="0" fontId="0" fillId="0" borderId="0" xfId="0" applyFill="1" applyAlignment="1" applyProtection="1">
      <alignment horizontal="left"/>
      <protection/>
    </xf>
    <xf numFmtId="173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73" fontId="0" fillId="0" borderId="3" xfId="0" applyNumberFormat="1" applyFill="1" applyBorder="1" applyAlignment="1">
      <alignment horizontal="centerContinuous"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5" xfId="0" applyFill="1" applyBorder="1" applyAlignment="1" quotePrefix="1">
      <alignment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5" xfId="0" applyFill="1" applyBorder="1" applyAlignment="1">
      <alignment/>
    </xf>
    <xf numFmtId="173" fontId="0" fillId="0" borderId="5" xfId="0" applyNumberFormat="1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1" xfId="0" applyFill="1" applyBorder="1" applyAlignment="1">
      <alignment/>
    </xf>
    <xf numFmtId="173" fontId="0" fillId="0" borderId="5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4" fillId="0" borderId="11" xfId="0" applyFont="1" applyFill="1" applyBorder="1" applyAlignment="1" applyProtection="1">
      <alignment horizontal="left"/>
      <protection/>
    </xf>
    <xf numFmtId="0" fontId="0" fillId="0" borderId="11" xfId="0" applyFill="1" applyBorder="1" applyAlignment="1">
      <alignment/>
    </xf>
    <xf numFmtId="37" fontId="0" fillId="0" borderId="11" xfId="0" applyNumberFormat="1" applyFill="1" applyBorder="1" applyAlignment="1" applyProtection="1">
      <alignment/>
      <protection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173" fontId="0" fillId="0" borderId="5" xfId="0" applyNumberFormat="1" applyFill="1" applyBorder="1" applyAlignment="1">
      <alignment/>
    </xf>
    <xf numFmtId="0" fontId="0" fillId="0" borderId="1" xfId="0" applyFill="1" applyBorder="1" applyAlignment="1" applyProtection="1">
      <alignment/>
      <protection/>
    </xf>
    <xf numFmtId="0" fontId="0" fillId="0" borderId="5" xfId="0" applyFill="1" applyBorder="1" applyAlignment="1" quotePrefix="1">
      <alignment horizontal="left"/>
    </xf>
    <xf numFmtId="37" fontId="0" fillId="0" borderId="5" xfId="0" applyNumberForma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64" fontId="15" fillId="0" borderId="0" xfId="15" applyNumberFormat="1" applyFill="1" applyBorder="1" applyAlignment="1">
      <alignment/>
    </xf>
    <xf numFmtId="10" fontId="15" fillId="0" borderId="5" xfId="22" applyNumberFormat="1" applyFill="1" applyBorder="1" applyAlignment="1" applyProtection="1">
      <alignment/>
      <protection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0" fontId="0" fillId="0" borderId="0" xfId="0" applyBorder="1" applyAlignment="1" applyProtection="1" quotePrefix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37" fontId="0" fillId="0" borderId="12" xfId="0" applyNumberFormat="1" applyFill="1" applyBorder="1" applyAlignment="1" applyProtection="1">
      <alignment/>
      <protection/>
    </xf>
    <xf numFmtId="173" fontId="0" fillId="0" borderId="5" xfId="0" applyNumberFormat="1" applyFill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7" fontId="0" fillId="0" borderId="6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 quotePrefix="1">
      <alignment horizontal="center"/>
      <protection/>
    </xf>
    <xf numFmtId="173" fontId="0" fillId="0" borderId="11" xfId="0" applyNumberFormat="1" applyFill="1" applyBorder="1" applyAlignment="1" applyProtection="1">
      <alignment/>
      <protection/>
    </xf>
    <xf numFmtId="37" fontId="17" fillId="0" borderId="5" xfId="0" applyNumberFormat="1" applyFont="1" applyFill="1" applyBorder="1" applyAlignment="1" applyProtection="1">
      <alignment horizontal="left"/>
      <protection/>
    </xf>
    <xf numFmtId="0" fontId="0" fillId="0" borderId="5" xfId="0" applyFill="1" applyBorder="1" applyAlignment="1" applyProtection="1">
      <alignment horizontal="left"/>
      <protection/>
    </xf>
    <xf numFmtId="0" fontId="18" fillId="0" borderId="5" xfId="0" applyFont="1" applyFill="1" applyBorder="1" applyAlignment="1">
      <alignment/>
    </xf>
    <xf numFmtId="174" fontId="0" fillId="0" borderId="0" xfId="17" applyNumberFormat="1" applyFill="1" applyBorder="1" applyAlignment="1" applyProtection="1">
      <alignment/>
      <protection/>
    </xf>
    <xf numFmtId="175" fontId="0" fillId="0" borderId="0" xfId="0" applyNumberFormat="1" applyFill="1" applyBorder="1" applyAlignment="1" applyProtection="1">
      <alignment/>
      <protection/>
    </xf>
    <xf numFmtId="0" fontId="0" fillId="0" borderId="6" xfId="0" applyFill="1" applyBorder="1" applyAlignment="1" applyProtection="1">
      <alignment horizontal="left"/>
      <protection/>
    </xf>
    <xf numFmtId="0" fontId="0" fillId="0" borderId="8" xfId="0" applyFill="1" applyBorder="1" applyAlignment="1">
      <alignment/>
    </xf>
    <xf numFmtId="0" fontId="0" fillId="0" borderId="2" xfId="0" applyFill="1" applyBorder="1" applyAlignment="1" applyProtection="1">
      <alignment horizontal="center"/>
      <protection/>
    </xf>
    <xf numFmtId="37" fontId="0" fillId="0" borderId="2" xfId="0" applyNumberFormat="1" applyFill="1" applyBorder="1" applyAlignment="1" applyProtection="1">
      <alignment/>
      <protection/>
    </xf>
    <xf numFmtId="37" fontId="0" fillId="0" borderId="7" xfId="0" applyNumberFormat="1" applyFill="1" applyBorder="1" applyAlignment="1" applyProtection="1">
      <alignment/>
      <protection/>
    </xf>
    <xf numFmtId="173" fontId="0" fillId="0" borderId="8" xfId="0" applyNumberFormat="1" applyFill="1" applyBorder="1" applyAlignment="1">
      <alignment/>
    </xf>
    <xf numFmtId="37" fontId="0" fillId="0" borderId="8" xfId="0" applyNumberFormat="1" applyFill="1" applyBorder="1" applyAlignment="1" applyProtection="1">
      <alignment/>
      <protection/>
    </xf>
    <xf numFmtId="43" fontId="15" fillId="0" borderId="5" xfId="15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 applyProtection="1" quotePrefix="1">
      <alignment horizontal="center"/>
      <protection/>
    </xf>
    <xf numFmtId="0" fontId="0" fillId="0" borderId="7" xfId="0" applyFill="1" applyBorder="1" applyAlignment="1" applyProtection="1">
      <alignment horizontal="left"/>
      <protection/>
    </xf>
    <xf numFmtId="37" fontId="0" fillId="0" borderId="10" xfId="0" applyNumberFormat="1" applyFill="1" applyBorder="1" applyAlignment="1" applyProtection="1">
      <alignment/>
      <protection/>
    </xf>
    <xf numFmtId="173" fontId="0" fillId="0" borderId="2" xfId="0" applyNumberFormat="1" applyFill="1" applyBorder="1" applyAlignment="1">
      <alignment/>
    </xf>
    <xf numFmtId="173" fontId="0" fillId="0" borderId="8" xfId="0" applyNumberFormat="1" applyFill="1" applyBorder="1" applyAlignment="1" applyProtection="1">
      <alignment/>
      <protection/>
    </xf>
    <xf numFmtId="0" fontId="14" fillId="0" borderId="7" xfId="0" applyFont="1" applyFill="1" applyBorder="1" applyAlignment="1" applyProtection="1">
      <alignment horizontal="left"/>
      <protection/>
    </xf>
    <xf numFmtId="173" fontId="0" fillId="0" borderId="7" xfId="0" applyNumberForma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 horizontal="left"/>
      <protection/>
    </xf>
    <xf numFmtId="37" fontId="8" fillId="0" borderId="7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0" fontId="0" fillId="0" borderId="5" xfId="22" applyNumberFormat="1" applyFont="1" applyFill="1" applyBorder="1" applyAlignment="1" applyProtection="1">
      <alignment/>
      <protection/>
    </xf>
    <xf numFmtId="173" fontId="0" fillId="0" borderId="13" xfId="0" applyNumberFormat="1" applyFill="1" applyBorder="1" applyAlignment="1">
      <alignment/>
    </xf>
    <xf numFmtId="173" fontId="15" fillId="0" borderId="1" xfId="15" applyNumberFormat="1" applyFont="1" applyFill="1" applyBorder="1" applyAlignment="1" applyProtection="1">
      <alignment/>
      <protection/>
    </xf>
    <xf numFmtId="173" fontId="0" fillId="0" borderId="1" xfId="15" applyNumberFormat="1" applyFont="1" applyFill="1" applyBorder="1" applyAlignment="1" applyProtection="1">
      <alignment/>
      <protection/>
    </xf>
    <xf numFmtId="173" fontId="0" fillId="0" borderId="1" xfId="0" applyNumberFormat="1" applyFill="1" applyBorder="1" applyAlignment="1" applyProtection="1">
      <alignment/>
      <protection/>
    </xf>
    <xf numFmtId="173" fontId="15" fillId="0" borderId="1" xfId="15" applyNumberFormat="1" applyFill="1" applyBorder="1" applyAlignment="1" applyProtection="1">
      <alignment/>
      <protection/>
    </xf>
    <xf numFmtId="173" fontId="0" fillId="0" borderId="1" xfId="0" applyNumberFormat="1" applyFill="1" applyBorder="1" applyAlignment="1">
      <alignment/>
    </xf>
    <xf numFmtId="173" fontId="0" fillId="0" borderId="2" xfId="0" applyNumberFormat="1" applyFill="1" applyBorder="1" applyAlignment="1" applyProtection="1">
      <alignment/>
      <protection/>
    </xf>
    <xf numFmtId="173" fontId="0" fillId="0" borderId="13" xfId="0" applyNumberFormat="1" applyFill="1" applyBorder="1" applyAlignment="1" applyProtection="1">
      <alignment horizontal="left"/>
      <protection/>
    </xf>
    <xf numFmtId="173" fontId="0" fillId="0" borderId="1" xfId="0" applyNumberForma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3" fillId="0" borderId="15" xfId="0" applyFont="1" applyFill="1" applyBorder="1" applyAlignment="1" applyProtection="1">
      <alignment horizontal="centerContinuous"/>
      <protection/>
    </xf>
    <xf numFmtId="0" fontId="0" fillId="0" borderId="15" xfId="0" applyFill="1" applyBorder="1" applyAlignment="1">
      <alignment horizontal="centerContinuous"/>
    </xf>
    <xf numFmtId="0" fontId="0" fillId="0" borderId="15" xfId="0" applyFill="1" applyBorder="1" applyAlignment="1" applyProtection="1">
      <alignment horizontal="centerContinuous"/>
      <protection/>
    </xf>
    <xf numFmtId="173" fontId="0" fillId="0" borderId="15" xfId="0" applyNumberFormat="1" applyFill="1" applyBorder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5" xfId="0" applyFill="1" applyBorder="1" applyAlignment="1" quotePrefix="1">
      <alignment horizontal="centerContinuous"/>
    </xf>
    <xf numFmtId="0" fontId="13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>
      <alignment horizontal="centerContinuous"/>
    </xf>
    <xf numFmtId="173" fontId="0" fillId="0" borderId="0" xfId="0" applyNumberFormat="1" applyFill="1" applyBorder="1" applyAlignment="1">
      <alignment horizontal="centerContinuous"/>
    </xf>
    <xf numFmtId="10" fontId="0" fillId="0" borderId="13" xfId="22" applyNumberFormat="1" applyFont="1" applyFill="1" applyBorder="1" applyAlignment="1" applyProtection="1">
      <alignment/>
      <protection/>
    </xf>
    <xf numFmtId="10" fontId="0" fillId="0" borderId="1" xfId="22" applyNumberFormat="1" applyFont="1" applyFill="1" applyBorder="1" applyAlignment="1" applyProtection="1">
      <alignment/>
      <protection/>
    </xf>
    <xf numFmtId="10" fontId="0" fillId="0" borderId="2" xfId="22" applyNumberFormat="1" applyFont="1" applyFill="1" applyBorder="1" applyAlignment="1" applyProtection="1">
      <alignment/>
      <protection/>
    </xf>
    <xf numFmtId="10" fontId="0" fillId="0" borderId="14" xfId="22" applyNumberFormat="1" applyFont="1" applyFill="1" applyBorder="1" applyAlignment="1" applyProtection="1">
      <alignment/>
      <protection/>
    </xf>
    <xf numFmtId="164" fontId="0" fillId="0" borderId="0" xfId="15" applyNumberFormat="1" applyFont="1" applyFill="1" applyBorder="1" applyAlignment="1">
      <alignment/>
    </xf>
    <xf numFmtId="164" fontId="0" fillId="0" borderId="0" xfId="15" applyNumberFormat="1" applyFill="1" applyBorder="1" applyAlignment="1">
      <alignment/>
    </xf>
    <xf numFmtId="174" fontId="0" fillId="0" borderId="0" xfId="17" applyNumberFormat="1" applyFill="1" applyBorder="1" applyAlignment="1" applyProtection="1">
      <alignment/>
      <protection/>
    </xf>
    <xf numFmtId="173" fontId="0" fillId="0" borderId="1" xfId="15" applyNumberFormat="1" applyFill="1" applyBorder="1" applyAlignment="1" applyProtection="1">
      <alignment/>
      <protection/>
    </xf>
    <xf numFmtId="173" fontId="0" fillId="0" borderId="1" xfId="15" applyNumberFormat="1" applyFill="1" applyBorder="1" applyAlignment="1">
      <alignment/>
    </xf>
    <xf numFmtId="173" fontId="0" fillId="0" borderId="2" xfId="15" applyNumberFormat="1" applyFill="1" applyBorder="1" applyAlignment="1" applyProtection="1">
      <alignment/>
      <protection/>
    </xf>
    <xf numFmtId="173" fontId="0" fillId="0" borderId="11" xfId="15" applyNumberFormat="1" applyFill="1" applyBorder="1" applyAlignment="1" applyProtection="1">
      <alignment/>
      <protection/>
    </xf>
    <xf numFmtId="173" fontId="0" fillId="0" borderId="13" xfId="15" applyNumberFormat="1" applyFill="1" applyBorder="1" applyAlignment="1" applyProtection="1">
      <alignment horizontal="left"/>
      <protection/>
    </xf>
    <xf numFmtId="173" fontId="0" fillId="0" borderId="1" xfId="15" applyNumberFormat="1" applyFill="1" applyBorder="1" applyAlignment="1" applyProtection="1">
      <alignment horizontal="left"/>
      <protection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0" fontId="2" fillId="0" borderId="5" xfId="0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2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/>
    </xf>
    <xf numFmtId="0" fontId="2" fillId="2" borderId="13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/>
    </xf>
    <xf numFmtId="0" fontId="6" fillId="0" borderId="9" xfId="0" applyFont="1" applyFill="1" applyBorder="1" applyAlignment="1" applyProtection="1">
      <alignment horizontal="left"/>
      <protection/>
    </xf>
    <xf numFmtId="168" fontId="0" fillId="0" borderId="4" xfId="21" applyFont="1" applyBorder="1" quotePrefix="1">
      <alignment/>
      <protection/>
    </xf>
    <xf numFmtId="0" fontId="2" fillId="0" borderId="1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37" fontId="2" fillId="0" borderId="1" xfId="0" applyNumberFormat="1" applyFont="1" applyFill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Fill="1" applyBorder="1" applyAlignment="1">
      <alignment/>
    </xf>
    <xf numFmtId="37" fontId="2" fillId="0" borderId="2" xfId="0" applyNumberFormat="1" applyFont="1" applyFill="1" applyBorder="1" applyAlignment="1" applyProtection="1">
      <alignment/>
      <protection/>
    </xf>
    <xf numFmtId="0" fontId="19" fillId="0" borderId="7" xfId="0" applyFont="1" applyFill="1" applyBorder="1" applyAlignment="1">
      <alignment horizontal="centerContinuous"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4" fontId="0" fillId="3" borderId="0" xfId="17" applyFill="1" applyBorder="1" applyAlignment="1">
      <alignment/>
    </xf>
    <xf numFmtId="0" fontId="0" fillId="0" borderId="11" xfId="0" applyBorder="1" applyAlignment="1">
      <alignment/>
    </xf>
    <xf numFmtId="167" fontId="0" fillId="0" borderId="1" xfId="17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73" fontId="13" fillId="0" borderId="0" xfId="0" applyNumberFormat="1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ORO97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76200</xdr:rowOff>
    </xdr:from>
    <xdr:to>
      <xdr:col>4</xdr:col>
      <xdr:colOff>561975</xdr:colOff>
      <xdr:row>20</xdr:row>
      <xdr:rowOff>171450</xdr:rowOff>
    </xdr:to>
    <xdr:sp>
      <xdr:nvSpPr>
        <xdr:cNvPr id="1" name="AutoShape 1"/>
        <xdr:cNvSpPr>
          <a:spLocks/>
        </xdr:cNvSpPr>
      </xdr:nvSpPr>
      <xdr:spPr>
        <a:xfrm rot="18901406">
          <a:off x="0" y="2505075"/>
          <a:ext cx="7105650" cy="172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SPECIMEN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12</xdr:row>
      <xdr:rowOff>47625</xdr:rowOff>
    </xdr:from>
    <xdr:to>
      <xdr:col>12</xdr:col>
      <xdr:colOff>504825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21568106">
          <a:off x="2905125" y="1752600"/>
          <a:ext cx="7105650" cy="172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SPECIMEN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14</xdr:row>
      <xdr:rowOff>104775</xdr:rowOff>
    </xdr:from>
    <xdr:to>
      <xdr:col>10</xdr:col>
      <xdr:colOff>314325</xdr:colOff>
      <xdr:row>23</xdr:row>
      <xdr:rowOff>28575</xdr:rowOff>
    </xdr:to>
    <xdr:sp>
      <xdr:nvSpPr>
        <xdr:cNvPr id="1" name="AutoShape 1"/>
        <xdr:cNvSpPr>
          <a:spLocks/>
        </xdr:cNvSpPr>
      </xdr:nvSpPr>
      <xdr:spPr>
        <a:xfrm rot="18901406">
          <a:off x="1762125" y="3419475"/>
          <a:ext cx="7105650" cy="172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SPECIMEN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22</xdr:row>
      <xdr:rowOff>123825</xdr:rowOff>
    </xdr:from>
    <xdr:to>
      <xdr:col>12</xdr:col>
      <xdr:colOff>333375</xdr:colOff>
      <xdr:row>31</xdr:row>
      <xdr:rowOff>47625</xdr:rowOff>
    </xdr:to>
    <xdr:sp>
      <xdr:nvSpPr>
        <xdr:cNvPr id="1" name="AutoShape 1"/>
        <xdr:cNvSpPr>
          <a:spLocks/>
        </xdr:cNvSpPr>
      </xdr:nvSpPr>
      <xdr:spPr>
        <a:xfrm rot="18901406">
          <a:off x="1400175" y="4524375"/>
          <a:ext cx="7105650" cy="172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SPECIMEN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1066800</xdr:colOff>
      <xdr:row>20</xdr:row>
      <xdr:rowOff>47625</xdr:rowOff>
    </xdr:from>
    <xdr:to>
      <xdr:col>13</xdr:col>
      <xdr:colOff>104775</xdr:colOff>
      <xdr:row>28</xdr:row>
      <xdr:rowOff>171450</xdr:rowOff>
    </xdr:to>
    <xdr:sp>
      <xdr:nvSpPr>
        <xdr:cNvPr id="1" name="AutoShape 1"/>
        <xdr:cNvSpPr>
          <a:spLocks/>
        </xdr:cNvSpPr>
      </xdr:nvSpPr>
      <xdr:spPr>
        <a:xfrm rot="18901406">
          <a:off x="2105025" y="4048125"/>
          <a:ext cx="7105650" cy="172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SPECIMEN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23</xdr:row>
      <xdr:rowOff>66675</xdr:rowOff>
    </xdr:from>
    <xdr:to>
      <xdr:col>13</xdr:col>
      <xdr:colOff>95250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 rot="18901406">
          <a:off x="1971675" y="4667250"/>
          <a:ext cx="7105650" cy="172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SPECIMEN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BreakPreview" zoomScale="60" workbookViewId="0" topLeftCell="A1">
      <selection activeCell="A3" sqref="A3:D3"/>
    </sheetView>
  </sheetViews>
  <sheetFormatPr defaultColWidth="9.00390625" defaultRowHeight="15.75"/>
  <cols>
    <col min="1" max="1" width="43.625" style="0" customWidth="1"/>
    <col min="2" max="2" width="16.875" style="0" customWidth="1"/>
    <col min="3" max="3" width="12.00390625" style="0" customWidth="1"/>
    <col min="4" max="4" width="13.375" style="0" customWidth="1"/>
  </cols>
  <sheetData>
    <row r="1" spans="1:4" ht="15.75">
      <c r="A1" s="222" t="s">
        <v>6</v>
      </c>
      <c r="B1" s="223"/>
      <c r="C1" s="223"/>
      <c r="D1" s="224"/>
    </row>
    <row r="2" spans="1:4" ht="15.75">
      <c r="A2" s="225" t="s">
        <v>185</v>
      </c>
      <c r="B2" s="226"/>
      <c r="C2" s="226"/>
      <c r="D2" s="227"/>
    </row>
    <row r="3" spans="1:4" ht="15.75">
      <c r="A3" s="228" t="s">
        <v>180</v>
      </c>
      <c r="B3" s="229"/>
      <c r="C3" s="229"/>
      <c r="D3" s="230"/>
    </row>
    <row r="4" spans="1:4" ht="15.75">
      <c r="A4" s="62"/>
      <c r="B4" s="64" t="s">
        <v>51</v>
      </c>
      <c r="C4" s="60" t="s">
        <v>52</v>
      </c>
      <c r="D4" s="61" t="s">
        <v>53</v>
      </c>
    </row>
    <row r="5" spans="1:4" ht="15.75">
      <c r="A5" s="14" t="s">
        <v>23</v>
      </c>
      <c r="B5" s="6"/>
      <c r="C5" s="4"/>
      <c r="D5" s="7"/>
    </row>
    <row r="6" spans="1:4" ht="15.75">
      <c r="A6" s="2" t="s">
        <v>181</v>
      </c>
      <c r="B6" s="65">
        <f>+'Cust Stats 6-30-07'!P29</f>
        <v>153583.99875</v>
      </c>
      <c r="C6" s="4"/>
      <c r="D6" s="7"/>
    </row>
    <row r="7" spans="1:4" ht="15.75">
      <c r="A7" s="2" t="s">
        <v>41</v>
      </c>
      <c r="B7" s="9">
        <v>184.48</v>
      </c>
      <c r="C7" s="4"/>
      <c r="D7" s="7"/>
    </row>
    <row r="8" spans="1:4" ht="15.75">
      <c r="A8" s="2" t="s">
        <v>42</v>
      </c>
      <c r="B8" s="8">
        <f>+B7*B6</f>
        <v>28333176.089399997</v>
      </c>
      <c r="C8" s="4"/>
      <c r="D8" s="7"/>
    </row>
    <row r="9" spans="1:4" ht="15.75">
      <c r="A9" s="2" t="s">
        <v>182</v>
      </c>
      <c r="B9" s="65">
        <f>+'Cust Stats 6-30-07'!P15</f>
        <v>104542068.26069006</v>
      </c>
      <c r="C9" s="4"/>
      <c r="D9" s="7"/>
    </row>
    <row r="10" spans="1:4" ht="18">
      <c r="A10" s="2" t="s">
        <v>43</v>
      </c>
      <c r="B10" s="66">
        <f>+B8/B9+0.00237</f>
        <v>0.2733917672252984</v>
      </c>
      <c r="C10" s="4">
        <v>0.26937</v>
      </c>
      <c r="D10" s="67">
        <f>+B10-C10</f>
        <v>0.0040217672252984005</v>
      </c>
    </row>
    <row r="11" spans="1:4" ht="15.75">
      <c r="A11" s="2"/>
      <c r="B11" s="6"/>
      <c r="C11" s="4"/>
      <c r="D11" s="7"/>
    </row>
    <row r="12" spans="1:4" ht="15.75">
      <c r="A12" s="2"/>
      <c r="B12" s="6"/>
      <c r="C12" s="4"/>
      <c r="D12" s="7"/>
    </row>
    <row r="13" spans="1:4" ht="15.75">
      <c r="A13" s="14" t="s">
        <v>28</v>
      </c>
      <c r="B13" s="6"/>
      <c r="C13" s="4"/>
      <c r="D13" s="7"/>
    </row>
    <row r="14" spans="1:4" ht="15.75">
      <c r="A14" s="2" t="s">
        <v>181</v>
      </c>
      <c r="B14" s="65">
        <f>+'Cust Stats 6-30-07'!P31</f>
        <v>22722.7</v>
      </c>
      <c r="C14" s="4"/>
      <c r="D14" s="7"/>
    </row>
    <row r="15" spans="1:4" ht="15.75">
      <c r="A15" s="2" t="s">
        <v>41</v>
      </c>
      <c r="B15" s="9">
        <v>721.91</v>
      </c>
      <c r="C15" s="4"/>
      <c r="D15" s="7"/>
    </row>
    <row r="16" spans="1:4" ht="15.75">
      <c r="A16" s="2" t="s">
        <v>42</v>
      </c>
      <c r="B16" s="8">
        <f>+B15*B14</f>
        <v>16403744.356999999</v>
      </c>
      <c r="C16" s="4"/>
      <c r="D16" s="7"/>
    </row>
    <row r="17" spans="1:4" ht="15.75">
      <c r="A17" s="2" t="s">
        <v>182</v>
      </c>
      <c r="B17" s="65">
        <f>+'Cust Stats 6-30-07'!P25</f>
        <v>76483657.82528298</v>
      </c>
      <c r="C17" s="4"/>
      <c r="D17" s="7"/>
    </row>
    <row r="18" spans="1:4" ht="18">
      <c r="A18" s="2" t="s">
        <v>43</v>
      </c>
      <c r="B18" s="66">
        <f>+B16/B17+0.00148</f>
        <v>0.21595384739982273</v>
      </c>
      <c r="C18" s="4">
        <v>0.21252</v>
      </c>
      <c r="D18" s="67">
        <f>+B18-C18</f>
        <v>0.003433847399822748</v>
      </c>
    </row>
    <row r="19" spans="1:4" ht="15.75">
      <c r="A19" s="2"/>
      <c r="B19" s="9">
        <f>+'Hypothetical Baseline 6-30-XX'!J35</f>
        <v>721.9</v>
      </c>
      <c r="C19" s="4"/>
      <c r="D19" s="7"/>
    </row>
    <row r="20" spans="1:4" ht="15.75">
      <c r="A20" s="14" t="s">
        <v>44</v>
      </c>
      <c r="B20" s="6"/>
      <c r="C20" s="4"/>
      <c r="D20" s="7"/>
    </row>
    <row r="21" spans="1:4" ht="31.5">
      <c r="A21" s="13" t="s">
        <v>4</v>
      </c>
      <c r="B21" s="9">
        <v>300000</v>
      </c>
      <c r="C21" s="4"/>
      <c r="D21" s="7"/>
    </row>
    <row r="22" spans="1:4" ht="15.75">
      <c r="A22" s="13" t="s">
        <v>45</v>
      </c>
      <c r="B22" s="9">
        <f>+B21*0.06</f>
        <v>18000</v>
      </c>
      <c r="C22" s="4"/>
      <c r="D22" s="7"/>
    </row>
    <row r="23" spans="1:4" ht="15.75">
      <c r="A23" s="13" t="s">
        <v>46</v>
      </c>
      <c r="B23" s="9">
        <f>+B22+B21</f>
        <v>318000</v>
      </c>
      <c r="C23" s="4"/>
      <c r="D23" s="7"/>
    </row>
    <row r="24" spans="1:4" ht="15.75">
      <c r="A24" s="2" t="s">
        <v>183</v>
      </c>
      <c r="B24" s="65">
        <f>+B17+B9</f>
        <v>181025726.08597302</v>
      </c>
      <c r="C24" s="4"/>
      <c r="D24" s="7"/>
    </row>
    <row r="25" spans="1:4" ht="15.75">
      <c r="A25" s="63" t="s">
        <v>47</v>
      </c>
      <c r="B25" s="66">
        <f>+B23/B24</f>
        <v>0.0017566563983782888</v>
      </c>
      <c r="C25" s="68">
        <v>0</v>
      </c>
      <c r="D25" s="69">
        <f>+B25-C25</f>
        <v>0.0017566563983782888</v>
      </c>
    </row>
    <row r="26" spans="1:4" ht="15.75">
      <c r="A26" s="2"/>
      <c r="B26" s="6"/>
      <c r="C26" s="4"/>
      <c r="D26" s="7"/>
    </row>
    <row r="27" spans="1:4" ht="15.75">
      <c r="A27" s="13" t="s">
        <v>3</v>
      </c>
      <c r="B27" s="9">
        <v>-800000</v>
      </c>
      <c r="C27" s="4"/>
      <c r="D27" s="7"/>
    </row>
    <row r="28" spans="1:4" ht="15.75">
      <c r="A28" s="13" t="s">
        <v>45</v>
      </c>
      <c r="B28" s="9">
        <f>+B27*0.06</f>
        <v>-48000</v>
      </c>
      <c r="C28" s="4"/>
      <c r="D28" s="7"/>
    </row>
    <row r="29" spans="1:4" ht="15.75">
      <c r="A29" s="13" t="s">
        <v>46</v>
      </c>
      <c r="B29" s="9">
        <f>+B28+B27</f>
        <v>-848000</v>
      </c>
      <c r="C29" s="4"/>
      <c r="D29" s="7"/>
    </row>
    <row r="30" spans="1:4" ht="15.75">
      <c r="A30" s="2" t="s">
        <v>183</v>
      </c>
      <c r="B30" s="65">
        <f>+B24</f>
        <v>181025726.08597302</v>
      </c>
      <c r="C30" s="4"/>
      <c r="D30" s="7"/>
    </row>
    <row r="31" spans="1:4" ht="15.75">
      <c r="A31" s="63" t="s">
        <v>47</v>
      </c>
      <c r="B31" s="66">
        <f>+B29/B30</f>
        <v>-0.0046844170623421034</v>
      </c>
      <c r="C31" s="68">
        <v>0</v>
      </c>
      <c r="D31" s="69">
        <f>+B31-C31</f>
        <v>-0.0046844170623421034</v>
      </c>
    </row>
    <row r="32" spans="1:4" ht="15.75">
      <c r="A32" s="2"/>
      <c r="B32" s="6"/>
      <c r="C32" s="4"/>
      <c r="D32" s="7"/>
    </row>
    <row r="33" spans="1:4" ht="18">
      <c r="A33" s="63" t="s">
        <v>48</v>
      </c>
      <c r="B33" s="6"/>
      <c r="C33" s="4"/>
      <c r="D33" s="70">
        <f>+D31+D25</f>
        <v>-0.0029277606639638147</v>
      </c>
    </row>
    <row r="34" spans="1:4" ht="15.75">
      <c r="A34" s="2"/>
      <c r="B34" s="6"/>
      <c r="C34" s="4"/>
      <c r="D34" s="7"/>
    </row>
    <row r="35" spans="1:4" ht="18">
      <c r="A35" s="63" t="s">
        <v>49</v>
      </c>
      <c r="B35" s="6"/>
      <c r="C35" s="4"/>
      <c r="D35" s="70">
        <f>+D33+D10</f>
        <v>0.0010940065613345858</v>
      </c>
    </row>
    <row r="36" spans="1:4" ht="15.75">
      <c r="A36" s="2"/>
      <c r="B36" s="6"/>
      <c r="C36" s="4"/>
      <c r="D36" s="7"/>
    </row>
    <row r="37" spans="1:4" ht="18">
      <c r="A37" s="63" t="s">
        <v>50</v>
      </c>
      <c r="B37" s="6"/>
      <c r="C37" s="4"/>
      <c r="D37" s="70">
        <f>+D33+D18</f>
        <v>0.0005060867358589335</v>
      </c>
    </row>
    <row r="38" spans="1:4" ht="15.75">
      <c r="A38" s="3"/>
      <c r="B38" s="10"/>
      <c r="C38" s="11"/>
      <c r="D38" s="12"/>
    </row>
  </sheetData>
  <mergeCells count="3">
    <mergeCell ref="A1:D1"/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scale="88"/>
  <headerFooter alignWithMargins="0">
    <oddHeader>&amp;RDocket No. UG-060256
Exhibit No. __ (MLB-4)
Page 4 of 12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zoomScale="75" zoomScaleNormal="75" zoomScaleSheetLayoutView="75" workbookViewId="0" topLeftCell="B1">
      <selection activeCell="M5" sqref="M5:M7"/>
    </sheetView>
  </sheetViews>
  <sheetFormatPr defaultColWidth="9.00390625" defaultRowHeight="15.75"/>
  <cols>
    <col min="1" max="1" width="11.375" style="16" customWidth="1"/>
    <col min="2" max="2" width="13.375" style="16" customWidth="1"/>
    <col min="3" max="3" width="9.50390625" style="16" customWidth="1"/>
    <col min="4" max="6" width="9.875" style="16" customWidth="1"/>
    <col min="7" max="7" width="10.25390625" style="16" customWidth="1"/>
    <col min="8" max="9" width="9.875" style="16" customWidth="1"/>
    <col min="10" max="10" width="10.25390625" style="16" customWidth="1"/>
    <col min="11" max="11" width="10.75390625" style="16" customWidth="1"/>
    <col min="12" max="16" width="9.875" style="16" customWidth="1"/>
    <col min="17" max="17" width="9.125" style="16" bestFit="1" customWidth="1"/>
    <col min="18" max="16384" width="9.00390625" style="16" customWidth="1"/>
  </cols>
  <sheetData>
    <row r="1" spans="1:16" ht="12.75">
      <c r="A1" s="196"/>
      <c r="B1" s="197"/>
      <c r="C1" s="198" t="s">
        <v>6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</row>
    <row r="2" spans="1:16" ht="18.75">
      <c r="A2" s="20"/>
      <c r="B2" s="200"/>
      <c r="C2" s="216" t="s">
        <v>184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</row>
    <row r="3" spans="1:16" ht="12" customHeight="1">
      <c r="A3" s="17"/>
      <c r="B3" s="18"/>
      <c r="C3" s="195" t="s">
        <v>7</v>
      </c>
      <c r="D3" s="19">
        <v>2006</v>
      </c>
      <c r="E3" s="19">
        <v>2006</v>
      </c>
      <c r="F3" s="19">
        <v>2006</v>
      </c>
      <c r="G3" s="19">
        <v>2006</v>
      </c>
      <c r="H3" s="19">
        <v>2006</v>
      </c>
      <c r="I3" s="19">
        <v>2006</v>
      </c>
      <c r="J3" s="19">
        <v>2007</v>
      </c>
      <c r="K3" s="19">
        <v>2007</v>
      </c>
      <c r="L3" s="19">
        <v>2007</v>
      </c>
      <c r="M3" s="19">
        <v>2007</v>
      </c>
      <c r="N3" s="19">
        <v>2007</v>
      </c>
      <c r="O3" s="19">
        <v>2007</v>
      </c>
      <c r="P3" s="203"/>
    </row>
    <row r="4" spans="1:16" ht="12.75">
      <c r="A4" s="231" t="s">
        <v>8</v>
      </c>
      <c r="B4" s="232"/>
      <c r="C4" s="22" t="s">
        <v>9</v>
      </c>
      <c r="D4" s="23" t="s">
        <v>10</v>
      </c>
      <c r="E4" s="23" t="s">
        <v>11</v>
      </c>
      <c r="F4" s="23" t="s">
        <v>12</v>
      </c>
      <c r="G4" s="23" t="s">
        <v>13</v>
      </c>
      <c r="H4" s="23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04" t="s">
        <v>32</v>
      </c>
    </row>
    <row r="5" spans="1:16" ht="12.75">
      <c r="A5" s="24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05"/>
    </row>
    <row r="6" spans="1:16" ht="12.75">
      <c r="A6" s="206"/>
      <c r="B6" s="1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16" ht="12.75">
      <c r="A7" s="30" t="s">
        <v>2</v>
      </c>
      <c r="B7" s="28"/>
      <c r="C7" s="209"/>
      <c r="D7" s="209">
        <f>+D31*1.04</f>
        <v>22895.308800000003</v>
      </c>
      <c r="E7" s="209">
        <f aca="true" t="shared" si="0" ref="E7:O7">+E31*1.04</f>
        <v>23077.0176</v>
      </c>
      <c r="F7" s="209">
        <f t="shared" si="0"/>
        <v>22913.696000000004</v>
      </c>
      <c r="G7" s="209">
        <f t="shared" si="0"/>
        <v>23298.7456</v>
      </c>
      <c r="H7" s="209">
        <f t="shared" si="0"/>
        <v>23627.552</v>
      </c>
      <c r="I7" s="209">
        <f t="shared" si="0"/>
        <v>23895.788800000002</v>
      </c>
      <c r="J7" s="209">
        <f t="shared" si="0"/>
        <v>24065.600000000002</v>
      </c>
      <c r="K7" s="209">
        <f t="shared" si="0"/>
        <v>24104.5376</v>
      </c>
      <c r="L7" s="209">
        <f t="shared" si="0"/>
        <v>24100.211199999998</v>
      </c>
      <c r="M7" s="209">
        <f t="shared" si="0"/>
        <v>24028.8256</v>
      </c>
      <c r="N7" s="209">
        <f t="shared" si="0"/>
        <v>23952.032</v>
      </c>
      <c r="O7" s="209">
        <f t="shared" si="0"/>
        <v>23619.9808</v>
      </c>
      <c r="P7" s="209">
        <f>SUM(D7:O7)</f>
        <v>283579.29600000003</v>
      </c>
    </row>
    <row r="8" spans="1:16" ht="14.25" customHeight="1">
      <c r="A8" s="27" t="s">
        <v>23</v>
      </c>
      <c r="B8" s="28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</row>
    <row r="9" spans="1:16" ht="12.75">
      <c r="A9" s="27" t="s">
        <v>24</v>
      </c>
      <c r="B9" s="28"/>
      <c r="C9" s="210" t="s">
        <v>25</v>
      </c>
      <c r="D9" s="212">
        <v>2617889.04</v>
      </c>
      <c r="E9" s="212">
        <v>2260942.32</v>
      </c>
      <c r="F9" s="212">
        <v>2809512.16</v>
      </c>
      <c r="G9" s="212">
        <v>4694028.56</v>
      </c>
      <c r="H9" s="212">
        <v>9468994.08</v>
      </c>
      <c r="I9" s="212">
        <v>14613324.96</v>
      </c>
      <c r="J9" s="212">
        <v>19131747.44</v>
      </c>
      <c r="K9" s="212">
        <v>14616954.56</v>
      </c>
      <c r="L9" s="212">
        <v>12719846.88</v>
      </c>
      <c r="M9" s="212">
        <v>10009541.360000001</v>
      </c>
      <c r="N9" s="212">
        <v>5516694.5600000005</v>
      </c>
      <c r="O9" s="212">
        <v>4038451.04</v>
      </c>
      <c r="P9" s="212">
        <f aca="true" t="shared" si="1" ref="P9:P15">SUM(D9:O9)</f>
        <v>102497926.96000001</v>
      </c>
    </row>
    <row r="10" spans="1:16" ht="12.75" hidden="1">
      <c r="A10" s="27" t="s">
        <v>26</v>
      </c>
      <c r="B10" s="28"/>
      <c r="C10" s="209"/>
      <c r="D10" s="212">
        <v>1247800</v>
      </c>
      <c r="E10" s="212">
        <v>1235500</v>
      </c>
      <c r="F10" s="212">
        <v>1991000</v>
      </c>
      <c r="G10" s="212">
        <f>F10+1721800</f>
        <v>3712800</v>
      </c>
      <c r="H10" s="212">
        <f>G10+3943200</f>
        <v>7656000</v>
      </c>
      <c r="I10" s="212">
        <f>H10+2425500</f>
        <v>10081500</v>
      </c>
      <c r="J10" s="212">
        <f>I10+698500</f>
        <v>10780000</v>
      </c>
      <c r="K10" s="212">
        <f>J10-3624800</f>
        <v>7155200</v>
      </c>
      <c r="L10" s="212">
        <f>K10-2502200</f>
        <v>4653000</v>
      </c>
      <c r="M10" s="212">
        <f>L10-439000</f>
        <v>4214000</v>
      </c>
      <c r="N10" s="212">
        <f>M10-2239000</f>
        <v>1975000</v>
      </c>
      <c r="O10" s="212">
        <f>N10-332400</f>
        <v>1642600</v>
      </c>
      <c r="P10" s="212">
        <f t="shared" si="1"/>
        <v>56344400</v>
      </c>
    </row>
    <row r="11" spans="1:16" ht="12.75" hidden="1">
      <c r="A11" s="27" t="s">
        <v>27</v>
      </c>
      <c r="B11" s="28"/>
      <c r="C11" s="209"/>
      <c r="D11" s="212">
        <v>-1582600</v>
      </c>
      <c r="E11" s="212">
        <f>-D10</f>
        <v>-1247800</v>
      </c>
      <c r="F11" s="212">
        <f>-E10</f>
        <v>-1235500</v>
      </c>
      <c r="G11" s="212">
        <f>-F10</f>
        <v>-1991000</v>
      </c>
      <c r="H11" s="212">
        <f aca="true" t="shared" si="2" ref="H11:O11">-G10</f>
        <v>-3712800</v>
      </c>
      <c r="I11" s="212">
        <f t="shared" si="2"/>
        <v>-7656000</v>
      </c>
      <c r="J11" s="212">
        <f t="shared" si="2"/>
        <v>-10081500</v>
      </c>
      <c r="K11" s="212">
        <f t="shared" si="2"/>
        <v>-10780000</v>
      </c>
      <c r="L11" s="212">
        <f t="shared" si="2"/>
        <v>-7155200</v>
      </c>
      <c r="M11" s="212">
        <f t="shared" si="2"/>
        <v>-4653000</v>
      </c>
      <c r="N11" s="212">
        <f t="shared" si="2"/>
        <v>-4214000</v>
      </c>
      <c r="O11" s="212">
        <f t="shared" si="2"/>
        <v>-1975000</v>
      </c>
      <c r="P11" s="212">
        <f t="shared" si="1"/>
        <v>-56284400</v>
      </c>
    </row>
    <row r="12" spans="1:16" ht="12.75">
      <c r="A12" s="27" t="s">
        <v>78</v>
      </c>
      <c r="B12" s="28"/>
      <c r="C12" s="209"/>
      <c r="D12" s="212">
        <f>+D10+D11</f>
        <v>-334800</v>
      </c>
      <c r="E12" s="212">
        <f aca="true" t="shared" si="3" ref="E12:O12">+E10+E11</f>
        <v>-12300</v>
      </c>
      <c r="F12" s="212">
        <f t="shared" si="3"/>
        <v>755500</v>
      </c>
      <c r="G12" s="212">
        <f t="shared" si="3"/>
        <v>1721800</v>
      </c>
      <c r="H12" s="212">
        <f t="shared" si="3"/>
        <v>3943200</v>
      </c>
      <c r="I12" s="212">
        <f t="shared" si="3"/>
        <v>2425500</v>
      </c>
      <c r="J12" s="212">
        <f t="shared" si="3"/>
        <v>698500</v>
      </c>
      <c r="K12" s="212">
        <f t="shared" si="3"/>
        <v>-3624800</v>
      </c>
      <c r="L12" s="212">
        <f t="shared" si="3"/>
        <v>-2502200</v>
      </c>
      <c r="M12" s="212">
        <f t="shared" si="3"/>
        <v>-439000</v>
      </c>
      <c r="N12" s="212">
        <f t="shared" si="3"/>
        <v>-2239000</v>
      </c>
      <c r="O12" s="212">
        <f t="shared" si="3"/>
        <v>-332400</v>
      </c>
      <c r="P12" s="212"/>
    </row>
    <row r="13" spans="1:16" ht="12.75">
      <c r="A13" s="27" t="s">
        <v>33</v>
      </c>
      <c r="B13" s="28"/>
      <c r="C13" s="209"/>
      <c r="D13" s="212">
        <f aca="true" t="shared" si="4" ref="D13:O13">SUM(D9:D11)</f>
        <v>2283089.04</v>
      </c>
      <c r="E13" s="212">
        <f t="shared" si="4"/>
        <v>2248642.32</v>
      </c>
      <c r="F13" s="212">
        <f t="shared" si="4"/>
        <v>3565012.16</v>
      </c>
      <c r="G13" s="212">
        <f t="shared" si="4"/>
        <v>6415828.559999999</v>
      </c>
      <c r="H13" s="212">
        <f t="shared" si="4"/>
        <v>13412194.079999998</v>
      </c>
      <c r="I13" s="212">
        <f t="shared" si="4"/>
        <v>17038824.96</v>
      </c>
      <c r="J13" s="212">
        <f t="shared" si="4"/>
        <v>19830247.44</v>
      </c>
      <c r="K13" s="212">
        <f t="shared" si="4"/>
        <v>10992154.560000002</v>
      </c>
      <c r="L13" s="212">
        <f t="shared" si="4"/>
        <v>10217646.880000003</v>
      </c>
      <c r="M13" s="212">
        <f t="shared" si="4"/>
        <v>9570541.360000001</v>
      </c>
      <c r="N13" s="212">
        <f t="shared" si="4"/>
        <v>3277694.5600000005</v>
      </c>
      <c r="O13" s="212">
        <f t="shared" si="4"/>
        <v>3706051.04</v>
      </c>
      <c r="P13" s="212">
        <f t="shared" si="1"/>
        <v>102557926.96000001</v>
      </c>
    </row>
    <row r="14" spans="1:16" ht="12.75">
      <c r="A14" s="27" t="s">
        <v>34</v>
      </c>
      <c r="B14" s="28"/>
      <c r="C14" s="209"/>
      <c r="D14" s="43">
        <v>247081.30269667457</v>
      </c>
      <c r="E14" s="43">
        <v>220714.38810647908</v>
      </c>
      <c r="F14" s="43">
        <v>-319321.12076353305</v>
      </c>
      <c r="G14" s="43">
        <v>100247.61550254305</v>
      </c>
      <c r="H14" s="43">
        <v>-679801.3554980981</v>
      </c>
      <c r="I14" s="43">
        <v>1666473.1142864088</v>
      </c>
      <c r="J14" s="43">
        <v>-576851.2279266971</v>
      </c>
      <c r="K14" s="43">
        <v>-295681.1894478386</v>
      </c>
      <c r="L14" s="43">
        <v>935870.6956412552</v>
      </c>
      <c r="M14" s="43">
        <v>9558.946604399127</v>
      </c>
      <c r="N14" s="43">
        <v>725015.7097956307</v>
      </c>
      <c r="O14" s="43">
        <v>-49165.57830715703</v>
      </c>
      <c r="P14" s="43">
        <f>SUM(D14:O14)</f>
        <v>1984141.3006900665</v>
      </c>
    </row>
    <row r="15" spans="1:16" ht="12.75">
      <c r="A15" s="27" t="s">
        <v>40</v>
      </c>
      <c r="B15" s="28"/>
      <c r="C15" s="209"/>
      <c r="D15" s="212">
        <f aca="true" t="shared" si="5" ref="D15:O15">+D14+D13</f>
        <v>2530170.3426966746</v>
      </c>
      <c r="E15" s="212">
        <f t="shared" si="5"/>
        <v>2469356.7081064787</v>
      </c>
      <c r="F15" s="212">
        <f t="shared" si="5"/>
        <v>3245691.0392364673</v>
      </c>
      <c r="G15" s="212">
        <f t="shared" si="5"/>
        <v>6516076.1755025415</v>
      </c>
      <c r="H15" s="212">
        <f t="shared" si="5"/>
        <v>12732392.7245019</v>
      </c>
      <c r="I15" s="212">
        <f t="shared" si="5"/>
        <v>18705298.07428641</v>
      </c>
      <c r="J15" s="212">
        <f t="shared" si="5"/>
        <v>19253396.212073304</v>
      </c>
      <c r="K15" s="212">
        <f t="shared" si="5"/>
        <v>10696473.370552164</v>
      </c>
      <c r="L15" s="212">
        <f t="shared" si="5"/>
        <v>11153517.575641258</v>
      </c>
      <c r="M15" s="212">
        <f t="shared" si="5"/>
        <v>9580100.3066044</v>
      </c>
      <c r="N15" s="212">
        <f t="shared" si="5"/>
        <v>4002710.269795631</v>
      </c>
      <c r="O15" s="212">
        <f t="shared" si="5"/>
        <v>3656885.461692843</v>
      </c>
      <c r="P15" s="212">
        <f t="shared" si="1"/>
        <v>104542068.26069006</v>
      </c>
    </row>
    <row r="16" spans="1:16" ht="12.75">
      <c r="A16" s="27"/>
      <c r="B16" s="28"/>
      <c r="C16" s="209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</row>
    <row r="17" spans="1:16" ht="12" customHeight="1">
      <c r="A17" s="27" t="s">
        <v>28</v>
      </c>
      <c r="B17" s="2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</row>
    <row r="18" spans="1:16" ht="12.75">
      <c r="A18" s="27" t="s">
        <v>29</v>
      </c>
      <c r="B18" s="28"/>
      <c r="C18" s="210" t="s">
        <v>30</v>
      </c>
      <c r="D18" s="213">
        <v>2584067.09</v>
      </c>
      <c r="E18" s="213">
        <v>2452637.03</v>
      </c>
      <c r="F18" s="213">
        <v>2644567.23</v>
      </c>
      <c r="G18" s="213">
        <v>3635661.04</v>
      </c>
      <c r="H18" s="213">
        <v>6171173.93</v>
      </c>
      <c r="I18" s="213">
        <v>10022153.38</v>
      </c>
      <c r="J18" s="213">
        <v>13092849.120000001</v>
      </c>
      <c r="K18" s="213">
        <v>10837413.83</v>
      </c>
      <c r="L18" s="213">
        <v>9116576.35</v>
      </c>
      <c r="M18" s="213">
        <v>6717100.71</v>
      </c>
      <c r="N18" s="213">
        <v>4327694.35</v>
      </c>
      <c r="O18" s="213">
        <v>3428591.9</v>
      </c>
      <c r="P18" s="213">
        <f aca="true" t="shared" si="6" ref="P18:P25">SUM(D18:O18)</f>
        <v>75030485.96000001</v>
      </c>
    </row>
    <row r="19" spans="1:16" ht="12.75" hidden="1">
      <c r="A19" s="27" t="s">
        <v>26</v>
      </c>
      <c r="B19" s="28"/>
      <c r="C19" s="209"/>
      <c r="D19" s="212">
        <v>1336200</v>
      </c>
      <c r="E19" s="212">
        <v>1480500</v>
      </c>
      <c r="F19" s="212">
        <v>2200000</v>
      </c>
      <c r="G19" s="212">
        <f>F19+939500</f>
        <v>3139500</v>
      </c>
      <c r="H19" s="212">
        <f>G19+2341500</f>
        <v>5481000</v>
      </c>
      <c r="I19" s="212">
        <f>H19+1945000</f>
        <v>7426000</v>
      </c>
      <c r="J19" s="212">
        <f>I19+561000</f>
        <v>7987000</v>
      </c>
      <c r="K19" s="212">
        <f>J19-2242200</f>
        <v>5744800</v>
      </c>
      <c r="L19" s="212">
        <f>K19-2147800</f>
        <v>3597000</v>
      </c>
      <c r="M19" s="212">
        <f>L19-529600</f>
        <v>3067400</v>
      </c>
      <c r="N19" s="212">
        <f>M19-1387400</f>
        <v>1680000</v>
      </c>
      <c r="O19" s="212">
        <f>N19-175000</f>
        <v>1505000</v>
      </c>
      <c r="P19" s="212">
        <f t="shared" si="6"/>
        <v>44644400</v>
      </c>
    </row>
    <row r="20" spans="1:16" ht="12.75" hidden="1">
      <c r="A20" s="27" t="s">
        <v>27</v>
      </c>
      <c r="B20" s="28"/>
      <c r="C20" s="209"/>
      <c r="D20" s="212">
        <v>-1512900</v>
      </c>
      <c r="E20" s="212">
        <f>-D19</f>
        <v>-1336200</v>
      </c>
      <c r="F20" s="212">
        <f>-E19</f>
        <v>-1480500</v>
      </c>
      <c r="G20" s="212">
        <f>-F19</f>
        <v>-2200000</v>
      </c>
      <c r="H20" s="212">
        <f aca="true" t="shared" si="7" ref="H20:N20">-G19</f>
        <v>-3139500</v>
      </c>
      <c r="I20" s="212">
        <f t="shared" si="7"/>
        <v>-5481000</v>
      </c>
      <c r="J20" s="212">
        <f t="shared" si="7"/>
        <v>-7426000</v>
      </c>
      <c r="K20" s="212">
        <f t="shared" si="7"/>
        <v>-7987000</v>
      </c>
      <c r="L20" s="212">
        <f t="shared" si="7"/>
        <v>-5744800</v>
      </c>
      <c r="M20" s="212">
        <f t="shared" si="7"/>
        <v>-3597000</v>
      </c>
      <c r="N20" s="212">
        <f t="shared" si="7"/>
        <v>-3067400</v>
      </c>
      <c r="O20" s="212">
        <f>-N19</f>
        <v>-1680000</v>
      </c>
      <c r="P20" s="212">
        <f t="shared" si="6"/>
        <v>-44652300</v>
      </c>
    </row>
    <row r="21" spans="1:16" ht="12.75">
      <c r="A21" s="27" t="s">
        <v>31</v>
      </c>
      <c r="B21" s="28"/>
      <c r="C21" s="209"/>
      <c r="D21" s="212">
        <v>-571</v>
      </c>
      <c r="E21" s="212">
        <v>-331</v>
      </c>
      <c r="F21" s="212">
        <v>-436</v>
      </c>
      <c r="G21" s="212">
        <v>-2350</v>
      </c>
      <c r="H21" s="212">
        <v>-6396</v>
      </c>
      <c r="I21" s="212">
        <v>-15177</v>
      </c>
      <c r="J21" s="212">
        <f>-18866</f>
        <v>-18866</v>
      </c>
      <c r="K21" s="212">
        <v>-16214</v>
      </c>
      <c r="L21" s="212">
        <v>-11054</v>
      </c>
      <c r="M21" s="212">
        <v>-8071</v>
      </c>
      <c r="N21" s="212">
        <v>-3367</v>
      </c>
      <c r="O21" s="212">
        <v>-1892</v>
      </c>
      <c r="P21" s="212">
        <f t="shared" si="6"/>
        <v>-84725</v>
      </c>
    </row>
    <row r="22" spans="1:16" ht="12.75">
      <c r="A22" s="27" t="s">
        <v>78</v>
      </c>
      <c r="B22" s="28"/>
      <c r="C22" s="209"/>
      <c r="D22" s="212">
        <f>SUM(D19:D21)</f>
        <v>-177271</v>
      </c>
      <c r="E22" s="212">
        <f aca="true" t="shared" si="8" ref="E22:O22">SUM(E19:E21)</f>
        <v>143969</v>
      </c>
      <c r="F22" s="212">
        <f t="shared" si="8"/>
        <v>719064</v>
      </c>
      <c r="G22" s="212">
        <f t="shared" si="8"/>
        <v>937150</v>
      </c>
      <c r="H22" s="212">
        <f t="shared" si="8"/>
        <v>2335104</v>
      </c>
      <c r="I22" s="212">
        <f t="shared" si="8"/>
        <v>1929823</v>
      </c>
      <c r="J22" s="212">
        <f t="shared" si="8"/>
        <v>542134</v>
      </c>
      <c r="K22" s="212">
        <f t="shared" si="8"/>
        <v>-2258414</v>
      </c>
      <c r="L22" s="212">
        <f t="shared" si="8"/>
        <v>-2158854</v>
      </c>
      <c r="M22" s="212">
        <f t="shared" si="8"/>
        <v>-537671</v>
      </c>
      <c r="N22" s="212">
        <f t="shared" si="8"/>
        <v>-1390767</v>
      </c>
      <c r="O22" s="212">
        <f t="shared" si="8"/>
        <v>-176892</v>
      </c>
      <c r="P22" s="212"/>
    </row>
    <row r="23" spans="1:16" ht="12.75">
      <c r="A23" s="27" t="s">
        <v>33</v>
      </c>
      <c r="B23" s="28"/>
      <c r="C23" s="209"/>
      <c r="D23" s="212">
        <f aca="true" t="shared" si="9" ref="D23:O23">SUM(D18:D21)</f>
        <v>2406796.09</v>
      </c>
      <c r="E23" s="212">
        <f t="shared" si="9"/>
        <v>2596606.03</v>
      </c>
      <c r="F23" s="212">
        <f t="shared" si="9"/>
        <v>3363631.2300000004</v>
      </c>
      <c r="G23" s="212">
        <f t="shared" si="9"/>
        <v>4572811.04</v>
      </c>
      <c r="H23" s="212">
        <f t="shared" si="9"/>
        <v>8506277.93</v>
      </c>
      <c r="I23" s="212">
        <f t="shared" si="9"/>
        <v>11951976.380000003</v>
      </c>
      <c r="J23" s="212">
        <f t="shared" si="9"/>
        <v>13634983.120000001</v>
      </c>
      <c r="K23" s="212">
        <f t="shared" si="9"/>
        <v>8578999.83</v>
      </c>
      <c r="L23" s="212">
        <f t="shared" si="9"/>
        <v>6957722.35</v>
      </c>
      <c r="M23" s="212">
        <f t="shared" si="9"/>
        <v>6179429.710000001</v>
      </c>
      <c r="N23" s="212">
        <f t="shared" si="9"/>
        <v>2936927.3499999996</v>
      </c>
      <c r="O23" s="212">
        <f t="shared" si="9"/>
        <v>3251699.9000000004</v>
      </c>
      <c r="P23" s="212">
        <f t="shared" si="6"/>
        <v>74937860.96000001</v>
      </c>
    </row>
    <row r="24" spans="1:16" ht="12.75">
      <c r="A24" s="27" t="s">
        <v>34</v>
      </c>
      <c r="B24" s="28"/>
      <c r="C24" s="209"/>
      <c r="D24" s="43">
        <v>120079.18624856166</v>
      </c>
      <c r="E24" s="43">
        <v>205222.36917812546</v>
      </c>
      <c r="F24" s="43">
        <v>-205411.9013923594</v>
      </c>
      <c r="G24" s="43">
        <v>159473.3697131935</v>
      </c>
      <c r="H24" s="43">
        <v>-353743.77711434057</v>
      </c>
      <c r="I24" s="43">
        <v>1155886.9088196824</v>
      </c>
      <c r="J24" s="43">
        <v>-379334.8900221223</v>
      </c>
      <c r="K24" s="43">
        <v>-101254.18409185321</v>
      </c>
      <c r="L24" s="43">
        <v>573240.6635371305</v>
      </c>
      <c r="M24" s="43">
        <v>20925.733347208356</v>
      </c>
      <c r="N24" s="43">
        <v>381934.1453913173</v>
      </c>
      <c r="O24" s="43">
        <v>-31220.758331581543</v>
      </c>
      <c r="P24" s="43">
        <f>SUM(D24:O24)</f>
        <v>1545796.8652829623</v>
      </c>
    </row>
    <row r="25" spans="1:16" ht="12.75">
      <c r="A25" s="27" t="s">
        <v>40</v>
      </c>
      <c r="B25" s="28"/>
      <c r="C25" s="209"/>
      <c r="D25" s="212">
        <f aca="true" t="shared" si="10" ref="D25:O25">+D24+D23</f>
        <v>2526875.2762485617</v>
      </c>
      <c r="E25" s="212">
        <f t="shared" si="10"/>
        <v>2801828.3991781254</v>
      </c>
      <c r="F25" s="212">
        <f t="shared" si="10"/>
        <v>3158219.328607641</v>
      </c>
      <c r="G25" s="212">
        <f t="shared" si="10"/>
        <v>4732284.409713194</v>
      </c>
      <c r="H25" s="212">
        <f t="shared" si="10"/>
        <v>8152534.152885659</v>
      </c>
      <c r="I25" s="212">
        <f t="shared" si="10"/>
        <v>13107863.288819686</v>
      </c>
      <c r="J25" s="212">
        <f t="shared" si="10"/>
        <v>13255648.22997788</v>
      </c>
      <c r="K25" s="212">
        <f t="shared" si="10"/>
        <v>8477745.645908147</v>
      </c>
      <c r="L25" s="212">
        <f t="shared" si="10"/>
        <v>7530963.01353713</v>
      </c>
      <c r="M25" s="212">
        <f t="shared" si="10"/>
        <v>6200355.443347209</v>
      </c>
      <c r="N25" s="212">
        <f t="shared" si="10"/>
        <v>3318861.4953913167</v>
      </c>
      <c r="O25" s="212">
        <f t="shared" si="10"/>
        <v>3220479.141668419</v>
      </c>
      <c r="P25" s="212">
        <f t="shared" si="6"/>
        <v>76483657.82528298</v>
      </c>
    </row>
    <row r="26" spans="1:16" ht="12.75">
      <c r="A26" s="27"/>
      <c r="B26" s="28"/>
      <c r="C26" s="209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</row>
    <row r="27" spans="1:16" ht="12.75" customHeight="1">
      <c r="A27" s="207"/>
      <c r="B27" s="28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</row>
    <row r="28" spans="1:16" ht="12.75" customHeight="1">
      <c r="A28" s="30" t="s">
        <v>0</v>
      </c>
      <c r="B28" s="28"/>
      <c r="C28" s="209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8" ht="12.75" customHeight="1">
      <c r="A29" s="27" t="s">
        <v>24</v>
      </c>
      <c r="B29" s="28"/>
      <c r="C29" s="210" t="s">
        <v>25</v>
      </c>
      <c r="D29" s="212">
        <v>147403.54499999998</v>
      </c>
      <c r="E29" s="212">
        <v>148783.485</v>
      </c>
      <c r="F29" s="212">
        <v>148607.3</v>
      </c>
      <c r="G29" s="212">
        <v>151190.995</v>
      </c>
      <c r="H29" s="212">
        <v>153349.525</v>
      </c>
      <c r="I29" s="212">
        <v>155336.09</v>
      </c>
      <c r="J29" s="212">
        <v>156351</v>
      </c>
      <c r="K29" s="212">
        <v>156816.255</v>
      </c>
      <c r="L29" s="212">
        <v>157115.875</v>
      </c>
      <c r="M29" s="212">
        <v>156878.5</v>
      </c>
      <c r="N29" s="212">
        <v>156287.7</v>
      </c>
      <c r="O29" s="212">
        <v>154887.715</v>
      </c>
      <c r="P29" s="212">
        <f>+AVERAGE(D29:O29)</f>
        <v>153583.99875</v>
      </c>
      <c r="Q29" s="47">
        <v>145649.41666666666</v>
      </c>
      <c r="R29" s="48">
        <f>+P29-Q29</f>
        <v>7934.582083333342</v>
      </c>
    </row>
    <row r="30" spans="1:18" ht="12.75" customHeight="1">
      <c r="A30" s="207"/>
      <c r="B30" s="2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49"/>
      <c r="R30" s="48"/>
    </row>
    <row r="31" spans="1:18" ht="12.75" customHeight="1">
      <c r="A31" s="20" t="s">
        <v>29</v>
      </c>
      <c r="B31" s="21"/>
      <c r="C31" s="211" t="s">
        <v>30</v>
      </c>
      <c r="D31" s="215">
        <v>22014.72</v>
      </c>
      <c r="E31" s="215">
        <v>22189.44</v>
      </c>
      <c r="F31" s="215">
        <v>22032.4</v>
      </c>
      <c r="G31" s="215">
        <v>22402.64</v>
      </c>
      <c r="H31" s="215">
        <v>22718.8</v>
      </c>
      <c r="I31" s="215">
        <v>22976.72</v>
      </c>
      <c r="J31" s="215">
        <v>23140</v>
      </c>
      <c r="K31" s="215">
        <v>23177.44</v>
      </c>
      <c r="L31" s="215">
        <v>23173.28</v>
      </c>
      <c r="M31" s="215">
        <v>23104.64</v>
      </c>
      <c r="N31" s="215">
        <v>23030.8</v>
      </c>
      <c r="O31" s="215">
        <v>22711.52</v>
      </c>
      <c r="P31" s="215">
        <f>+AVERAGE(D31:O31)</f>
        <v>22722.7</v>
      </c>
      <c r="Q31" s="47">
        <v>21912.833333333332</v>
      </c>
      <c r="R31" s="48">
        <f>+P31-Q31</f>
        <v>809.8666666666686</v>
      </c>
    </row>
    <row r="32" ht="12.75" customHeight="1">
      <c r="A32" s="29"/>
    </row>
    <row r="33" ht="12.75" customHeight="1">
      <c r="A33" s="29"/>
    </row>
    <row r="34" ht="12.75" customHeight="1">
      <c r="A34" s="29"/>
    </row>
    <row r="35" spans="1:16" ht="12.75" customHeight="1">
      <c r="A35" s="2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ht="12.75" customHeight="1">
      <c r="A36" s="29"/>
    </row>
    <row r="37" ht="12.75" customHeight="1">
      <c r="A37" s="29"/>
    </row>
    <row r="38" ht="12.75" customHeight="1">
      <c r="A38" s="29"/>
    </row>
    <row r="41" spans="5:8" ht="15.75">
      <c r="E41" s="31" t="s">
        <v>35</v>
      </c>
      <c r="F41" s="32"/>
      <c r="G41" s="32"/>
      <c r="H41" s="33"/>
    </row>
    <row r="42" spans="5:8" ht="15.75">
      <c r="E42" s="34"/>
      <c r="F42" s="35" t="s">
        <v>36</v>
      </c>
      <c r="G42" s="35" t="s">
        <v>37</v>
      </c>
      <c r="H42" s="35"/>
    </row>
    <row r="43" spans="5:8" ht="15.75">
      <c r="E43" s="36"/>
      <c r="F43" s="37" t="s">
        <v>5</v>
      </c>
      <c r="G43" s="37" t="s">
        <v>5</v>
      </c>
      <c r="H43" s="37" t="s">
        <v>32</v>
      </c>
    </row>
    <row r="44" spans="5:8" ht="15.75">
      <c r="E44" s="38" t="s">
        <v>38</v>
      </c>
      <c r="F44" s="39" t="s">
        <v>39</v>
      </c>
      <c r="G44" s="39" t="s">
        <v>39</v>
      </c>
      <c r="H44" s="39" t="s">
        <v>39</v>
      </c>
    </row>
    <row r="45" spans="5:8" ht="15.75">
      <c r="E45" s="40">
        <v>38183</v>
      </c>
      <c r="F45" s="43">
        <v>247081.30269667457</v>
      </c>
      <c r="G45" s="43">
        <v>120079.18624856166</v>
      </c>
      <c r="H45" s="44">
        <v>367160.4889452362</v>
      </c>
    </row>
    <row r="46" spans="5:8" ht="15.75">
      <c r="E46" s="41">
        <v>38214</v>
      </c>
      <c r="F46" s="43">
        <v>220714.38810647908</v>
      </c>
      <c r="G46" s="43">
        <v>205222.36917812546</v>
      </c>
      <c r="H46" s="44">
        <v>425936.75728460454</v>
      </c>
    </row>
    <row r="47" spans="5:8" ht="15.75">
      <c r="E47" s="41">
        <v>38245</v>
      </c>
      <c r="F47" s="43">
        <v>-319321.12076353305</v>
      </c>
      <c r="G47" s="43">
        <v>-205411.9013923594</v>
      </c>
      <c r="H47" s="44">
        <v>-524733.0221558925</v>
      </c>
    </row>
    <row r="48" spans="5:8" ht="15.75">
      <c r="E48" s="41">
        <v>38276</v>
      </c>
      <c r="F48" s="43">
        <v>100247.61550254305</v>
      </c>
      <c r="G48" s="43">
        <v>159473.3697131935</v>
      </c>
      <c r="H48" s="44">
        <v>259720.98521573655</v>
      </c>
    </row>
    <row r="49" spans="5:8" ht="15.75">
      <c r="E49" s="41">
        <v>38307</v>
      </c>
      <c r="F49" s="43">
        <v>-679801.3554980981</v>
      </c>
      <c r="G49" s="43">
        <v>-353743.77711434057</v>
      </c>
      <c r="H49" s="44">
        <v>-1033545.1326124386</v>
      </c>
    </row>
    <row r="50" spans="5:8" ht="15.75">
      <c r="E50" s="41">
        <v>38338</v>
      </c>
      <c r="F50" s="43">
        <v>1666473.1142864088</v>
      </c>
      <c r="G50" s="43">
        <v>1155886.9088196824</v>
      </c>
      <c r="H50" s="44">
        <v>2822360.023106091</v>
      </c>
    </row>
    <row r="51" spans="5:8" ht="15.75">
      <c r="E51" s="41">
        <v>38369</v>
      </c>
      <c r="F51" s="43">
        <v>-576851.2279266971</v>
      </c>
      <c r="G51" s="43">
        <v>-379334.8900221223</v>
      </c>
      <c r="H51" s="44">
        <v>-956186.1179488194</v>
      </c>
    </row>
    <row r="52" spans="5:8" ht="15.75">
      <c r="E52" s="41">
        <v>38400</v>
      </c>
      <c r="F52" s="43">
        <v>-295681.1894478386</v>
      </c>
      <c r="G52" s="43">
        <v>-101254.18409185321</v>
      </c>
      <c r="H52" s="44">
        <v>-396935.3735396918</v>
      </c>
    </row>
    <row r="53" spans="5:8" ht="15.75">
      <c r="E53" s="41">
        <v>38431</v>
      </c>
      <c r="F53" s="43">
        <v>935870.6956412552</v>
      </c>
      <c r="G53" s="43">
        <v>573240.6635371305</v>
      </c>
      <c r="H53" s="44">
        <v>1509111.3591783857</v>
      </c>
    </row>
    <row r="54" spans="5:8" ht="15.75">
      <c r="E54" s="41">
        <v>38462</v>
      </c>
      <c r="F54" s="43">
        <v>9558.946604399127</v>
      </c>
      <c r="G54" s="43">
        <v>20925.733347208356</v>
      </c>
      <c r="H54" s="44">
        <v>30484.679951607483</v>
      </c>
    </row>
    <row r="55" spans="5:8" ht="15.75">
      <c r="E55" s="41">
        <v>38493</v>
      </c>
      <c r="F55" s="43">
        <v>725015.7097956307</v>
      </c>
      <c r="G55" s="43">
        <v>381934.1453913173</v>
      </c>
      <c r="H55" s="44">
        <v>1106949.855186948</v>
      </c>
    </row>
    <row r="56" spans="5:8" ht="15.75">
      <c r="E56" s="41">
        <v>38524</v>
      </c>
      <c r="F56" s="43">
        <v>-49165.57830715703</v>
      </c>
      <c r="G56" s="43">
        <v>-31220.758331581543</v>
      </c>
      <c r="H56" s="44">
        <v>-80386.33663873858</v>
      </c>
    </row>
    <row r="57" spans="5:8" ht="15.75">
      <c r="E57" s="42" t="s">
        <v>32</v>
      </c>
      <c r="F57" s="45">
        <v>1984141.3006900665</v>
      </c>
      <c r="G57" s="45">
        <v>1545796.8652829623</v>
      </c>
      <c r="H57" s="46">
        <v>3529938.165973029</v>
      </c>
    </row>
  </sheetData>
  <mergeCells count="1">
    <mergeCell ref="A4:B4"/>
  </mergeCells>
  <printOptions/>
  <pageMargins left="0.75" right="0.75" top="1" bottom="1" header="0.5" footer="0.5"/>
  <pageSetup fitToHeight="1" fitToWidth="1" horizontalDpi="600" verticalDpi="600" orientation="landscape" scale="69"/>
  <headerFooter alignWithMargins="0">
    <oddHeader>&amp;RDocket No. UG-060256
Exhibit No. __ (MLB-4)
Page 5 of 12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="75" zoomScaleNormal="75" zoomScaleSheetLayoutView="75" workbookViewId="0" topLeftCell="A1">
      <selection activeCell="D12" sqref="D12"/>
    </sheetView>
  </sheetViews>
  <sheetFormatPr defaultColWidth="9.00390625" defaultRowHeight="15.75"/>
  <cols>
    <col min="1" max="1" width="5.50390625" style="0" customWidth="1"/>
    <col min="2" max="2" width="9.125" style="0" customWidth="1"/>
    <col min="3" max="3" width="13.125" style="0" customWidth="1"/>
    <col min="4" max="4" width="12.25390625" style="0" customWidth="1"/>
    <col min="5" max="5" width="10.25390625" style="0" customWidth="1"/>
    <col min="6" max="6" width="11.75390625" style="0" bestFit="1" customWidth="1"/>
    <col min="7" max="7" width="10.75390625" style="0" customWidth="1"/>
    <col min="8" max="8" width="13.00390625" style="0" bestFit="1" customWidth="1"/>
    <col min="9" max="9" width="15.125" style="0" bestFit="1" customWidth="1"/>
    <col min="10" max="10" width="11.375" style="0" customWidth="1"/>
    <col min="11" max="11" width="15.75390625" style="0" bestFit="1" customWidth="1"/>
    <col min="12" max="12" width="11.50390625" style="0" customWidth="1"/>
    <col min="13" max="13" width="9.25390625" style="0" bestFit="1" customWidth="1"/>
    <col min="14" max="14" width="10.75390625" style="0" bestFit="1" customWidth="1"/>
    <col min="16" max="16" width="9.50390625" style="0" bestFit="1" customWidth="1"/>
  </cols>
  <sheetData>
    <row r="1" spans="1:12" ht="15.75">
      <c r="A1" s="233" t="s">
        <v>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18.75">
      <c r="A2" s="236" t="s">
        <v>179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12" ht="18.75">
      <c r="A3" s="236" t="s">
        <v>186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8"/>
    </row>
    <row r="4" spans="1:12" ht="18.75">
      <c r="A4" s="239" t="s">
        <v>54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1"/>
    </row>
    <row r="5" spans="1:12" ht="47.25">
      <c r="A5" s="50"/>
      <c r="B5" s="220"/>
      <c r="C5" s="51" t="s">
        <v>1</v>
      </c>
      <c r="D5" s="51" t="s">
        <v>55</v>
      </c>
      <c r="E5" s="51" t="s">
        <v>56</v>
      </c>
      <c r="F5" s="51" t="s">
        <v>57</v>
      </c>
      <c r="G5" s="51" t="s">
        <v>0</v>
      </c>
      <c r="H5" s="51" t="s">
        <v>58</v>
      </c>
      <c r="I5" s="51" t="s">
        <v>59</v>
      </c>
      <c r="J5" s="51" t="s">
        <v>60</v>
      </c>
      <c r="K5" s="51" t="s">
        <v>61</v>
      </c>
      <c r="L5" s="52" t="s">
        <v>62</v>
      </c>
    </row>
    <row r="6" spans="1:13" ht="15.75">
      <c r="A6" s="53" t="s">
        <v>63</v>
      </c>
      <c r="B6" s="7"/>
      <c r="C6" s="77"/>
      <c r="D6" s="77"/>
      <c r="E6" s="77"/>
      <c r="F6" s="77"/>
      <c r="G6" s="58"/>
      <c r="H6" s="78">
        <v>4</v>
      </c>
      <c r="I6" s="81">
        <f>+'CAP Calculation'!B10</f>
        <v>0.2733917672252984</v>
      </c>
      <c r="J6" s="81"/>
      <c r="K6" s="78"/>
      <c r="L6" s="79"/>
      <c r="M6">
        <v>504</v>
      </c>
    </row>
    <row r="7" spans="1:17" ht="15.75">
      <c r="A7" s="75" t="s">
        <v>64</v>
      </c>
      <c r="B7" s="76"/>
      <c r="C7" s="77">
        <f>+'Cust Stats 6-30-07'!J9</f>
        <v>19131747.44</v>
      </c>
      <c r="D7" s="77">
        <f>+'Cust Stats 6-30-07'!J12</f>
        <v>698500</v>
      </c>
      <c r="E7" s="77">
        <v>-576851.2279266971</v>
      </c>
      <c r="F7" s="77">
        <f aca="true" t="shared" si="0" ref="F7:F18">+E7+D7+C7</f>
        <v>19253396.212073304</v>
      </c>
      <c r="G7" s="77">
        <f>+'Cust Stats 6-30-07'!J29</f>
        <v>156351</v>
      </c>
      <c r="H7" s="78">
        <f aca="true" t="shared" si="1" ref="H7:H18">+G7*H$6</f>
        <v>625404</v>
      </c>
      <c r="I7" s="78">
        <f aca="true" t="shared" si="2" ref="I7:I18">+F7*I$6</f>
        <v>5263720.015507586</v>
      </c>
      <c r="J7" s="219">
        <f>ROUND(+I7/G7,3)</f>
        <v>33.666</v>
      </c>
      <c r="K7" s="78">
        <f aca="true" t="shared" si="3" ref="K7:K18">+I7+H7</f>
        <v>5889124.015507586</v>
      </c>
      <c r="L7" s="79">
        <f aca="true" t="shared" si="4" ref="L7:L18">+K7/G7</f>
        <v>37.666046366877005</v>
      </c>
      <c r="N7" s="15">
        <f aca="true" t="shared" si="5" ref="N7:N15">+J7</f>
        <v>33.666</v>
      </c>
      <c r="O7" s="55" t="s">
        <v>64</v>
      </c>
      <c r="P7" s="56">
        <f>+J16</f>
        <v>11.783</v>
      </c>
      <c r="Q7" s="57" t="s">
        <v>65</v>
      </c>
    </row>
    <row r="8" spans="1:17" ht="15.75">
      <c r="A8" s="75" t="s">
        <v>66</v>
      </c>
      <c r="B8" s="76"/>
      <c r="C8" s="77">
        <f>+'Cust Stats 6-30-07'!K9</f>
        <v>14616954.56</v>
      </c>
      <c r="D8" s="77">
        <f>+'Cust Stats 6-30-07'!K12</f>
        <v>-3624800</v>
      </c>
      <c r="E8" s="77">
        <v>-295681.1894478386</v>
      </c>
      <c r="F8" s="77">
        <f t="shared" si="0"/>
        <v>10696473.370552162</v>
      </c>
      <c r="G8" s="77">
        <f>+'Cust Stats 6-30-07'!K29</f>
        <v>156816.255</v>
      </c>
      <c r="H8" s="78">
        <f t="shared" si="1"/>
        <v>627265.02</v>
      </c>
      <c r="I8" s="78">
        <f t="shared" si="2"/>
        <v>2924327.7578535997</v>
      </c>
      <c r="J8" s="219">
        <f aca="true" t="shared" si="6" ref="J8:J18">ROUND(+I8/G8,3)</f>
        <v>18.648</v>
      </c>
      <c r="K8" s="78">
        <f t="shared" si="3"/>
        <v>3551592.7778535997</v>
      </c>
      <c r="L8" s="79">
        <f t="shared" si="4"/>
        <v>22.648116280124146</v>
      </c>
      <c r="N8" s="15">
        <f t="shared" si="5"/>
        <v>18.648</v>
      </c>
      <c r="O8" s="55" t="s">
        <v>66</v>
      </c>
      <c r="P8" s="56">
        <f>+J17</f>
        <v>22.699</v>
      </c>
      <c r="Q8" s="57" t="s">
        <v>67</v>
      </c>
    </row>
    <row r="9" spans="1:17" ht="15.75">
      <c r="A9" s="75" t="s">
        <v>68</v>
      </c>
      <c r="B9" s="76"/>
      <c r="C9" s="77">
        <f>+'Cust Stats 6-30-07'!L9</f>
        <v>12719846.88</v>
      </c>
      <c r="D9" s="77">
        <f>+'Cust Stats 6-30-07'!L12</f>
        <v>-2502200</v>
      </c>
      <c r="E9" s="77">
        <v>935870.6956412552</v>
      </c>
      <c r="F9" s="77">
        <f t="shared" si="0"/>
        <v>11153517.575641256</v>
      </c>
      <c r="G9" s="77">
        <f>+'Cust Stats 6-30-07'!L29</f>
        <v>157115.875</v>
      </c>
      <c r="H9" s="78">
        <f t="shared" si="1"/>
        <v>628463.5</v>
      </c>
      <c r="I9" s="78">
        <f t="shared" si="2"/>
        <v>3049279.880782989</v>
      </c>
      <c r="J9" s="219">
        <f t="shared" si="6"/>
        <v>19.408</v>
      </c>
      <c r="K9" s="78">
        <f t="shared" si="3"/>
        <v>3677743.380782989</v>
      </c>
      <c r="L9" s="79">
        <f t="shared" si="4"/>
        <v>23.407840746729054</v>
      </c>
      <c r="N9" s="15">
        <f t="shared" si="5"/>
        <v>19.408</v>
      </c>
      <c r="O9" s="55" t="s">
        <v>68</v>
      </c>
      <c r="P9" s="56">
        <f>+J18</f>
        <v>32.921</v>
      </c>
      <c r="Q9" s="57" t="s">
        <v>69</v>
      </c>
    </row>
    <row r="10" spans="1:17" ht="15.75">
      <c r="A10" s="75" t="s">
        <v>70</v>
      </c>
      <c r="B10" s="76"/>
      <c r="C10" s="77">
        <f>+'Cust Stats 6-30-07'!M9</f>
        <v>10009541.360000001</v>
      </c>
      <c r="D10" s="77">
        <f>+'Cust Stats 6-30-07'!M12</f>
        <v>-439000</v>
      </c>
      <c r="E10" s="77">
        <v>9558.946604399127</v>
      </c>
      <c r="F10" s="77">
        <f t="shared" si="0"/>
        <v>9580100.3066044</v>
      </c>
      <c r="G10" s="77">
        <f>+'Cust Stats 6-30-07'!M29</f>
        <v>156878.5</v>
      </c>
      <c r="H10" s="78">
        <f t="shared" si="1"/>
        <v>627514</v>
      </c>
      <c r="I10" s="78">
        <f t="shared" si="2"/>
        <v>2619120.5530182</v>
      </c>
      <c r="J10" s="219">
        <f t="shared" si="6"/>
        <v>16.695</v>
      </c>
      <c r="K10" s="78">
        <f t="shared" si="3"/>
        <v>3246634.5530182</v>
      </c>
      <c r="L10" s="79">
        <f t="shared" si="4"/>
        <v>20.695216699663753</v>
      </c>
      <c r="N10" s="15">
        <f t="shared" si="5"/>
        <v>16.695</v>
      </c>
      <c r="O10" s="55" t="s">
        <v>70</v>
      </c>
      <c r="P10" s="56">
        <f aca="true" t="shared" si="7" ref="P10:P18">+N7</f>
        <v>33.666</v>
      </c>
      <c r="Q10" s="57" t="s">
        <v>64</v>
      </c>
    </row>
    <row r="11" spans="1:17" ht="15.75">
      <c r="A11" s="75" t="s">
        <v>71</v>
      </c>
      <c r="B11" s="76"/>
      <c r="C11" s="77">
        <f>+'Cust Stats 6-30-07'!N9</f>
        <v>5516694.5600000005</v>
      </c>
      <c r="D11" s="77">
        <f>+'Cust Stats 6-30-07'!N12</f>
        <v>-2239000</v>
      </c>
      <c r="E11" s="77">
        <v>725015.7097956307</v>
      </c>
      <c r="F11" s="77">
        <f t="shared" si="0"/>
        <v>4002710.269795631</v>
      </c>
      <c r="G11" s="77">
        <f>+'Cust Stats 6-30-07'!N29</f>
        <v>156287.7</v>
      </c>
      <c r="H11" s="78">
        <f t="shared" si="1"/>
        <v>625150.8</v>
      </c>
      <c r="I11" s="78">
        <f t="shared" si="2"/>
        <v>1094308.0343502786</v>
      </c>
      <c r="J11" s="219">
        <f t="shared" si="6"/>
        <v>7.002</v>
      </c>
      <c r="K11" s="78">
        <f t="shared" si="3"/>
        <v>1719458.8343502786</v>
      </c>
      <c r="L11" s="79">
        <f t="shared" si="4"/>
        <v>11.001882005751435</v>
      </c>
      <c r="N11" s="15">
        <f t="shared" si="5"/>
        <v>7.002</v>
      </c>
      <c r="O11" s="55" t="s">
        <v>71</v>
      </c>
      <c r="P11" s="56">
        <f t="shared" si="7"/>
        <v>18.648</v>
      </c>
      <c r="Q11" s="57" t="s">
        <v>66</v>
      </c>
    </row>
    <row r="12" spans="1:17" ht="15.75">
      <c r="A12" s="75" t="s">
        <v>72</v>
      </c>
      <c r="B12" s="76"/>
      <c r="C12" s="77">
        <f>+'Cust Stats 6-30-07'!O9</f>
        <v>4038451.04</v>
      </c>
      <c r="D12" s="77">
        <f>+'Cust Stats 6-30-07'!O12</f>
        <v>-332400</v>
      </c>
      <c r="E12" s="77">
        <v>-49165.57830715703</v>
      </c>
      <c r="F12" s="77">
        <f t="shared" si="0"/>
        <v>3656885.461692843</v>
      </c>
      <c r="G12" s="77">
        <f>+'Cust Stats 6-30-07'!O29</f>
        <v>154887.715</v>
      </c>
      <c r="H12" s="78">
        <f t="shared" si="1"/>
        <v>619550.86</v>
      </c>
      <c r="I12" s="78">
        <f t="shared" si="2"/>
        <v>999762.3789127077</v>
      </c>
      <c r="J12" s="219">
        <f t="shared" si="6"/>
        <v>6.455</v>
      </c>
      <c r="K12" s="78">
        <f t="shared" si="3"/>
        <v>1619313.2389127077</v>
      </c>
      <c r="L12" s="79">
        <f t="shared" si="4"/>
        <v>10.45475581399537</v>
      </c>
      <c r="N12" s="15">
        <f t="shared" si="5"/>
        <v>6.455</v>
      </c>
      <c r="O12" s="55" t="s">
        <v>72</v>
      </c>
      <c r="P12" s="56">
        <f t="shared" si="7"/>
        <v>19.408</v>
      </c>
      <c r="Q12" s="57" t="s">
        <v>68</v>
      </c>
    </row>
    <row r="13" spans="1:17" ht="15.75">
      <c r="A13" s="75" t="s">
        <v>73</v>
      </c>
      <c r="B13" s="76"/>
      <c r="C13" s="77">
        <f>+'Cust Stats 6-30-07'!D9</f>
        <v>2617889.04</v>
      </c>
      <c r="D13" s="77">
        <f>+'Cust Stats 6-30-07'!D12</f>
        <v>-334800</v>
      </c>
      <c r="E13" s="77">
        <v>247081.30269667457</v>
      </c>
      <c r="F13" s="77">
        <f t="shared" si="0"/>
        <v>2530170.3426966746</v>
      </c>
      <c r="G13" s="77">
        <f>+'Cust Stats 6-30-07'!D29</f>
        <v>147403.54499999998</v>
      </c>
      <c r="H13" s="78">
        <f t="shared" si="1"/>
        <v>589614.1799999999</v>
      </c>
      <c r="I13" s="78">
        <f t="shared" si="2"/>
        <v>691727.7413708827</v>
      </c>
      <c r="J13" s="219">
        <f t="shared" si="6"/>
        <v>4.693</v>
      </c>
      <c r="K13" s="78">
        <f t="shared" si="3"/>
        <v>1281341.9213708825</v>
      </c>
      <c r="L13" s="79">
        <f t="shared" si="4"/>
        <v>8.692748341777552</v>
      </c>
      <c r="N13" s="15">
        <f t="shared" si="5"/>
        <v>4.693</v>
      </c>
      <c r="O13" s="55" t="s">
        <v>73</v>
      </c>
      <c r="P13" s="56">
        <f t="shared" si="7"/>
        <v>16.695</v>
      </c>
      <c r="Q13" s="57" t="s">
        <v>70</v>
      </c>
    </row>
    <row r="14" spans="1:17" ht="15.75">
      <c r="A14" s="75" t="s">
        <v>74</v>
      </c>
      <c r="B14" s="76"/>
      <c r="C14" s="77">
        <f>+'Cust Stats 6-30-07'!E9</f>
        <v>2260942.32</v>
      </c>
      <c r="D14" s="77">
        <f>+'Cust Stats 6-30-07'!E12</f>
        <v>-12300</v>
      </c>
      <c r="E14" s="77">
        <v>220714.38810647908</v>
      </c>
      <c r="F14" s="77">
        <f t="shared" si="0"/>
        <v>2469356.7081064787</v>
      </c>
      <c r="G14" s="77">
        <f>+'Cust Stats 6-30-07'!E29</f>
        <v>148783.485</v>
      </c>
      <c r="H14" s="78">
        <f t="shared" si="1"/>
        <v>595133.94</v>
      </c>
      <c r="I14" s="78">
        <f t="shared" si="2"/>
        <v>675101.7943388756</v>
      </c>
      <c r="J14" s="219">
        <f t="shared" si="6"/>
        <v>4.537</v>
      </c>
      <c r="K14" s="78">
        <f t="shared" si="3"/>
        <v>1270235.7343388754</v>
      </c>
      <c r="L14" s="79">
        <f t="shared" si="4"/>
        <v>8.537478029492826</v>
      </c>
      <c r="N14" s="15">
        <f t="shared" si="5"/>
        <v>4.537</v>
      </c>
      <c r="O14" s="55" t="s">
        <v>74</v>
      </c>
      <c r="P14" s="56">
        <f t="shared" si="7"/>
        <v>7.002</v>
      </c>
      <c r="Q14" s="57" t="s">
        <v>71</v>
      </c>
    </row>
    <row r="15" spans="1:17" ht="15.75">
      <c r="A15" s="75" t="s">
        <v>75</v>
      </c>
      <c r="B15" s="76"/>
      <c r="C15" s="77">
        <f>+'Cust Stats 6-30-07'!F9</f>
        <v>2809512.16</v>
      </c>
      <c r="D15" s="77">
        <f>+'Cust Stats 6-30-07'!F12</f>
        <v>755500</v>
      </c>
      <c r="E15" s="77">
        <v>-319321.12076353305</v>
      </c>
      <c r="F15" s="77">
        <f t="shared" si="0"/>
        <v>3245691.0392364673</v>
      </c>
      <c r="G15" s="77">
        <f>+'Cust Stats 6-30-07'!F29</f>
        <v>148607.3</v>
      </c>
      <c r="H15" s="78">
        <f t="shared" si="1"/>
        <v>594429.2</v>
      </c>
      <c r="I15" s="78">
        <f t="shared" si="2"/>
        <v>887345.2090841731</v>
      </c>
      <c r="J15" s="219">
        <f t="shared" si="6"/>
        <v>5.971</v>
      </c>
      <c r="K15" s="78">
        <f t="shared" si="3"/>
        <v>1481774.409084173</v>
      </c>
      <c r="L15" s="79">
        <f t="shared" si="4"/>
        <v>9.971074160449541</v>
      </c>
      <c r="N15" s="15">
        <f t="shared" si="5"/>
        <v>5.971</v>
      </c>
      <c r="O15" s="55" t="s">
        <v>75</v>
      </c>
      <c r="P15" s="56">
        <f t="shared" si="7"/>
        <v>6.455</v>
      </c>
      <c r="Q15" s="57" t="s">
        <v>72</v>
      </c>
    </row>
    <row r="16" spans="1:17" ht="15.75">
      <c r="A16" s="75" t="s">
        <v>65</v>
      </c>
      <c r="B16" s="76"/>
      <c r="C16" s="77">
        <f>+'Cust Stats 6-30-07'!G9</f>
        <v>4694028.56</v>
      </c>
      <c r="D16" s="77">
        <f>+'Cust Stats 6-30-07'!G12</f>
        <v>1721800</v>
      </c>
      <c r="E16" s="77">
        <v>100247.61550254305</v>
      </c>
      <c r="F16" s="77">
        <f t="shared" si="0"/>
        <v>6516076.175502542</v>
      </c>
      <c r="G16" s="77">
        <f>+'Cust Stats 6-30-07'!G29</f>
        <v>151190.995</v>
      </c>
      <c r="H16" s="78">
        <f t="shared" si="1"/>
        <v>604763.98</v>
      </c>
      <c r="I16" s="78">
        <f t="shared" si="2"/>
        <v>1781441.5809953038</v>
      </c>
      <c r="J16" s="219">
        <f t="shared" si="6"/>
        <v>11.783</v>
      </c>
      <c r="K16" s="78">
        <f t="shared" si="3"/>
        <v>2386205.560995304</v>
      </c>
      <c r="L16" s="79">
        <f t="shared" si="4"/>
        <v>15.782722780515494</v>
      </c>
      <c r="P16" s="56">
        <f t="shared" si="7"/>
        <v>4.693</v>
      </c>
      <c r="Q16" s="57" t="s">
        <v>73</v>
      </c>
    </row>
    <row r="17" spans="1:17" ht="15.75">
      <c r="A17" s="75" t="s">
        <v>67</v>
      </c>
      <c r="B17" s="76"/>
      <c r="C17" s="77">
        <f>+'Cust Stats 6-30-07'!H9</f>
        <v>9468994.08</v>
      </c>
      <c r="D17" s="77">
        <f>+'Cust Stats 6-30-07'!H12</f>
        <v>3943200</v>
      </c>
      <c r="E17" s="77">
        <v>-679801.3554980981</v>
      </c>
      <c r="F17" s="77">
        <f t="shared" si="0"/>
        <v>12732392.724501902</v>
      </c>
      <c r="G17" s="77">
        <f>+'Cust Stats 6-30-07'!H29</f>
        <v>153349.525</v>
      </c>
      <c r="H17" s="78">
        <f t="shared" si="1"/>
        <v>613398.1</v>
      </c>
      <c r="I17" s="78">
        <f t="shared" si="2"/>
        <v>3480931.347958107</v>
      </c>
      <c r="J17" s="219">
        <f t="shared" si="6"/>
        <v>22.699</v>
      </c>
      <c r="K17" s="78">
        <f t="shared" si="3"/>
        <v>4094329.447958107</v>
      </c>
      <c r="L17" s="79">
        <f t="shared" si="4"/>
        <v>26.699329182520177</v>
      </c>
      <c r="P17" s="56">
        <f t="shared" si="7"/>
        <v>4.537</v>
      </c>
      <c r="Q17" s="57" t="s">
        <v>74</v>
      </c>
    </row>
    <row r="18" spans="1:17" ht="15.75">
      <c r="A18" s="75" t="s">
        <v>69</v>
      </c>
      <c r="B18" s="76"/>
      <c r="C18" s="77">
        <f>+'Cust Stats 6-30-07'!I9</f>
        <v>14613324.96</v>
      </c>
      <c r="D18" s="77">
        <f>+'Cust Stats 6-30-07'!I12</f>
        <v>2425500</v>
      </c>
      <c r="E18" s="77">
        <v>1666473.1142864088</v>
      </c>
      <c r="F18" s="77">
        <f t="shared" si="0"/>
        <v>18705298.07428641</v>
      </c>
      <c r="G18" s="77">
        <f>+'Cust Stats 6-30-07'!I29</f>
        <v>155336.09</v>
      </c>
      <c r="H18" s="78">
        <f t="shared" si="1"/>
        <v>621344.36</v>
      </c>
      <c r="I18" s="78">
        <f t="shared" si="2"/>
        <v>5113874.497005132</v>
      </c>
      <c r="J18" s="219">
        <f t="shared" si="6"/>
        <v>32.921</v>
      </c>
      <c r="K18" s="78">
        <f t="shared" si="3"/>
        <v>5735218.857005132</v>
      </c>
      <c r="L18" s="79">
        <f t="shared" si="4"/>
        <v>36.92135457384779</v>
      </c>
      <c r="P18" s="56">
        <f t="shared" si="7"/>
        <v>5.971</v>
      </c>
      <c r="Q18" s="57" t="s">
        <v>75</v>
      </c>
    </row>
    <row r="19" spans="1:16" ht="15.75">
      <c r="A19" s="75"/>
      <c r="B19" s="76" t="s">
        <v>32</v>
      </c>
      <c r="C19" s="76">
        <f>SUM(C7:C18)</f>
        <v>102497926.96000001</v>
      </c>
      <c r="D19" s="80">
        <f>SUM(D7:D18)</f>
        <v>60000</v>
      </c>
      <c r="E19" s="80">
        <f>SUM(E7:E18)</f>
        <v>1984141.3006900668</v>
      </c>
      <c r="F19" s="76">
        <f>SUM(F7:F18)</f>
        <v>104542068.26069006</v>
      </c>
      <c r="G19" s="76">
        <f>+AVERAGE(G7:G18)</f>
        <v>153583.99875</v>
      </c>
      <c r="H19" s="78"/>
      <c r="I19" s="78">
        <f>SUM(I7:I18)</f>
        <v>28580940.79117783</v>
      </c>
      <c r="J19" s="78">
        <f>SUM(J7:J18)</f>
        <v>184.478</v>
      </c>
      <c r="K19" s="78">
        <f>SUM(K7:K18)</f>
        <v>35952972.73117784</v>
      </c>
      <c r="L19" s="79">
        <f>SUM(L7:L18)</f>
        <v>232.47856498174417</v>
      </c>
      <c r="P19" s="15">
        <f>SUM(P7:P18)</f>
        <v>184.47800000000004</v>
      </c>
    </row>
    <row r="20" spans="1:12" ht="15.75">
      <c r="A20" s="75"/>
      <c r="B20" s="76" t="s">
        <v>76</v>
      </c>
      <c r="C20" s="76"/>
      <c r="D20" s="76"/>
      <c r="E20" s="76"/>
      <c r="F20" s="76">
        <f>+F19/G19</f>
        <v>680.6833336255354</v>
      </c>
      <c r="G20" s="76"/>
      <c r="H20" s="78"/>
      <c r="I20" s="78"/>
      <c r="J20" s="78"/>
      <c r="K20" s="78"/>
      <c r="L20" s="79">
        <f>+K19/G19</f>
        <v>234.09321950069253</v>
      </c>
    </row>
    <row r="21" spans="1:12" ht="15.75">
      <c r="A21" s="192"/>
      <c r="B21" s="82"/>
      <c r="C21" s="82"/>
      <c r="D21" s="193"/>
      <c r="E21" s="193"/>
      <c r="F21" s="194"/>
      <c r="G21" s="193"/>
      <c r="H21" s="217"/>
      <c r="I21" s="217"/>
      <c r="J21" s="217"/>
      <c r="K21" s="217"/>
      <c r="L21" s="218"/>
    </row>
    <row r="22" spans="1:12" ht="15.75">
      <c r="A22" s="71" t="s">
        <v>77</v>
      </c>
      <c r="B22" s="5"/>
      <c r="C22" s="54"/>
      <c r="D22" s="54"/>
      <c r="E22" s="54"/>
      <c r="F22" s="54"/>
      <c r="G22" s="54"/>
      <c r="H22" s="72">
        <v>7</v>
      </c>
      <c r="I22" s="73">
        <f>+'CAP Calculation'!B18</f>
        <v>0.21595384739982273</v>
      </c>
      <c r="J22" s="73"/>
      <c r="K22" s="72"/>
      <c r="L22" s="74"/>
    </row>
    <row r="23" spans="1:17" ht="15.75">
      <c r="A23" s="75" t="s">
        <v>64</v>
      </c>
      <c r="B23" s="76"/>
      <c r="C23" s="77">
        <f>+'Cust Stats 6-30-07'!J18</f>
        <v>13092849.120000001</v>
      </c>
      <c r="D23" s="77">
        <f>+'Cust Stats 6-30-07'!J22</f>
        <v>542134</v>
      </c>
      <c r="E23" s="77">
        <v>-379334.8900221223</v>
      </c>
      <c r="F23" s="77">
        <f aca="true" t="shared" si="8" ref="F23:F34">+C23+D23+E23</f>
        <v>13255648.22997788</v>
      </c>
      <c r="G23" s="77">
        <f>+'Cust Stats 6-30-07'!J31</f>
        <v>23140</v>
      </c>
      <c r="H23" s="78">
        <f aca="true" t="shared" si="9" ref="H23:H34">+G23*H$22</f>
        <v>161980</v>
      </c>
      <c r="I23" s="78">
        <f aca="true" t="shared" si="10" ref="I23:I34">+F23*I$22</f>
        <v>2862608.235042373</v>
      </c>
      <c r="J23" s="219">
        <f aca="true" t="shared" si="11" ref="J23:J34">ROUND(+I23/G23,2)</f>
        <v>123.71</v>
      </c>
      <c r="K23" s="78">
        <f aca="true" t="shared" si="12" ref="K23:K34">+I23+H23</f>
        <v>3024588.235042373</v>
      </c>
      <c r="L23" s="79">
        <f aca="true" t="shared" si="13" ref="L23:L34">+K23/G23</f>
        <v>130.70822104763928</v>
      </c>
      <c r="N23" s="15">
        <f aca="true" t="shared" si="14" ref="N23:N31">+J23</f>
        <v>123.71</v>
      </c>
      <c r="O23" s="55" t="s">
        <v>64</v>
      </c>
      <c r="P23" s="56">
        <f>+J32</f>
        <v>45.62</v>
      </c>
      <c r="Q23" s="57" t="s">
        <v>65</v>
      </c>
    </row>
    <row r="24" spans="1:17" ht="15.75">
      <c r="A24" s="75" t="s">
        <v>66</v>
      </c>
      <c r="B24" s="76"/>
      <c r="C24" s="77">
        <f>+'Cust Stats 6-30-07'!K18</f>
        <v>10837413.83</v>
      </c>
      <c r="D24" s="77">
        <f>+'Cust Stats 6-30-07'!K22</f>
        <v>-2258414</v>
      </c>
      <c r="E24" s="77">
        <v>-101254.18409185321</v>
      </c>
      <c r="F24" s="77">
        <f t="shared" si="8"/>
        <v>8477745.645908147</v>
      </c>
      <c r="G24" s="77">
        <f>+'Cust Stats 6-30-07'!K31</f>
        <v>23177.44</v>
      </c>
      <c r="H24" s="78">
        <f t="shared" si="9"/>
        <v>162242.08</v>
      </c>
      <c r="I24" s="78">
        <f t="shared" si="10"/>
        <v>1830801.7895109595</v>
      </c>
      <c r="J24" s="219">
        <f t="shared" si="11"/>
        <v>78.99</v>
      </c>
      <c r="K24" s="78">
        <f t="shared" si="12"/>
        <v>1993043.8695109596</v>
      </c>
      <c r="L24" s="79">
        <f t="shared" si="13"/>
        <v>85.99068186611463</v>
      </c>
      <c r="N24" s="15">
        <f t="shared" si="14"/>
        <v>78.99</v>
      </c>
      <c r="O24" s="55" t="s">
        <v>66</v>
      </c>
      <c r="P24" s="56">
        <f>+J33</f>
        <v>77.49</v>
      </c>
      <c r="Q24" s="57" t="s">
        <v>67</v>
      </c>
    </row>
    <row r="25" spans="1:17" ht="15.75">
      <c r="A25" s="75" t="s">
        <v>68</v>
      </c>
      <c r="B25" s="76"/>
      <c r="C25" s="77">
        <f>+'Cust Stats 6-30-07'!L18</f>
        <v>9116576.35</v>
      </c>
      <c r="D25" s="77">
        <f>+'Cust Stats 6-30-07'!L22</f>
        <v>-2158854</v>
      </c>
      <c r="E25" s="77">
        <v>573240.6635371305</v>
      </c>
      <c r="F25" s="77">
        <f t="shared" si="8"/>
        <v>7530963.01353713</v>
      </c>
      <c r="G25" s="77">
        <f>+'Cust Stats 6-30-07'!L31</f>
        <v>23173.28</v>
      </c>
      <c r="H25" s="78">
        <f t="shared" si="9"/>
        <v>162212.96</v>
      </c>
      <c r="I25" s="78">
        <f t="shared" si="10"/>
        <v>1626340.4373991066</v>
      </c>
      <c r="J25" s="219">
        <f t="shared" si="11"/>
        <v>70.18</v>
      </c>
      <c r="K25" s="78">
        <f t="shared" si="12"/>
        <v>1788553.3973991065</v>
      </c>
      <c r="L25" s="79">
        <f t="shared" si="13"/>
        <v>77.18171089285188</v>
      </c>
      <c r="N25" s="15">
        <f t="shared" si="14"/>
        <v>70.18</v>
      </c>
      <c r="O25" s="55" t="s">
        <v>68</v>
      </c>
      <c r="P25" s="56">
        <f>+J34</f>
        <v>123.2</v>
      </c>
      <c r="Q25" s="57" t="s">
        <v>69</v>
      </c>
    </row>
    <row r="26" spans="1:17" ht="15.75">
      <c r="A26" s="75" t="s">
        <v>70</v>
      </c>
      <c r="B26" s="76"/>
      <c r="C26" s="77">
        <f>+'Cust Stats 6-30-07'!M18</f>
        <v>6717100.71</v>
      </c>
      <c r="D26" s="77">
        <f>+'Cust Stats 6-30-07'!M22</f>
        <v>-537671</v>
      </c>
      <c r="E26" s="77">
        <v>20925.733347208356</v>
      </c>
      <c r="F26" s="77">
        <f t="shared" si="8"/>
        <v>6200355.443347208</v>
      </c>
      <c r="G26" s="77">
        <f>+'Cust Stats 6-30-07'!M31</f>
        <v>23104.64</v>
      </c>
      <c r="H26" s="78">
        <f t="shared" si="9"/>
        <v>161732.47999999998</v>
      </c>
      <c r="I26" s="78">
        <f t="shared" si="10"/>
        <v>1338990.6132372632</v>
      </c>
      <c r="J26" s="219">
        <f t="shared" si="11"/>
        <v>57.95</v>
      </c>
      <c r="K26" s="78">
        <f t="shared" si="12"/>
        <v>1500723.0932372632</v>
      </c>
      <c r="L26" s="79">
        <f t="shared" si="13"/>
        <v>64.95332077181307</v>
      </c>
      <c r="N26" s="15">
        <f t="shared" si="14"/>
        <v>57.95</v>
      </c>
      <c r="O26" s="55" t="s">
        <v>70</v>
      </c>
      <c r="P26" s="56">
        <f aca="true" t="shared" si="15" ref="P26:P34">+N23</f>
        <v>123.71</v>
      </c>
      <c r="Q26" s="57" t="s">
        <v>64</v>
      </c>
    </row>
    <row r="27" spans="1:17" ht="15.75">
      <c r="A27" s="75" t="s">
        <v>71</v>
      </c>
      <c r="B27" s="76"/>
      <c r="C27" s="77">
        <f>+'Cust Stats 6-30-07'!N18</f>
        <v>4327694.35</v>
      </c>
      <c r="D27" s="77">
        <f>+'Cust Stats 6-30-07'!N22</f>
        <v>-1390767</v>
      </c>
      <c r="E27" s="77">
        <v>381934.1453913173</v>
      </c>
      <c r="F27" s="77">
        <f t="shared" si="8"/>
        <v>3318861.4953913167</v>
      </c>
      <c r="G27" s="77">
        <f>+'Cust Stats 6-30-07'!N31</f>
        <v>23030.8</v>
      </c>
      <c r="H27" s="78">
        <f t="shared" si="9"/>
        <v>161215.6</v>
      </c>
      <c r="I27" s="78">
        <f t="shared" si="10"/>
        <v>716720.9089168839</v>
      </c>
      <c r="J27" s="219">
        <f t="shared" si="11"/>
        <v>31.12</v>
      </c>
      <c r="K27" s="78">
        <f t="shared" si="12"/>
        <v>877936.5089168838</v>
      </c>
      <c r="L27" s="79">
        <f t="shared" si="13"/>
        <v>38.1201047691302</v>
      </c>
      <c r="N27" s="15">
        <f t="shared" si="14"/>
        <v>31.12</v>
      </c>
      <c r="O27" s="55" t="s">
        <v>71</v>
      </c>
      <c r="P27" s="56">
        <f t="shared" si="15"/>
        <v>78.99</v>
      </c>
      <c r="Q27" s="57" t="s">
        <v>66</v>
      </c>
    </row>
    <row r="28" spans="1:17" ht="15.75">
      <c r="A28" s="75" t="s">
        <v>72</v>
      </c>
      <c r="B28" s="76"/>
      <c r="C28" s="77">
        <f>+'Cust Stats 6-30-07'!O18</f>
        <v>3428591.9</v>
      </c>
      <c r="D28" s="77">
        <f>+'Cust Stats 6-30-07'!O22</f>
        <v>-176892</v>
      </c>
      <c r="E28" s="77">
        <v>-31220.758331581543</v>
      </c>
      <c r="F28" s="77">
        <f t="shared" si="8"/>
        <v>3220479.1416684184</v>
      </c>
      <c r="G28" s="77">
        <f>+'Cust Stats 6-30-07'!O31</f>
        <v>22711.52</v>
      </c>
      <c r="H28" s="78">
        <f t="shared" si="9"/>
        <v>158980.64</v>
      </c>
      <c r="I28" s="78">
        <f t="shared" si="10"/>
        <v>695474.8611141738</v>
      </c>
      <c r="J28" s="219">
        <f t="shared" si="11"/>
        <v>30.62</v>
      </c>
      <c r="K28" s="78">
        <f t="shared" si="12"/>
        <v>854455.5011141738</v>
      </c>
      <c r="L28" s="79">
        <f t="shared" si="13"/>
        <v>37.6221186919314</v>
      </c>
      <c r="N28" s="15">
        <f t="shared" si="14"/>
        <v>30.62</v>
      </c>
      <c r="O28" s="55" t="s">
        <v>72</v>
      </c>
      <c r="P28" s="56">
        <f t="shared" si="15"/>
        <v>70.18</v>
      </c>
      <c r="Q28" s="57" t="s">
        <v>68</v>
      </c>
    </row>
    <row r="29" spans="1:17" ht="15.75">
      <c r="A29" s="75" t="s">
        <v>73</v>
      </c>
      <c r="B29" s="76"/>
      <c r="C29" s="77">
        <f>+'Cust Stats 6-30-07'!D18</f>
        <v>2584067.09</v>
      </c>
      <c r="D29" s="77">
        <f>+'Cust Stats 6-30-07'!D22</f>
        <v>-177271</v>
      </c>
      <c r="E29" s="77">
        <v>120079.18624856166</v>
      </c>
      <c r="F29" s="77">
        <f t="shared" si="8"/>
        <v>2526875.2762485617</v>
      </c>
      <c r="G29" s="77">
        <f>+'Cust Stats 6-30-07'!D31</f>
        <v>22014.72</v>
      </c>
      <c r="H29" s="78">
        <f t="shared" si="9"/>
        <v>154103.04</v>
      </c>
      <c r="I29" s="78">
        <f t="shared" si="10"/>
        <v>545688.4378053668</v>
      </c>
      <c r="J29" s="219">
        <f t="shared" si="11"/>
        <v>24.79</v>
      </c>
      <c r="K29" s="78">
        <f t="shared" si="12"/>
        <v>699791.4778053669</v>
      </c>
      <c r="L29" s="79">
        <f t="shared" si="13"/>
        <v>31.78743485292417</v>
      </c>
      <c r="N29" s="15">
        <f t="shared" si="14"/>
        <v>24.79</v>
      </c>
      <c r="O29" s="55" t="s">
        <v>73</v>
      </c>
      <c r="P29" s="56">
        <f t="shared" si="15"/>
        <v>57.95</v>
      </c>
      <c r="Q29" s="57" t="s">
        <v>70</v>
      </c>
    </row>
    <row r="30" spans="1:17" ht="15.75">
      <c r="A30" s="75" t="s">
        <v>74</v>
      </c>
      <c r="B30" s="76"/>
      <c r="C30" s="77">
        <f>+'Cust Stats 6-30-07'!E18</f>
        <v>2452637.03</v>
      </c>
      <c r="D30" s="77">
        <f>+'Cust Stats 6-30-07'!E22</f>
        <v>143969</v>
      </c>
      <c r="E30" s="77">
        <v>205222.36917812546</v>
      </c>
      <c r="F30" s="77">
        <f t="shared" si="8"/>
        <v>2801828.3991781254</v>
      </c>
      <c r="G30" s="77">
        <f>+'Cust Stats 6-30-07'!E31</f>
        <v>22189.44</v>
      </c>
      <c r="H30" s="78">
        <f t="shared" si="9"/>
        <v>155326.08</v>
      </c>
      <c r="I30" s="78">
        <f t="shared" si="10"/>
        <v>605065.6225566025</v>
      </c>
      <c r="J30" s="219">
        <f t="shared" si="11"/>
        <v>27.27</v>
      </c>
      <c r="K30" s="78">
        <f t="shared" si="12"/>
        <v>760391.7025566024</v>
      </c>
      <c r="L30" s="79">
        <f t="shared" si="13"/>
        <v>34.26817903275623</v>
      </c>
      <c r="N30" s="15">
        <f t="shared" si="14"/>
        <v>27.27</v>
      </c>
      <c r="O30" s="55" t="s">
        <v>74</v>
      </c>
      <c r="P30" s="56">
        <f t="shared" si="15"/>
        <v>31.12</v>
      </c>
      <c r="Q30" s="57" t="s">
        <v>71</v>
      </c>
    </row>
    <row r="31" spans="1:17" ht="15.75">
      <c r="A31" s="75" t="s">
        <v>75</v>
      </c>
      <c r="B31" s="76"/>
      <c r="C31" s="77">
        <f>+'Cust Stats 6-30-07'!F18</f>
        <v>2644567.23</v>
      </c>
      <c r="D31" s="77">
        <f>+'Cust Stats 6-30-07'!F22</f>
        <v>719064</v>
      </c>
      <c r="E31" s="77">
        <v>-205411.9013923594</v>
      </c>
      <c r="F31" s="77">
        <f t="shared" si="8"/>
        <v>3158219.3286076407</v>
      </c>
      <c r="G31" s="77">
        <f>+'Cust Stats 6-30-07'!F31</f>
        <v>22032.4</v>
      </c>
      <c r="H31" s="78">
        <f t="shared" si="9"/>
        <v>154226.80000000002</v>
      </c>
      <c r="I31" s="78">
        <f t="shared" si="10"/>
        <v>682029.614945305</v>
      </c>
      <c r="J31" s="219">
        <f t="shared" si="11"/>
        <v>30.96</v>
      </c>
      <c r="K31" s="78">
        <f t="shared" si="12"/>
        <v>836256.4149453051</v>
      </c>
      <c r="L31" s="79">
        <f t="shared" si="13"/>
        <v>37.95575674666877</v>
      </c>
      <c r="N31" s="15">
        <f t="shared" si="14"/>
        <v>30.96</v>
      </c>
      <c r="O31" s="55" t="s">
        <v>75</v>
      </c>
      <c r="P31" s="56">
        <f t="shared" si="15"/>
        <v>30.62</v>
      </c>
      <c r="Q31" s="57" t="s">
        <v>72</v>
      </c>
    </row>
    <row r="32" spans="1:17" ht="15.75">
      <c r="A32" s="75" t="s">
        <v>65</v>
      </c>
      <c r="B32" s="76"/>
      <c r="C32" s="77">
        <f>+'Cust Stats 6-30-07'!G18</f>
        <v>3635661.04</v>
      </c>
      <c r="D32" s="77">
        <f>+'Cust Stats 6-30-07'!G22</f>
        <v>937150</v>
      </c>
      <c r="E32" s="77">
        <v>159473.3697131935</v>
      </c>
      <c r="F32" s="77">
        <f t="shared" si="8"/>
        <v>4732284.409713194</v>
      </c>
      <c r="G32" s="77">
        <f>+'Cust Stats 6-30-07'!G31</f>
        <v>22402.64</v>
      </c>
      <c r="H32" s="78">
        <f t="shared" si="9"/>
        <v>156818.47999999998</v>
      </c>
      <c r="I32" s="78">
        <f t="shared" si="10"/>
        <v>1021955.0252677633</v>
      </c>
      <c r="J32" s="219">
        <f t="shared" si="11"/>
        <v>45.62</v>
      </c>
      <c r="K32" s="78">
        <f t="shared" si="12"/>
        <v>1178773.5052677633</v>
      </c>
      <c r="L32" s="79">
        <f t="shared" si="13"/>
        <v>52.617615837587145</v>
      </c>
      <c r="P32" s="56">
        <f t="shared" si="15"/>
        <v>24.79</v>
      </c>
      <c r="Q32" s="57" t="s">
        <v>73</v>
      </c>
    </row>
    <row r="33" spans="1:17" ht="15.75">
      <c r="A33" s="75" t="s">
        <v>67</v>
      </c>
      <c r="B33" s="76"/>
      <c r="C33" s="77">
        <f>+'Cust Stats 6-30-07'!H18</f>
        <v>6171173.93</v>
      </c>
      <c r="D33" s="77">
        <f>+'Cust Stats 6-30-07'!H22</f>
        <v>2335104</v>
      </c>
      <c r="E33" s="77">
        <v>-353743.77711434057</v>
      </c>
      <c r="F33" s="77">
        <f t="shared" si="8"/>
        <v>8152534.152885659</v>
      </c>
      <c r="G33" s="77">
        <f>+'Cust Stats 6-30-07'!H31</f>
        <v>22718.8</v>
      </c>
      <c r="H33" s="78">
        <f t="shared" si="9"/>
        <v>159031.6</v>
      </c>
      <c r="I33" s="78">
        <f t="shared" si="10"/>
        <v>1760571.1163741127</v>
      </c>
      <c r="J33" s="219">
        <f t="shared" si="11"/>
        <v>77.49</v>
      </c>
      <c r="K33" s="78">
        <f t="shared" si="12"/>
        <v>1919602.7163741128</v>
      </c>
      <c r="L33" s="79">
        <f t="shared" si="13"/>
        <v>84.49401889070342</v>
      </c>
      <c r="P33" s="56">
        <f t="shared" si="15"/>
        <v>27.27</v>
      </c>
      <c r="Q33" s="57" t="s">
        <v>74</v>
      </c>
    </row>
    <row r="34" spans="1:17" ht="15.75">
      <c r="A34" s="75" t="s">
        <v>69</v>
      </c>
      <c r="B34" s="76"/>
      <c r="C34" s="77">
        <f>+'Cust Stats 6-30-07'!I18</f>
        <v>10022153.38</v>
      </c>
      <c r="D34" s="77">
        <f>+'Cust Stats 6-30-07'!I22</f>
        <v>1929823</v>
      </c>
      <c r="E34" s="77">
        <v>1155886.9088196824</v>
      </c>
      <c r="F34" s="77">
        <f t="shared" si="8"/>
        <v>13107863.288819684</v>
      </c>
      <c r="G34" s="77">
        <f>+'Cust Stats 6-30-07'!I31</f>
        <v>22976.72</v>
      </c>
      <c r="H34" s="78">
        <f t="shared" si="9"/>
        <v>160837.04</v>
      </c>
      <c r="I34" s="78">
        <f t="shared" si="10"/>
        <v>2830693.5084115043</v>
      </c>
      <c r="J34" s="219">
        <f t="shared" si="11"/>
        <v>123.2</v>
      </c>
      <c r="K34" s="78">
        <f t="shared" si="12"/>
        <v>2991530.5484115044</v>
      </c>
      <c r="L34" s="79">
        <f t="shared" si="13"/>
        <v>130.19832893517892</v>
      </c>
      <c r="P34" s="56">
        <f t="shared" si="15"/>
        <v>30.96</v>
      </c>
      <c r="Q34" s="57" t="s">
        <v>75</v>
      </c>
    </row>
    <row r="35" spans="1:16" ht="16.5" thickBot="1">
      <c r="A35" s="6"/>
      <c r="B35" s="76" t="s">
        <v>32</v>
      </c>
      <c r="C35" s="76">
        <f>SUM(C23:C34)</f>
        <v>75030485.96000001</v>
      </c>
      <c r="D35" s="80">
        <f>SUM(D23:D34)</f>
        <v>-92625</v>
      </c>
      <c r="E35" s="80">
        <f>SUM(E23:E34)</f>
        <v>1545796.865282962</v>
      </c>
      <c r="F35" s="77">
        <f>SUM(F23:F34)</f>
        <v>76483657.82528296</v>
      </c>
      <c r="G35" s="76">
        <f>+AVERAGE(G23:G34)</f>
        <v>22722.7</v>
      </c>
      <c r="H35" s="78"/>
      <c r="I35" s="78"/>
      <c r="J35" s="78">
        <f>SUM(J23:J34)</f>
        <v>721.9</v>
      </c>
      <c r="K35" s="78">
        <f>SUM(K23:K34)</f>
        <v>18425646.970581416</v>
      </c>
      <c r="L35" s="79">
        <f>SUM(L23:L34)</f>
        <v>805.8974923352989</v>
      </c>
      <c r="N35" s="59">
        <v>2663595.8925183835</v>
      </c>
      <c r="P35" s="15">
        <f>SUM(P23:P34)</f>
        <v>721.9000000000001</v>
      </c>
    </row>
    <row r="36" spans="1:14" ht="16.5" thickTop="1">
      <c r="A36" s="6"/>
      <c r="B36" s="76" t="s">
        <v>76</v>
      </c>
      <c r="C36" s="76"/>
      <c r="D36" s="76"/>
      <c r="E36" s="76"/>
      <c r="F36" s="76">
        <f>+F35/G35</f>
        <v>3365.9581750972798</v>
      </c>
      <c r="G36" s="76"/>
      <c r="H36" s="78"/>
      <c r="I36" s="78"/>
      <c r="J36" s="78"/>
      <c r="K36" s="78"/>
      <c r="L36" s="79">
        <f>+K35/G35</f>
        <v>810.8916180991438</v>
      </c>
      <c r="N36" s="1">
        <f>+N35+N34</f>
        <v>2663595.8925183835</v>
      </c>
    </row>
    <row r="37" spans="1:12" ht="15.75">
      <c r="A37" s="10"/>
      <c r="B37" s="82"/>
      <c r="C37" s="82"/>
      <c r="D37" s="82"/>
      <c r="E37" s="82"/>
      <c r="F37" s="82"/>
      <c r="G37" s="82"/>
      <c r="H37" s="11"/>
      <c r="I37" s="11"/>
      <c r="J37" s="11"/>
      <c r="K37" s="11"/>
      <c r="L37" s="12"/>
    </row>
    <row r="38" spans="2:7" ht="15.75">
      <c r="B38" s="55"/>
      <c r="C38" s="55"/>
      <c r="D38" s="55"/>
      <c r="E38" s="55"/>
      <c r="F38" s="55"/>
      <c r="G38" s="55"/>
    </row>
  </sheetData>
  <mergeCells count="4"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landscape" scale="77"/>
  <headerFooter alignWithMargins="0">
    <oddHeader>&amp;RDocket No. UG-060256
Exhibit No. __ (MLB-4)
Page 6 of 12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view="pageBreakPreview" zoomScale="60" zoomScaleNormal="75" workbookViewId="0" topLeftCell="A1">
      <selection activeCell="C6" sqref="C6:M6"/>
    </sheetView>
  </sheetViews>
  <sheetFormatPr defaultColWidth="9.00390625" defaultRowHeight="15.75"/>
  <cols>
    <col min="1" max="1" width="4.625" style="83" customWidth="1"/>
    <col min="2" max="2" width="9.00390625" style="83" customWidth="1"/>
    <col min="3" max="3" width="16.25390625" style="83" customWidth="1"/>
    <col min="4" max="4" width="10.125" style="83" customWidth="1"/>
    <col min="5" max="5" width="8.50390625" style="83" customWidth="1"/>
    <col min="6" max="6" width="13.375" style="83" customWidth="1"/>
    <col min="7" max="7" width="2.75390625" style="83" customWidth="1"/>
    <col min="8" max="8" width="12.625" style="83" bestFit="1" customWidth="1"/>
    <col min="9" max="9" width="2.875" style="83" customWidth="1"/>
    <col min="10" max="10" width="13.375" style="83" customWidth="1"/>
    <col min="11" max="11" width="2.75390625" style="83" customWidth="1"/>
    <col min="12" max="12" width="11.00390625" style="86" customWidth="1"/>
    <col min="13" max="13" width="11.875" style="83" customWidth="1"/>
    <col min="14" max="14" width="9.25390625" style="83" bestFit="1" customWidth="1"/>
    <col min="15" max="15" width="9.125" style="83" bestFit="1" customWidth="1"/>
    <col min="16" max="16" width="9.75390625" style="83" bestFit="1" customWidth="1"/>
    <col min="17" max="17" width="15.00390625" style="83" customWidth="1"/>
    <col min="18" max="18" width="11.50390625" style="83" customWidth="1"/>
    <col min="19" max="19" width="11.875" style="83" customWidth="1"/>
    <col min="20" max="20" width="9.25390625" style="83" bestFit="1" customWidth="1"/>
    <col min="21" max="16384" width="9.00390625" style="83" customWidth="1"/>
  </cols>
  <sheetData>
    <row r="1" spans="2:13" ht="15.75">
      <c r="B1" s="84"/>
      <c r="H1" s="85"/>
      <c r="M1" s="85"/>
    </row>
    <row r="2" spans="1:13" ht="15.75">
      <c r="A2" s="84"/>
      <c r="H2" s="85"/>
      <c r="M2" s="85"/>
    </row>
    <row r="3" spans="1:13" ht="15.75">
      <c r="A3" s="84"/>
      <c r="H3" s="85"/>
      <c r="M3" s="87"/>
    </row>
    <row r="4" spans="1:14" ht="15.75">
      <c r="A4" s="169"/>
      <c r="B4" s="89"/>
      <c r="C4" s="170" t="s">
        <v>6</v>
      </c>
      <c r="D4" s="171"/>
      <c r="E4" s="172"/>
      <c r="F4" s="171"/>
      <c r="G4" s="171"/>
      <c r="H4" s="171"/>
      <c r="I4" s="171"/>
      <c r="J4" s="171"/>
      <c r="K4" s="171"/>
      <c r="L4" s="173"/>
      <c r="M4" s="171"/>
      <c r="N4" s="90"/>
    </row>
    <row r="5" spans="1:14" ht="15.75">
      <c r="A5" s="174"/>
      <c r="B5" s="95"/>
      <c r="C5" s="242" t="s">
        <v>185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99"/>
    </row>
    <row r="6" spans="1:14" ht="15.75">
      <c r="A6" s="174"/>
      <c r="B6" s="95"/>
      <c r="C6" s="242" t="s">
        <v>177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175" t="s">
        <v>79</v>
      </c>
    </row>
    <row r="7" spans="1:14" ht="15.75">
      <c r="A7" s="174"/>
      <c r="B7" s="95"/>
      <c r="C7" s="176" t="s">
        <v>80</v>
      </c>
      <c r="D7" s="177"/>
      <c r="E7" s="177"/>
      <c r="F7" s="177"/>
      <c r="G7" s="177"/>
      <c r="H7" s="177"/>
      <c r="I7" s="177"/>
      <c r="J7" s="177"/>
      <c r="K7" s="177"/>
      <c r="L7" s="178"/>
      <c r="M7" s="177"/>
      <c r="N7" s="175" t="s">
        <v>79</v>
      </c>
    </row>
    <row r="8" spans="1:14" ht="15.75">
      <c r="A8" s="88"/>
      <c r="B8" s="89"/>
      <c r="C8" s="90"/>
      <c r="D8" s="90"/>
      <c r="E8" s="91"/>
      <c r="F8" s="92"/>
      <c r="G8" s="90"/>
      <c r="H8" s="92"/>
      <c r="I8" s="90"/>
      <c r="J8" s="89"/>
      <c r="K8" s="90"/>
      <c r="L8" s="93" t="s">
        <v>81</v>
      </c>
      <c r="M8" s="90"/>
      <c r="N8" s="90"/>
    </row>
    <row r="9" spans="1:20" ht="15.75">
      <c r="A9" s="94" t="s">
        <v>82</v>
      </c>
      <c r="B9" s="95"/>
      <c r="C9" s="96"/>
      <c r="D9" s="97" t="s">
        <v>7</v>
      </c>
      <c r="E9" s="97" t="s">
        <v>83</v>
      </c>
      <c r="F9" s="98" t="s">
        <v>84</v>
      </c>
      <c r="G9" s="99"/>
      <c r="H9" s="98" t="s">
        <v>85</v>
      </c>
      <c r="I9" s="99"/>
      <c r="J9" s="98" t="s">
        <v>86</v>
      </c>
      <c r="K9" s="99"/>
      <c r="L9" s="100" t="s">
        <v>7</v>
      </c>
      <c r="M9" s="101" t="s">
        <v>87</v>
      </c>
      <c r="N9" s="97" t="s">
        <v>88</v>
      </c>
      <c r="Q9" s="157" t="s">
        <v>172</v>
      </c>
      <c r="R9" s="157" t="s">
        <v>173</v>
      </c>
      <c r="S9" s="157" t="s">
        <v>173</v>
      </c>
      <c r="T9" s="157"/>
    </row>
    <row r="10" spans="1:20" ht="15.75">
      <c r="A10" s="94" t="s">
        <v>89</v>
      </c>
      <c r="B10" s="102" t="s">
        <v>8</v>
      </c>
      <c r="C10" s="101"/>
      <c r="D10" s="97" t="s">
        <v>90</v>
      </c>
      <c r="E10" s="97" t="s">
        <v>91</v>
      </c>
      <c r="F10" s="98" t="s">
        <v>92</v>
      </c>
      <c r="G10" s="99"/>
      <c r="H10" s="98" t="s">
        <v>93</v>
      </c>
      <c r="I10" s="99"/>
      <c r="J10" s="98" t="s">
        <v>171</v>
      </c>
      <c r="K10" s="99"/>
      <c r="L10" s="100" t="s">
        <v>94</v>
      </c>
      <c r="M10" s="101" t="s">
        <v>94</v>
      </c>
      <c r="N10" s="101" t="s">
        <v>94</v>
      </c>
      <c r="Q10" s="157" t="s">
        <v>94</v>
      </c>
      <c r="R10" s="157" t="s">
        <v>174</v>
      </c>
      <c r="S10" s="168" t="s">
        <v>175</v>
      </c>
      <c r="T10" s="168" t="s">
        <v>32</v>
      </c>
    </row>
    <row r="11" spans="1:14" ht="15.75">
      <c r="A11" s="103"/>
      <c r="B11" s="102" t="s">
        <v>95</v>
      </c>
      <c r="C11" s="101"/>
      <c r="D11" s="97" t="s">
        <v>96</v>
      </c>
      <c r="E11" s="97" t="s">
        <v>97</v>
      </c>
      <c r="F11" s="98" t="s">
        <v>98</v>
      </c>
      <c r="G11" s="99"/>
      <c r="H11" s="98" t="s">
        <v>99</v>
      </c>
      <c r="I11" s="99"/>
      <c r="J11" s="98" t="s">
        <v>100</v>
      </c>
      <c r="K11" s="99"/>
      <c r="L11" s="104" t="s">
        <v>101</v>
      </c>
      <c r="M11" s="97" t="s">
        <v>102</v>
      </c>
      <c r="N11" s="97" t="s">
        <v>103</v>
      </c>
    </row>
    <row r="12" spans="1:14" ht="15.75">
      <c r="A12" s="105"/>
      <c r="B12" s="106" t="s">
        <v>104</v>
      </c>
      <c r="C12" s="107"/>
      <c r="D12" s="107"/>
      <c r="E12" s="107"/>
      <c r="F12" s="107"/>
      <c r="G12" s="107"/>
      <c r="H12" s="108"/>
      <c r="I12" s="107"/>
      <c r="J12" s="107"/>
      <c r="K12" s="107"/>
      <c r="L12" s="109"/>
      <c r="M12" s="107"/>
      <c r="N12" s="110"/>
    </row>
    <row r="13" spans="1:14" ht="15.75">
      <c r="A13" s="103"/>
      <c r="B13" s="111" t="s">
        <v>23</v>
      </c>
      <c r="C13" s="99"/>
      <c r="D13" s="99"/>
      <c r="E13" s="99"/>
      <c r="F13" s="95"/>
      <c r="G13" s="99"/>
      <c r="H13" s="95"/>
      <c r="I13" s="99"/>
      <c r="J13" s="95"/>
      <c r="K13" s="99"/>
      <c r="L13" s="159"/>
      <c r="M13" s="99"/>
      <c r="N13" s="99"/>
    </row>
    <row r="14" spans="1:14" ht="15.75">
      <c r="A14" s="113"/>
      <c r="B14" s="111"/>
      <c r="C14" s="114"/>
      <c r="D14" s="97"/>
      <c r="E14" s="115"/>
      <c r="F14" s="116"/>
      <c r="G14" s="115"/>
      <c r="H14" s="117"/>
      <c r="I14" s="99"/>
      <c r="J14" s="116"/>
      <c r="K14" s="115"/>
      <c r="L14" s="160"/>
      <c r="M14" s="115"/>
      <c r="N14" s="118"/>
    </row>
    <row r="15" spans="1:20" ht="15.75">
      <c r="A15" s="113">
        <v>1</v>
      </c>
      <c r="B15" s="111" t="s">
        <v>105</v>
      </c>
      <c r="C15" s="99"/>
      <c r="D15" s="97" t="s">
        <v>106</v>
      </c>
      <c r="E15" s="115">
        <v>1387</v>
      </c>
      <c r="F15" s="116">
        <v>1315625</v>
      </c>
      <c r="G15" s="99"/>
      <c r="H15" s="183">
        <v>1282456</v>
      </c>
      <c r="I15" s="99"/>
      <c r="J15" s="116">
        <v>1241705</v>
      </c>
      <c r="K15" s="99"/>
      <c r="L15" s="161"/>
      <c r="M15" s="115">
        <f aca="true" t="shared" si="0" ref="M15:M20">F15*L15</f>
        <v>0</v>
      </c>
      <c r="N15" s="158">
        <f>M15/J15</f>
        <v>0</v>
      </c>
      <c r="Q15" s="86">
        <v>0.24917</v>
      </c>
      <c r="T15" s="86">
        <f aca="true" t="shared" si="1" ref="T15:T20">SUM(Q15:S15)</f>
        <v>0.24917</v>
      </c>
    </row>
    <row r="16" spans="1:20" ht="15.75">
      <c r="A16" s="113">
        <v>2</v>
      </c>
      <c r="B16" s="111" t="s">
        <v>24</v>
      </c>
      <c r="C16" s="114"/>
      <c r="D16" s="97" t="s">
        <v>25</v>
      </c>
      <c r="E16" s="115">
        <v>145577</v>
      </c>
      <c r="F16" s="116">
        <v>98555699</v>
      </c>
      <c r="G16" s="115"/>
      <c r="H16" s="183">
        <v>100352886</v>
      </c>
      <c r="I16" s="99"/>
      <c r="J16" s="116">
        <v>97711861</v>
      </c>
      <c r="K16" s="115"/>
      <c r="L16" s="161">
        <f>+'CAP Calculation'!D10</f>
        <v>0.0040217672252984005</v>
      </c>
      <c r="M16" s="115">
        <f t="shared" si="0"/>
        <v>396368.0801045743</v>
      </c>
      <c r="N16" s="158">
        <f>M16/J16</f>
        <v>0.00405649913990047</v>
      </c>
      <c r="Q16" s="86">
        <v>0.24931</v>
      </c>
      <c r="R16" s="86">
        <f>+'CAP Calculation'!D10</f>
        <v>0.0040217672252984005</v>
      </c>
      <c r="S16" s="86">
        <f>+'CAP Calculation'!D33</f>
        <v>-0.0029277606639638147</v>
      </c>
      <c r="T16" s="86">
        <f t="shared" si="1"/>
        <v>0.25040400656133455</v>
      </c>
    </row>
    <row r="17" spans="1:20" ht="15.75">
      <c r="A17" s="113">
        <v>3</v>
      </c>
      <c r="B17" s="111" t="s">
        <v>107</v>
      </c>
      <c r="C17" s="99"/>
      <c r="D17" s="97" t="s">
        <v>108</v>
      </c>
      <c r="E17" s="115">
        <v>0</v>
      </c>
      <c r="F17" s="116">
        <v>0</v>
      </c>
      <c r="G17" s="99"/>
      <c r="H17" s="184">
        <v>0</v>
      </c>
      <c r="I17" s="99"/>
      <c r="J17" s="116">
        <v>0</v>
      </c>
      <c r="K17" s="99"/>
      <c r="L17" s="161"/>
      <c r="M17" s="115">
        <f t="shared" si="0"/>
        <v>0</v>
      </c>
      <c r="N17" s="158">
        <v>0</v>
      </c>
      <c r="Q17" s="86">
        <v>0.24917</v>
      </c>
      <c r="T17" s="86">
        <f t="shared" si="1"/>
        <v>0.24917</v>
      </c>
    </row>
    <row r="18" spans="1:20" ht="15.75">
      <c r="A18" s="113">
        <v>4</v>
      </c>
      <c r="B18" s="111" t="s">
        <v>109</v>
      </c>
      <c r="C18" s="114"/>
      <c r="D18" s="97" t="s">
        <v>110</v>
      </c>
      <c r="E18" s="115">
        <v>45</v>
      </c>
      <c r="F18" s="116">
        <v>75451</v>
      </c>
      <c r="G18" s="99"/>
      <c r="H18" s="184">
        <v>72389</v>
      </c>
      <c r="I18" s="99"/>
      <c r="J18" s="116">
        <v>70828</v>
      </c>
      <c r="K18" s="99"/>
      <c r="L18" s="161"/>
      <c r="M18" s="115">
        <f t="shared" si="0"/>
        <v>0</v>
      </c>
      <c r="N18" s="158">
        <f>M18/J18</f>
        <v>0</v>
      </c>
      <c r="Q18" s="86">
        <v>0.24917</v>
      </c>
      <c r="T18" s="86">
        <f t="shared" si="1"/>
        <v>0.24917</v>
      </c>
    </row>
    <row r="19" spans="1:20" ht="15.75">
      <c r="A19" s="113">
        <v>5</v>
      </c>
      <c r="B19" s="121" t="s">
        <v>111</v>
      </c>
      <c r="C19" s="99"/>
      <c r="D19" s="99"/>
      <c r="E19" s="115"/>
      <c r="F19" s="116">
        <v>1642600</v>
      </c>
      <c r="G19" s="115"/>
      <c r="H19" s="184">
        <v>1573397</v>
      </c>
      <c r="I19" s="115"/>
      <c r="J19" s="184">
        <f>H19/SUM(H14:H18)*SUM(J14:J18)</f>
        <v>1531886.3464412356</v>
      </c>
      <c r="K19" s="115"/>
      <c r="L19" s="161">
        <f>+L16</f>
        <v>0.0040217672252984005</v>
      </c>
      <c r="M19" s="115">
        <f t="shared" si="0"/>
        <v>6606.154844275153</v>
      </c>
      <c r="N19" s="158">
        <f>M19/J19</f>
        <v>0.0043124314408977404</v>
      </c>
      <c r="Q19" s="86">
        <v>0.24931</v>
      </c>
      <c r="R19" s="86">
        <f>+R16</f>
        <v>0.0040217672252984005</v>
      </c>
      <c r="S19" s="86">
        <f>+S16</f>
        <v>-0.0029277606639638147</v>
      </c>
      <c r="T19" s="86">
        <f t="shared" si="1"/>
        <v>0.25040400656133455</v>
      </c>
    </row>
    <row r="20" spans="1:20" ht="15.75">
      <c r="A20" s="113">
        <v>6</v>
      </c>
      <c r="B20" s="121" t="s">
        <v>112</v>
      </c>
      <c r="C20" s="114"/>
      <c r="D20" s="99"/>
      <c r="E20" s="115"/>
      <c r="F20" s="116">
        <v>-1582600</v>
      </c>
      <c r="G20" s="115"/>
      <c r="H20" s="116">
        <v>-1418880</v>
      </c>
      <c r="I20" s="115"/>
      <c r="J20" s="116">
        <f>H20/SUM(H15:H19)*SUM(J15:J19)</f>
        <v>-1381445.9410044258</v>
      </c>
      <c r="K20" s="115"/>
      <c r="L20" s="161">
        <f>+L19</f>
        <v>0.0040217672252984005</v>
      </c>
      <c r="M20" s="115">
        <f t="shared" si="0"/>
        <v>-6364.848810757248</v>
      </c>
      <c r="N20" s="158">
        <f>M20/J20</f>
        <v>0.004607381745339579</v>
      </c>
      <c r="Q20" s="86">
        <v>0.24931</v>
      </c>
      <c r="R20" s="86">
        <f>+R19</f>
        <v>0.0040217672252984005</v>
      </c>
      <c r="S20" s="86">
        <f>+S19</f>
        <v>-0.0029277606639638147</v>
      </c>
      <c r="T20" s="86">
        <f t="shared" si="1"/>
        <v>0.25040400656133455</v>
      </c>
    </row>
    <row r="21" spans="1:20" ht="15.75">
      <c r="A21" s="113">
        <v>7</v>
      </c>
      <c r="B21" s="122" t="s">
        <v>113</v>
      </c>
      <c r="C21" s="110"/>
      <c r="D21" s="110"/>
      <c r="E21" s="123">
        <f>SUM(E15:E20)</f>
        <v>147009</v>
      </c>
      <c r="F21" s="108">
        <f>SUM(F15:F20)</f>
        <v>100006775</v>
      </c>
      <c r="G21" s="123"/>
      <c r="H21" s="108">
        <f>SUM(H15:H20)</f>
        <v>101862248</v>
      </c>
      <c r="I21" s="123"/>
      <c r="J21" s="108">
        <f>SUM(J15:J20)</f>
        <v>99174834.40543681</v>
      </c>
      <c r="K21" s="123"/>
      <c r="L21" s="162"/>
      <c r="M21" s="123">
        <f>SUM(M14:M20)</f>
        <v>396609.38613809226</v>
      </c>
      <c r="N21" s="158">
        <f>M21/J21</f>
        <v>0.003999093000919092</v>
      </c>
      <c r="Q21" s="86"/>
      <c r="T21" s="86"/>
    </row>
    <row r="22" spans="1:20" ht="15.75">
      <c r="A22" s="103"/>
      <c r="B22" s="111" t="s">
        <v>28</v>
      </c>
      <c r="C22" s="114"/>
      <c r="D22" s="99"/>
      <c r="E22" s="115"/>
      <c r="F22" s="125"/>
      <c r="G22" s="115"/>
      <c r="H22" s="95"/>
      <c r="I22" s="99"/>
      <c r="J22" s="116"/>
      <c r="K22" s="115"/>
      <c r="L22" s="162"/>
      <c r="M22" s="115"/>
      <c r="N22" s="158"/>
      <c r="Q22" s="86"/>
      <c r="T22" s="86"/>
    </row>
    <row r="23" spans="1:20" ht="15.75">
      <c r="A23" s="113">
        <v>8</v>
      </c>
      <c r="B23" s="111" t="s">
        <v>105</v>
      </c>
      <c r="C23" s="99"/>
      <c r="D23" s="97" t="s">
        <v>106</v>
      </c>
      <c r="E23" s="115">
        <v>42</v>
      </c>
      <c r="F23" s="184">
        <v>99121</v>
      </c>
      <c r="G23" s="99"/>
      <c r="H23" s="183">
        <v>90810</v>
      </c>
      <c r="I23" s="99"/>
      <c r="J23" s="116">
        <v>88267</v>
      </c>
      <c r="K23" s="99"/>
      <c r="L23" s="103"/>
      <c r="M23" s="115">
        <f aca="true" t="shared" si="2" ref="M23:M30">F23*L23</f>
        <v>0</v>
      </c>
      <c r="N23" s="158">
        <f aca="true" t="shared" si="3" ref="N23:N31">M23/J23</f>
        <v>0</v>
      </c>
      <c r="P23" s="83">
        <f>F23+F24+F26+F27+F28+F29+F30</f>
        <v>73090240</v>
      </c>
      <c r="Q23" s="86">
        <v>0.24917</v>
      </c>
      <c r="T23" s="86">
        <f aca="true" t="shared" si="4" ref="T23:T30">SUM(Q23:S23)</f>
        <v>0.24917</v>
      </c>
    </row>
    <row r="24" spans="1:20" ht="15.75">
      <c r="A24" s="113">
        <v>9</v>
      </c>
      <c r="B24" s="111" t="s">
        <v>24</v>
      </c>
      <c r="C24" s="114"/>
      <c r="D24" s="97" t="s">
        <v>30</v>
      </c>
      <c r="E24" s="115">
        <v>21849</v>
      </c>
      <c r="F24" s="184">
        <v>72845132</v>
      </c>
      <c r="G24" s="115"/>
      <c r="H24" s="184">
        <v>68283692</v>
      </c>
      <c r="I24" s="99"/>
      <c r="J24" s="116">
        <v>66449179</v>
      </c>
      <c r="K24" s="115"/>
      <c r="L24" s="221">
        <f>+'CAP Calculation'!D18</f>
        <v>0.003433847399822748</v>
      </c>
      <c r="M24" s="115">
        <f t="shared" si="2"/>
        <v>250139.06710794487</v>
      </c>
      <c r="N24" s="158">
        <f t="shared" si="3"/>
        <v>0.0037643665561006385</v>
      </c>
      <c r="Q24" s="86">
        <v>0.24917</v>
      </c>
      <c r="R24" s="86">
        <f>+'CAP Calculation'!D18</f>
        <v>0.003433847399822748</v>
      </c>
      <c r="S24" s="86">
        <f>+S20</f>
        <v>-0.0029277606639638147</v>
      </c>
      <c r="T24" s="86">
        <f t="shared" si="4"/>
        <v>0.24967608673585898</v>
      </c>
    </row>
    <row r="25" spans="1:20" ht="15.75">
      <c r="A25" s="113">
        <v>10</v>
      </c>
      <c r="B25" s="111" t="s">
        <v>114</v>
      </c>
      <c r="C25" s="99"/>
      <c r="D25" s="97" t="s">
        <v>115</v>
      </c>
      <c r="E25" s="115">
        <v>63</v>
      </c>
      <c r="F25" s="184">
        <v>6619158</v>
      </c>
      <c r="G25" s="99"/>
      <c r="H25" s="184">
        <v>5586303</v>
      </c>
      <c r="I25" s="99"/>
      <c r="J25" s="116">
        <v>5506534</v>
      </c>
      <c r="K25" s="99"/>
      <c r="L25" s="103"/>
      <c r="M25" s="115">
        <f t="shared" si="2"/>
        <v>0</v>
      </c>
      <c r="N25" s="158">
        <f t="shared" si="3"/>
        <v>0</v>
      </c>
      <c r="Q25" s="86">
        <v>0.24845</v>
      </c>
      <c r="T25" s="86">
        <f t="shared" si="4"/>
        <v>0.24845</v>
      </c>
    </row>
    <row r="26" spans="1:20" ht="15.75">
      <c r="A26" s="113">
        <v>11</v>
      </c>
      <c r="B26" s="111" t="s">
        <v>107</v>
      </c>
      <c r="C26" s="99"/>
      <c r="D26" s="97" t="s">
        <v>108</v>
      </c>
      <c r="E26" s="115">
        <v>1</v>
      </c>
      <c r="F26" s="184">
        <v>149699</v>
      </c>
      <c r="G26" s="115"/>
      <c r="H26" s="184">
        <v>120413</v>
      </c>
      <c r="I26" s="99"/>
      <c r="J26" s="116">
        <v>118450</v>
      </c>
      <c r="K26" s="115"/>
      <c r="L26" s="103"/>
      <c r="M26" s="115">
        <f t="shared" si="2"/>
        <v>0</v>
      </c>
      <c r="N26" s="158">
        <f t="shared" si="3"/>
        <v>0</v>
      </c>
      <c r="Q26" s="86">
        <v>0.24917</v>
      </c>
      <c r="T26" s="86">
        <f t="shared" si="4"/>
        <v>0.24917</v>
      </c>
    </row>
    <row r="27" spans="1:20" ht="15.75">
      <c r="A27" s="113">
        <v>12</v>
      </c>
      <c r="B27" s="111" t="s">
        <v>109</v>
      </c>
      <c r="C27" s="99"/>
      <c r="D27" s="97" t="s">
        <v>110</v>
      </c>
      <c r="E27" s="115">
        <v>27</v>
      </c>
      <c r="F27" s="184">
        <v>88913</v>
      </c>
      <c r="G27" s="99"/>
      <c r="H27" s="184">
        <v>83218</v>
      </c>
      <c r="I27" s="99"/>
      <c r="J27" s="116">
        <v>81179</v>
      </c>
      <c r="K27" s="99"/>
      <c r="L27" s="103"/>
      <c r="M27" s="115">
        <f t="shared" si="2"/>
        <v>0</v>
      </c>
      <c r="N27" s="158">
        <f t="shared" si="3"/>
        <v>0</v>
      </c>
      <c r="Q27" s="86">
        <v>0.24917</v>
      </c>
      <c r="T27" s="86">
        <f t="shared" si="4"/>
        <v>0.24917</v>
      </c>
    </row>
    <row r="28" spans="1:20" ht="15.75">
      <c r="A28" s="113">
        <v>13</v>
      </c>
      <c r="B28" s="126" t="str">
        <f>B19</f>
        <v>    Unbilled at 6/30/03</v>
      </c>
      <c r="C28" s="99"/>
      <c r="D28" s="99"/>
      <c r="E28" s="99"/>
      <c r="F28" s="116">
        <v>1505000</v>
      </c>
      <c r="G28" s="115"/>
      <c r="H28" s="116">
        <v>1385425</v>
      </c>
      <c r="I28" s="115"/>
      <c r="J28" s="116">
        <f>H28/SUM(H22:H26)*SUM(J22:J26)</f>
        <v>1349540.9130928435</v>
      </c>
      <c r="K28" s="115"/>
      <c r="L28" s="187">
        <f>+L24</f>
        <v>0.003433847399822748</v>
      </c>
      <c r="M28" s="115">
        <f t="shared" si="2"/>
        <v>5167.940336733236</v>
      </c>
      <c r="N28" s="158">
        <f t="shared" si="3"/>
        <v>0.0038294061977635655</v>
      </c>
      <c r="P28" s="83">
        <f>F31-F25</f>
        <v>73090240</v>
      </c>
      <c r="Q28" s="86">
        <v>0.24917</v>
      </c>
      <c r="R28" s="86">
        <f>+R24</f>
        <v>0.003433847399822748</v>
      </c>
      <c r="S28" s="86">
        <f>+S24</f>
        <v>-0.0029277606639638147</v>
      </c>
      <c r="T28" s="86">
        <f t="shared" si="4"/>
        <v>0.24967608673585898</v>
      </c>
    </row>
    <row r="29" spans="1:20" ht="15.75">
      <c r="A29" s="113">
        <v>14</v>
      </c>
      <c r="B29" s="126" t="str">
        <f>B20</f>
        <v>    Less Unbilled at 6/30/02</v>
      </c>
      <c r="C29" s="99"/>
      <c r="D29" s="99"/>
      <c r="E29" s="99"/>
      <c r="F29" s="116">
        <v>-1512900</v>
      </c>
      <c r="G29" s="115"/>
      <c r="H29" s="116">
        <v>-1300423</v>
      </c>
      <c r="I29" s="115"/>
      <c r="J29" s="116">
        <f>H29/SUM(H23:H27)*SUM(J23:J27)</f>
        <v>-1266742.6035115672</v>
      </c>
      <c r="K29" s="115"/>
      <c r="L29" s="187">
        <f>+L28</f>
        <v>0.003433847399822748</v>
      </c>
      <c r="M29" s="115">
        <f t="shared" si="2"/>
        <v>-5195.067731191835</v>
      </c>
      <c r="N29" s="158">
        <f t="shared" si="3"/>
        <v>0.004101123398542423</v>
      </c>
      <c r="Q29" s="86">
        <v>0.24917</v>
      </c>
      <c r="R29" s="86">
        <f>+R28</f>
        <v>0.003433847399822748</v>
      </c>
      <c r="S29" s="86">
        <f>+S28</f>
        <v>-0.0029277606639638147</v>
      </c>
      <c r="T29" s="86">
        <f t="shared" si="4"/>
        <v>0.24967608673585898</v>
      </c>
    </row>
    <row r="30" spans="1:20" ht="15.75">
      <c r="A30" s="113">
        <v>15</v>
      </c>
      <c r="B30" s="111" t="s">
        <v>31</v>
      </c>
      <c r="C30" s="99"/>
      <c r="D30" s="99"/>
      <c r="E30" s="184"/>
      <c r="F30" s="127">
        <v>-84725</v>
      </c>
      <c r="G30" s="115"/>
      <c r="H30" s="116">
        <v>-81658</v>
      </c>
      <c r="I30" s="99"/>
      <c r="J30" s="116">
        <f>H30/SUM(H23:H27)*SUM(J23:J27)</f>
        <v>-79543.09291480352</v>
      </c>
      <c r="K30" s="115"/>
      <c r="L30" s="187">
        <f>+L29</f>
        <v>0.003433847399822748</v>
      </c>
      <c r="M30" s="115">
        <f t="shared" si="2"/>
        <v>-290.93272094998235</v>
      </c>
      <c r="N30" s="158">
        <f t="shared" si="3"/>
        <v>0.003657548509731607</v>
      </c>
      <c r="Q30" s="86">
        <v>0.24917</v>
      </c>
      <c r="R30" s="86">
        <f>+R29</f>
        <v>0.003433847399822748</v>
      </c>
      <c r="S30" s="86">
        <f>+S29</f>
        <v>-0.0029277606639638147</v>
      </c>
      <c r="T30" s="86">
        <f t="shared" si="4"/>
        <v>0.24967608673585898</v>
      </c>
    </row>
    <row r="31" spans="1:20" ht="15.75">
      <c r="A31" s="113">
        <v>16</v>
      </c>
      <c r="B31" s="122" t="s">
        <v>116</v>
      </c>
      <c r="C31" s="110"/>
      <c r="D31" s="110"/>
      <c r="E31" s="123">
        <f>SUM(E23:E30)</f>
        <v>21982</v>
      </c>
      <c r="F31" s="108">
        <f>SUM(F23:F30)</f>
        <v>79709398</v>
      </c>
      <c r="G31" s="123"/>
      <c r="H31" s="108">
        <f>SUM(H23:H30)</f>
        <v>74167780</v>
      </c>
      <c r="I31" s="123"/>
      <c r="J31" s="108">
        <f>SUM(J23:J30)</f>
        <v>72246864.21666646</v>
      </c>
      <c r="K31" s="123"/>
      <c r="L31" s="163"/>
      <c r="M31" s="123">
        <f>SUM(M23:M30)</f>
        <v>249821.00699253628</v>
      </c>
      <c r="N31" s="158">
        <f t="shared" si="3"/>
        <v>0.0034578802789741792</v>
      </c>
      <c r="Q31" s="86"/>
      <c r="T31" s="86"/>
    </row>
    <row r="32" spans="1:20" ht="15.75">
      <c r="A32" s="103"/>
      <c r="B32" s="111" t="s">
        <v>117</v>
      </c>
      <c r="C32" s="99"/>
      <c r="D32" s="99"/>
      <c r="E32" s="115"/>
      <c r="F32" s="116"/>
      <c r="G32" s="115"/>
      <c r="H32" s="95"/>
      <c r="I32" s="99"/>
      <c r="J32" s="116"/>
      <c r="K32" s="115"/>
      <c r="L32" s="163"/>
      <c r="M32" s="115"/>
      <c r="N32" s="158"/>
      <c r="Q32" s="86"/>
      <c r="T32" s="86"/>
    </row>
    <row r="33" spans="1:20" ht="15.75">
      <c r="A33" s="113">
        <v>17</v>
      </c>
      <c r="B33" s="111" t="s">
        <v>105</v>
      </c>
      <c r="C33" s="99"/>
      <c r="D33" s="128" t="s">
        <v>106</v>
      </c>
      <c r="E33" s="115">
        <v>0</v>
      </c>
      <c r="F33" s="116">
        <v>0</v>
      </c>
      <c r="G33" s="115"/>
      <c r="H33" s="184">
        <v>0</v>
      </c>
      <c r="I33" s="99"/>
      <c r="J33" s="116">
        <v>0</v>
      </c>
      <c r="K33" s="115"/>
      <c r="L33" s="103"/>
      <c r="M33" s="115">
        <f>F33*L33</f>
        <v>0</v>
      </c>
      <c r="N33" s="158"/>
      <c r="Q33" s="86">
        <v>0.24917</v>
      </c>
      <c r="T33" s="86">
        <f>SUM(Q33:S33)</f>
        <v>0.24917</v>
      </c>
    </row>
    <row r="34" spans="1:20" ht="15.75">
      <c r="A34" s="113">
        <v>18</v>
      </c>
      <c r="B34" s="111" t="s">
        <v>24</v>
      </c>
      <c r="C34" s="99"/>
      <c r="D34" s="97" t="s">
        <v>118</v>
      </c>
      <c r="E34" s="115">
        <v>409</v>
      </c>
      <c r="F34" s="116">
        <v>9926053</v>
      </c>
      <c r="G34" s="115"/>
      <c r="H34" s="184">
        <v>8787791</v>
      </c>
      <c r="I34" s="99"/>
      <c r="J34" s="116">
        <v>8584548</v>
      </c>
      <c r="K34" s="115"/>
      <c r="L34" s="103"/>
      <c r="M34" s="115">
        <f>F34*L34</f>
        <v>0</v>
      </c>
      <c r="N34" s="158">
        <f>M34/J34</f>
        <v>0</v>
      </c>
      <c r="Q34" s="86">
        <v>0.24845</v>
      </c>
      <c r="T34" s="86">
        <f>SUM(Q34:S34)</f>
        <v>0.24845</v>
      </c>
    </row>
    <row r="35" spans="1:20" ht="15.75">
      <c r="A35" s="113">
        <v>19</v>
      </c>
      <c r="B35" s="111" t="s">
        <v>114</v>
      </c>
      <c r="C35" s="99"/>
      <c r="D35" s="97" t="s">
        <v>115</v>
      </c>
      <c r="E35" s="115">
        <v>8</v>
      </c>
      <c r="F35" s="116">
        <v>1379521</v>
      </c>
      <c r="G35" s="99"/>
      <c r="H35" s="184">
        <v>1121887</v>
      </c>
      <c r="I35" s="99"/>
      <c r="J35" s="116">
        <v>1086871</v>
      </c>
      <c r="K35" s="99"/>
      <c r="L35" s="103"/>
      <c r="M35" s="115">
        <f>F35*L35</f>
        <v>0</v>
      </c>
      <c r="N35" s="158">
        <f>M35/J35</f>
        <v>0</v>
      </c>
      <c r="Q35" s="86">
        <v>0.24845</v>
      </c>
      <c r="T35" s="86">
        <f>SUM(Q35:S35)</f>
        <v>0.24845</v>
      </c>
    </row>
    <row r="36" spans="1:20" ht="15.75">
      <c r="A36" s="113">
        <v>20</v>
      </c>
      <c r="B36" s="111" t="s">
        <v>107</v>
      </c>
      <c r="C36" s="99"/>
      <c r="D36" s="97" t="s">
        <v>108</v>
      </c>
      <c r="E36" s="115">
        <v>1</v>
      </c>
      <c r="F36" s="116">
        <v>5210</v>
      </c>
      <c r="G36" s="99"/>
      <c r="H36" s="184">
        <v>4824</v>
      </c>
      <c r="I36" s="99"/>
      <c r="J36" s="116">
        <v>4737</v>
      </c>
      <c r="K36" s="99"/>
      <c r="L36" s="103"/>
      <c r="M36" s="115">
        <f>F36*L36</f>
        <v>0</v>
      </c>
      <c r="N36" s="158">
        <f>M36/J36</f>
        <v>0</v>
      </c>
      <c r="Q36" s="86">
        <v>0.24917</v>
      </c>
      <c r="T36" s="86">
        <f>SUM(Q36:S36)</f>
        <v>0.24917</v>
      </c>
    </row>
    <row r="37" spans="1:20" ht="15.75">
      <c r="A37" s="113">
        <v>21</v>
      </c>
      <c r="B37" s="122" t="s">
        <v>119</v>
      </c>
      <c r="C37" s="110"/>
      <c r="D37" s="110"/>
      <c r="E37" s="123">
        <f>SUM(E33:E36)</f>
        <v>418</v>
      </c>
      <c r="F37" s="108">
        <f>SUM(F33:F36)</f>
        <v>11310784</v>
      </c>
      <c r="G37" s="123"/>
      <c r="H37" s="108">
        <f>SUM(H33:H36)</f>
        <v>9914502</v>
      </c>
      <c r="I37" s="123"/>
      <c r="J37" s="108">
        <f>SUM(J33:J36)</f>
        <v>9676156</v>
      </c>
      <c r="K37" s="123"/>
      <c r="L37" s="103"/>
      <c r="M37" s="123">
        <f>SUM(M33:M36)</f>
        <v>0</v>
      </c>
      <c r="N37" s="158">
        <f>M37/J37</f>
        <v>0</v>
      </c>
      <c r="O37" s="83">
        <v>0.02348</v>
      </c>
      <c r="Q37" s="86"/>
      <c r="T37" s="86"/>
    </row>
    <row r="38" spans="1:20" ht="15.75">
      <c r="A38" s="103"/>
      <c r="B38" s="111" t="s">
        <v>120</v>
      </c>
      <c r="C38" s="99"/>
      <c r="D38" s="99"/>
      <c r="E38" s="115"/>
      <c r="F38" s="116"/>
      <c r="G38" s="115"/>
      <c r="H38" s="95"/>
      <c r="I38" s="99"/>
      <c r="J38" s="116"/>
      <c r="K38" s="115"/>
      <c r="L38" s="103"/>
      <c r="M38" s="115"/>
      <c r="N38" s="158"/>
      <c r="Q38" s="86"/>
      <c r="T38" s="86"/>
    </row>
    <row r="39" spans="1:20" ht="15.75">
      <c r="A39" s="113">
        <v>22</v>
      </c>
      <c r="B39" s="111" t="s">
        <v>121</v>
      </c>
      <c r="C39" s="99"/>
      <c r="D39" s="97" t="s">
        <v>122</v>
      </c>
      <c r="E39" s="115">
        <v>5</v>
      </c>
      <c r="F39" s="116">
        <v>867872</v>
      </c>
      <c r="G39" s="115"/>
      <c r="H39" s="184">
        <v>670455</v>
      </c>
      <c r="I39" s="99"/>
      <c r="J39" s="116">
        <v>651387</v>
      </c>
      <c r="K39" s="115"/>
      <c r="L39" s="103"/>
      <c r="M39" s="115">
        <f>F39*L39</f>
        <v>0</v>
      </c>
      <c r="N39" s="158">
        <f>M39/J39</f>
        <v>0</v>
      </c>
      <c r="Q39" s="86">
        <v>0.24773</v>
      </c>
      <c r="T39" s="86">
        <f>SUM(Q39:S39)</f>
        <v>0.24773</v>
      </c>
    </row>
    <row r="40" spans="1:20" ht="15.75">
      <c r="A40" s="113">
        <v>23</v>
      </c>
      <c r="B40" s="111" t="s">
        <v>123</v>
      </c>
      <c r="C40" s="99"/>
      <c r="D40" s="99"/>
      <c r="E40" s="99"/>
      <c r="F40" s="116"/>
      <c r="G40" s="99"/>
      <c r="H40" s="116"/>
      <c r="I40" s="99"/>
      <c r="J40" s="116"/>
      <c r="K40" s="99"/>
      <c r="L40" s="103"/>
      <c r="M40" s="115"/>
      <c r="N40" s="158"/>
      <c r="Q40" s="86"/>
      <c r="T40" s="86"/>
    </row>
    <row r="41" spans="1:20" ht="15.75">
      <c r="A41" s="113">
        <v>24</v>
      </c>
      <c r="B41" s="111" t="s">
        <v>124</v>
      </c>
      <c r="C41" s="99"/>
      <c r="D41" s="99"/>
      <c r="E41" s="99"/>
      <c r="F41" s="116"/>
      <c r="G41" s="99"/>
      <c r="H41" s="184"/>
      <c r="I41" s="99"/>
      <c r="J41" s="116">
        <f>H41/H39*J39</f>
        <v>0</v>
      </c>
      <c r="K41" s="99"/>
      <c r="L41" s="103"/>
      <c r="M41" s="115">
        <f>F41*L41</f>
        <v>0</v>
      </c>
      <c r="N41" s="158"/>
      <c r="Q41" s="86"/>
      <c r="T41" s="86"/>
    </row>
    <row r="42" spans="1:20" ht="15.75">
      <c r="A42" s="113">
        <v>23</v>
      </c>
      <c r="B42" s="122" t="s">
        <v>125</v>
      </c>
      <c r="C42" s="110"/>
      <c r="D42" s="110"/>
      <c r="E42" s="123">
        <f>SUM(E39:E41)</f>
        <v>5</v>
      </c>
      <c r="F42" s="108">
        <f>SUM(F39:F41)</f>
        <v>867872</v>
      </c>
      <c r="G42" s="123"/>
      <c r="H42" s="108">
        <f>SUM(H39:H41)</f>
        <v>670455</v>
      </c>
      <c r="I42" s="123"/>
      <c r="J42" s="108">
        <f>SUM(J39:J41)</f>
        <v>651387</v>
      </c>
      <c r="K42" s="123"/>
      <c r="L42" s="103"/>
      <c r="M42" s="123">
        <f>SUM(M39:M41)</f>
        <v>0</v>
      </c>
      <c r="N42" s="158">
        <f>M42/J42</f>
        <v>0</v>
      </c>
      <c r="Q42" s="86"/>
      <c r="T42" s="86"/>
    </row>
    <row r="43" spans="1:20" ht="15.75">
      <c r="A43" s="103"/>
      <c r="B43" s="111" t="s">
        <v>126</v>
      </c>
      <c r="C43" s="99"/>
      <c r="D43" s="99"/>
      <c r="E43" s="99"/>
      <c r="F43" s="95"/>
      <c r="G43" s="99"/>
      <c r="H43" s="95"/>
      <c r="I43" s="99"/>
      <c r="J43" s="95"/>
      <c r="K43" s="99"/>
      <c r="L43" s="103"/>
      <c r="M43" s="99"/>
      <c r="N43" s="158"/>
      <c r="Q43" s="86"/>
      <c r="T43" s="86"/>
    </row>
    <row r="44" spans="1:20" ht="15.75">
      <c r="A44" s="113">
        <v>24</v>
      </c>
      <c r="B44" s="111" t="s">
        <v>121</v>
      </c>
      <c r="C44" s="99"/>
      <c r="D44" s="97" t="s">
        <v>122</v>
      </c>
      <c r="E44" s="115">
        <v>7</v>
      </c>
      <c r="F44" s="116">
        <v>3178131</v>
      </c>
      <c r="G44" s="99"/>
      <c r="H44" s="184">
        <v>2346596</v>
      </c>
      <c r="I44" s="99"/>
      <c r="J44" s="116">
        <v>2272470.78</v>
      </c>
      <c r="K44" s="99"/>
      <c r="L44" s="103"/>
      <c r="M44" s="115">
        <f>F44*L44</f>
        <v>0</v>
      </c>
      <c r="N44" s="158">
        <f>M44/J44</f>
        <v>0</v>
      </c>
      <c r="Q44" s="86">
        <v>0.24773</v>
      </c>
      <c r="T44" s="86">
        <f>SUM(Q44:S44)</f>
        <v>0.24773</v>
      </c>
    </row>
    <row r="45" spans="1:20" ht="15.75">
      <c r="A45" s="113">
        <v>25</v>
      </c>
      <c r="B45" s="111" t="s">
        <v>127</v>
      </c>
      <c r="C45" s="99"/>
      <c r="D45" s="97" t="s">
        <v>128</v>
      </c>
      <c r="E45" s="115">
        <v>3</v>
      </c>
      <c r="F45" s="116">
        <v>412999</v>
      </c>
      <c r="G45" s="99"/>
      <c r="H45" s="184">
        <v>327424</v>
      </c>
      <c r="I45" s="99"/>
      <c r="J45" s="116">
        <v>317488</v>
      </c>
      <c r="K45" s="99"/>
      <c r="L45" s="103"/>
      <c r="M45" s="115">
        <f>F45*L45</f>
        <v>0</v>
      </c>
      <c r="N45" s="158">
        <f>M45/J45</f>
        <v>0</v>
      </c>
      <c r="Q45" s="86">
        <v>0.24773</v>
      </c>
      <c r="T45" s="86">
        <f>SUM(Q45:S45)</f>
        <v>0.24773</v>
      </c>
    </row>
    <row r="46" spans="1:20" ht="15.75">
      <c r="A46" s="113">
        <v>26</v>
      </c>
      <c r="B46" s="122" t="s">
        <v>129</v>
      </c>
      <c r="C46" s="110"/>
      <c r="D46" s="110"/>
      <c r="E46" s="123">
        <f>SUM(E44:E45)</f>
        <v>10</v>
      </c>
      <c r="F46" s="108">
        <f>SUM(F44:F45)</f>
        <v>3591130</v>
      </c>
      <c r="G46" s="123"/>
      <c r="H46" s="108">
        <f>SUM(H44:H45)</f>
        <v>2674020</v>
      </c>
      <c r="I46" s="123"/>
      <c r="J46" s="108">
        <f>SUM(J44:J45)</f>
        <v>2589958.78</v>
      </c>
      <c r="K46" s="123"/>
      <c r="L46" s="164"/>
      <c r="M46" s="123">
        <f>SUM(M44:M45)</f>
        <v>0</v>
      </c>
      <c r="N46" s="158">
        <f>M46/J46</f>
        <v>0</v>
      </c>
      <c r="Q46" s="86"/>
      <c r="T46" s="86"/>
    </row>
    <row r="47" spans="1:20" ht="15.75">
      <c r="A47" s="113">
        <v>27</v>
      </c>
      <c r="B47" s="111" t="s">
        <v>130</v>
      </c>
      <c r="C47" s="99"/>
      <c r="D47" s="99"/>
      <c r="E47" s="115">
        <f>E21+E31+E37+E42+E46</f>
        <v>169424</v>
      </c>
      <c r="F47" s="108">
        <f>F21+F31+F37+F42+F46</f>
        <v>195485959</v>
      </c>
      <c r="G47" s="115"/>
      <c r="H47" s="108">
        <f>H21+H31+H37+H42+H46</f>
        <v>189289005</v>
      </c>
      <c r="I47" s="115"/>
      <c r="J47" s="108">
        <f>J21+J31+J37+J42+J46</f>
        <v>184339200.40210328</v>
      </c>
      <c r="K47" s="115"/>
      <c r="L47" s="165"/>
      <c r="M47" s="115">
        <f>M21+M31+M37+M42+M46</f>
        <v>646430.3931306285</v>
      </c>
      <c r="N47" s="182">
        <f>M47/J47</f>
        <v>0.0035067440442431955</v>
      </c>
      <c r="Q47" s="86"/>
      <c r="T47" s="86"/>
    </row>
    <row r="48" spans="1:20" ht="15.75">
      <c r="A48" s="105"/>
      <c r="B48" s="106" t="s">
        <v>131</v>
      </c>
      <c r="C48" s="107"/>
      <c r="D48" s="107"/>
      <c r="E48" s="108"/>
      <c r="F48" s="108"/>
      <c r="G48" s="108"/>
      <c r="H48" s="107"/>
      <c r="I48" s="107"/>
      <c r="J48" s="108"/>
      <c r="K48" s="108"/>
      <c r="L48" s="129"/>
      <c r="M48" s="108"/>
      <c r="N48" s="158"/>
      <c r="Q48" s="86"/>
      <c r="T48" s="86"/>
    </row>
    <row r="49" spans="1:20" ht="15.75">
      <c r="A49" s="113">
        <v>28</v>
      </c>
      <c r="B49" s="111" t="s">
        <v>132</v>
      </c>
      <c r="C49" s="99"/>
      <c r="D49" s="97" t="s">
        <v>133</v>
      </c>
      <c r="E49" s="99"/>
      <c r="F49" s="116">
        <v>2412017</v>
      </c>
      <c r="G49" s="115"/>
      <c r="H49" s="116">
        <v>1213295</v>
      </c>
      <c r="I49" s="130"/>
      <c r="J49" s="116">
        <f>+H49</f>
        <v>1213295</v>
      </c>
      <c r="K49" s="130"/>
      <c r="L49" s="166"/>
      <c r="M49" s="131"/>
      <c r="N49" s="179"/>
      <c r="Q49" s="86"/>
      <c r="T49" s="86"/>
    </row>
    <row r="50" spans="1:20" ht="15.75">
      <c r="A50" s="113">
        <v>29</v>
      </c>
      <c r="B50" s="111" t="s">
        <v>134</v>
      </c>
      <c r="C50" s="99"/>
      <c r="D50" s="97" t="s">
        <v>135</v>
      </c>
      <c r="E50" s="99"/>
      <c r="F50" s="116">
        <v>51025440</v>
      </c>
      <c r="G50" s="99"/>
      <c r="H50" s="116">
        <v>24235600</v>
      </c>
      <c r="I50" s="132"/>
      <c r="J50" s="116">
        <f>+H50</f>
        <v>24235600</v>
      </c>
      <c r="K50" s="132"/>
      <c r="L50" s="164"/>
      <c r="M50" s="99"/>
      <c r="N50" s="180"/>
      <c r="Q50" s="86"/>
      <c r="T50" s="86"/>
    </row>
    <row r="51" spans="1:20" ht="15.75">
      <c r="A51" s="113">
        <v>30</v>
      </c>
      <c r="B51" s="111" t="s">
        <v>136</v>
      </c>
      <c r="C51" s="99"/>
      <c r="D51" s="97" t="s">
        <v>137</v>
      </c>
      <c r="E51" s="115"/>
      <c r="F51" s="116">
        <v>7443287</v>
      </c>
      <c r="G51" s="130" t="s">
        <v>138</v>
      </c>
      <c r="H51" s="116">
        <v>721409</v>
      </c>
      <c r="I51" s="130"/>
      <c r="J51" s="116">
        <f>+H51</f>
        <v>721409</v>
      </c>
      <c r="K51" s="130"/>
      <c r="L51" s="167"/>
      <c r="M51" s="131"/>
      <c r="N51" s="180"/>
      <c r="Q51" s="86"/>
      <c r="T51" s="86"/>
    </row>
    <row r="52" spans="1:20" ht="15.75">
      <c r="A52" s="103"/>
      <c r="B52" s="111" t="s">
        <v>139</v>
      </c>
      <c r="C52" s="99"/>
      <c r="D52" s="99"/>
      <c r="E52" s="115"/>
      <c r="F52" s="116"/>
      <c r="G52" s="115"/>
      <c r="H52" s="116"/>
      <c r="I52" s="99"/>
      <c r="J52" s="116"/>
      <c r="K52" s="115"/>
      <c r="L52" s="162"/>
      <c r="M52" s="115"/>
      <c r="N52" s="180"/>
      <c r="Q52" s="86"/>
      <c r="T52" s="86"/>
    </row>
    <row r="53" spans="1:20" ht="15.75">
      <c r="A53" s="113">
        <v>31</v>
      </c>
      <c r="B53" s="111" t="s">
        <v>140</v>
      </c>
      <c r="C53" s="99"/>
      <c r="D53" s="97" t="s">
        <v>141</v>
      </c>
      <c r="E53" s="115">
        <v>131</v>
      </c>
      <c r="F53" s="116">
        <v>89107723</v>
      </c>
      <c r="G53" s="115"/>
      <c r="H53" s="116">
        <v>10435697</v>
      </c>
      <c r="I53" s="131"/>
      <c r="J53" s="116">
        <v>10434327</v>
      </c>
      <c r="K53" s="115"/>
      <c r="L53" s="103"/>
      <c r="M53" s="115"/>
      <c r="N53" s="180"/>
      <c r="Q53" s="86">
        <v>0.00508</v>
      </c>
      <c r="T53" s="86">
        <f>SUM(Q53:S53)</f>
        <v>0.00508</v>
      </c>
    </row>
    <row r="54" spans="1:14" ht="15.75">
      <c r="A54" s="113">
        <v>32</v>
      </c>
      <c r="B54" s="111" t="s">
        <v>142</v>
      </c>
      <c r="C54" s="99"/>
      <c r="D54" s="97" t="s">
        <v>143</v>
      </c>
      <c r="E54" s="115">
        <v>22</v>
      </c>
      <c r="F54" s="116">
        <v>156846205</v>
      </c>
      <c r="G54" s="115"/>
      <c r="H54" s="116">
        <v>6362505</v>
      </c>
      <c r="I54" s="131"/>
      <c r="J54" s="116">
        <v>6359908</v>
      </c>
      <c r="K54" s="115"/>
      <c r="L54" s="163"/>
      <c r="M54" s="115"/>
      <c r="N54" s="180"/>
    </row>
    <row r="55" spans="1:14" ht="15.75" hidden="1">
      <c r="A55" s="113"/>
      <c r="B55" s="111" t="s">
        <v>144</v>
      </c>
      <c r="C55" s="99"/>
      <c r="D55" s="97">
        <v>678</v>
      </c>
      <c r="E55" s="115"/>
      <c r="F55" s="116"/>
      <c r="G55" s="99"/>
      <c r="H55" s="185"/>
      <c r="I55" s="99"/>
      <c r="J55" s="185"/>
      <c r="K55" s="99"/>
      <c r="L55" s="164"/>
      <c r="M55" s="99"/>
      <c r="N55" s="180"/>
    </row>
    <row r="56" spans="1:14" ht="15.75">
      <c r="A56" s="113"/>
      <c r="B56" s="95"/>
      <c r="C56" s="97"/>
      <c r="D56" s="99"/>
      <c r="E56" s="99"/>
      <c r="F56" s="116"/>
      <c r="G56" s="99"/>
      <c r="H56" s="116"/>
      <c r="I56" s="99"/>
      <c r="J56" s="134"/>
      <c r="K56" s="99"/>
      <c r="L56" s="164"/>
      <c r="M56" s="99"/>
      <c r="N56" s="180"/>
    </row>
    <row r="57" spans="1:14" ht="15.75">
      <c r="A57" s="113"/>
      <c r="B57" s="95"/>
      <c r="C57" s="97"/>
      <c r="D57" s="99"/>
      <c r="E57" s="99"/>
      <c r="F57" s="116"/>
      <c r="G57" s="99"/>
      <c r="H57" s="116"/>
      <c r="I57" s="99"/>
      <c r="J57" s="116"/>
      <c r="K57" s="99"/>
      <c r="L57" s="164"/>
      <c r="M57" s="99"/>
      <c r="N57" s="180"/>
    </row>
    <row r="58" spans="1:14" ht="15.75">
      <c r="A58" s="113">
        <v>33</v>
      </c>
      <c r="B58" s="135" t="s">
        <v>145</v>
      </c>
      <c r="C58" s="136"/>
      <c r="D58" s="137" t="s">
        <v>146</v>
      </c>
      <c r="E58" s="138">
        <v>12</v>
      </c>
      <c r="F58" s="139">
        <v>273994454</v>
      </c>
      <c r="G58" s="136"/>
      <c r="H58" s="127">
        <v>5761934</v>
      </c>
      <c r="I58" s="136"/>
      <c r="J58" s="139">
        <v>5761934</v>
      </c>
      <c r="K58" s="136"/>
      <c r="L58" s="147"/>
      <c r="M58" s="136"/>
      <c r="N58" s="180"/>
    </row>
    <row r="59" spans="1:14" ht="15.75" hidden="1">
      <c r="A59" s="113">
        <v>37</v>
      </c>
      <c r="B59" s="95"/>
      <c r="C59" s="97" t="s">
        <v>147</v>
      </c>
      <c r="D59" s="99"/>
      <c r="E59" s="99"/>
      <c r="F59" s="116"/>
      <c r="G59" s="99"/>
      <c r="H59" s="116"/>
      <c r="I59" s="99"/>
      <c r="J59" s="116">
        <f aca="true" t="shared" si="5" ref="J59:J72">+H59</f>
        <v>0</v>
      </c>
      <c r="K59" s="99"/>
      <c r="L59" s="142"/>
      <c r="M59" s="99"/>
      <c r="N59" s="180"/>
    </row>
    <row r="60" spans="1:14" ht="15.75" hidden="1">
      <c r="A60" s="113">
        <v>38</v>
      </c>
      <c r="B60" s="95"/>
      <c r="C60" s="97" t="s">
        <v>148</v>
      </c>
      <c r="D60" s="99"/>
      <c r="E60" s="99"/>
      <c r="F60" s="116"/>
      <c r="G60" s="99"/>
      <c r="H60" s="116"/>
      <c r="I60" s="99"/>
      <c r="J60" s="116">
        <f t="shared" si="5"/>
        <v>0</v>
      </c>
      <c r="K60" s="99"/>
      <c r="L60" s="142"/>
      <c r="M60" s="99"/>
      <c r="N60" s="180"/>
    </row>
    <row r="61" spans="1:14" ht="15.75" hidden="1">
      <c r="A61" s="113">
        <v>39</v>
      </c>
      <c r="B61" s="95"/>
      <c r="C61" s="97" t="s">
        <v>149</v>
      </c>
      <c r="D61" s="99"/>
      <c r="E61" s="99"/>
      <c r="F61" s="116"/>
      <c r="G61" s="99"/>
      <c r="H61" s="116"/>
      <c r="I61" s="99"/>
      <c r="J61" s="116">
        <f t="shared" si="5"/>
        <v>0</v>
      </c>
      <c r="K61" s="99"/>
      <c r="L61" s="142"/>
      <c r="M61" s="99"/>
      <c r="N61" s="180"/>
    </row>
    <row r="62" spans="1:14" ht="15.75" hidden="1">
      <c r="A62" s="113">
        <v>40</v>
      </c>
      <c r="B62" s="95"/>
      <c r="C62" s="97" t="s">
        <v>150</v>
      </c>
      <c r="D62" s="99"/>
      <c r="E62" s="99"/>
      <c r="F62" s="116"/>
      <c r="G62" s="99"/>
      <c r="H62" s="116"/>
      <c r="I62" s="99"/>
      <c r="J62" s="116">
        <f t="shared" si="5"/>
        <v>0</v>
      </c>
      <c r="K62" s="99"/>
      <c r="L62" s="142"/>
      <c r="M62" s="99"/>
      <c r="N62" s="180"/>
    </row>
    <row r="63" spans="1:14" ht="15.75" hidden="1">
      <c r="A63" s="113">
        <v>41</v>
      </c>
      <c r="B63" s="95"/>
      <c r="C63" s="97" t="s">
        <v>151</v>
      </c>
      <c r="D63" s="99"/>
      <c r="E63" s="99"/>
      <c r="F63" s="116"/>
      <c r="G63" s="99"/>
      <c r="H63" s="116"/>
      <c r="I63" s="99"/>
      <c r="J63" s="116">
        <f t="shared" si="5"/>
        <v>0</v>
      </c>
      <c r="K63" s="99"/>
      <c r="L63" s="142"/>
      <c r="M63" s="99"/>
      <c r="N63" s="180"/>
    </row>
    <row r="64" spans="1:14" ht="15.75" hidden="1">
      <c r="A64" s="113">
        <v>42</v>
      </c>
      <c r="B64" s="95"/>
      <c r="C64" s="128" t="s">
        <v>152</v>
      </c>
      <c r="D64" s="99"/>
      <c r="E64" s="99"/>
      <c r="F64" s="116"/>
      <c r="G64" s="99"/>
      <c r="H64" s="116"/>
      <c r="I64" s="99"/>
      <c r="J64" s="116">
        <f t="shared" si="5"/>
        <v>0</v>
      </c>
      <c r="K64" s="99"/>
      <c r="L64" s="142"/>
      <c r="M64" s="99"/>
      <c r="N64" s="180"/>
    </row>
    <row r="65" spans="1:14" ht="15.75" hidden="1">
      <c r="A65" s="113">
        <v>43</v>
      </c>
      <c r="B65" s="95"/>
      <c r="C65" s="97" t="s">
        <v>153</v>
      </c>
      <c r="D65" s="99"/>
      <c r="E65" s="99"/>
      <c r="F65" s="116"/>
      <c r="G65" s="99"/>
      <c r="H65" s="116"/>
      <c r="I65" s="99"/>
      <c r="J65" s="116">
        <f t="shared" si="5"/>
        <v>0</v>
      </c>
      <c r="K65" s="99"/>
      <c r="L65" s="142"/>
      <c r="M65" s="99"/>
      <c r="N65" s="180"/>
    </row>
    <row r="66" spans="1:14" ht="15.75" hidden="1">
      <c r="A66" s="113">
        <v>44</v>
      </c>
      <c r="B66" s="95"/>
      <c r="C66" s="97" t="s">
        <v>154</v>
      </c>
      <c r="D66" s="99"/>
      <c r="E66" s="99"/>
      <c r="F66" s="116"/>
      <c r="G66" s="99"/>
      <c r="H66" s="116"/>
      <c r="I66" s="99"/>
      <c r="J66" s="116">
        <f t="shared" si="5"/>
        <v>0</v>
      </c>
      <c r="K66" s="99"/>
      <c r="L66" s="142"/>
      <c r="M66" s="99"/>
      <c r="N66" s="180"/>
    </row>
    <row r="67" spans="1:14" ht="15.75" hidden="1">
      <c r="A67" s="113">
        <v>45</v>
      </c>
      <c r="B67" s="95"/>
      <c r="C67" s="97" t="s">
        <v>155</v>
      </c>
      <c r="D67" s="99"/>
      <c r="E67" s="99"/>
      <c r="F67" s="116"/>
      <c r="G67" s="99"/>
      <c r="H67" s="116"/>
      <c r="I67" s="99"/>
      <c r="J67" s="116">
        <f t="shared" si="5"/>
        <v>0</v>
      </c>
      <c r="K67" s="99"/>
      <c r="L67" s="142"/>
      <c r="M67" s="99"/>
      <c r="N67" s="180"/>
    </row>
    <row r="68" spans="1:14" ht="15.75" hidden="1">
      <c r="A68" s="113">
        <v>46</v>
      </c>
      <c r="B68" s="95"/>
      <c r="C68" s="128" t="s">
        <v>156</v>
      </c>
      <c r="D68" s="99"/>
      <c r="E68" s="99"/>
      <c r="F68" s="116"/>
      <c r="G68" s="99"/>
      <c r="H68" s="116"/>
      <c r="I68" s="99"/>
      <c r="J68" s="116">
        <f t="shared" si="5"/>
        <v>0</v>
      </c>
      <c r="K68" s="99"/>
      <c r="L68" s="142"/>
      <c r="M68" s="99"/>
      <c r="N68" s="180"/>
    </row>
    <row r="69" spans="1:14" ht="15.75" hidden="1">
      <c r="A69" s="113">
        <v>47</v>
      </c>
      <c r="B69" s="95"/>
      <c r="C69" s="128" t="s">
        <v>157</v>
      </c>
      <c r="D69" s="99"/>
      <c r="E69" s="99"/>
      <c r="F69" s="116"/>
      <c r="G69" s="99"/>
      <c r="H69" s="116"/>
      <c r="I69" s="99"/>
      <c r="J69" s="116">
        <f t="shared" si="5"/>
        <v>0</v>
      </c>
      <c r="K69" s="99"/>
      <c r="L69" s="142"/>
      <c r="M69" s="99"/>
      <c r="N69" s="180"/>
    </row>
    <row r="70" spans="1:14" ht="15.75" hidden="1">
      <c r="A70" s="113">
        <v>48</v>
      </c>
      <c r="B70" s="95"/>
      <c r="C70" s="128" t="s">
        <v>158</v>
      </c>
      <c r="D70" s="99"/>
      <c r="E70" s="99"/>
      <c r="F70" s="116"/>
      <c r="G70" s="99"/>
      <c r="H70" s="116"/>
      <c r="I70" s="99"/>
      <c r="J70" s="116">
        <f t="shared" si="5"/>
        <v>0</v>
      </c>
      <c r="K70" s="99"/>
      <c r="L70" s="142"/>
      <c r="M70" s="99"/>
      <c r="N70" s="180"/>
    </row>
    <row r="71" spans="1:14" ht="15.75" hidden="1">
      <c r="A71" s="113">
        <v>49</v>
      </c>
      <c r="B71" s="95"/>
      <c r="C71" s="128" t="s">
        <v>159</v>
      </c>
      <c r="D71" s="99"/>
      <c r="E71" s="99"/>
      <c r="F71" s="116"/>
      <c r="G71" s="99"/>
      <c r="H71" s="116"/>
      <c r="I71" s="99"/>
      <c r="J71" s="116">
        <f t="shared" si="5"/>
        <v>0</v>
      </c>
      <c r="K71" s="99"/>
      <c r="L71" s="142"/>
      <c r="M71" s="99"/>
      <c r="N71" s="180"/>
    </row>
    <row r="72" spans="1:14" ht="15.75" hidden="1">
      <c r="A72" s="113">
        <v>50</v>
      </c>
      <c r="B72" s="143"/>
      <c r="C72" s="144" t="s">
        <v>160</v>
      </c>
      <c r="D72" s="136"/>
      <c r="E72" s="136"/>
      <c r="F72" s="139"/>
      <c r="G72" s="136"/>
      <c r="H72" s="139"/>
      <c r="I72" s="136"/>
      <c r="J72" s="116">
        <f t="shared" si="5"/>
        <v>0</v>
      </c>
      <c r="K72" s="136"/>
      <c r="L72" s="142"/>
      <c r="M72" s="99"/>
      <c r="N72" s="180"/>
    </row>
    <row r="73" spans="1:14" ht="15.75">
      <c r="A73" s="113">
        <v>34</v>
      </c>
      <c r="B73" s="145" t="s">
        <v>161</v>
      </c>
      <c r="C73" s="136"/>
      <c r="D73" s="136"/>
      <c r="E73" s="141">
        <f>SUM(E49:E72)</f>
        <v>165</v>
      </c>
      <c r="F73" s="139">
        <f>SUM(F53:F72)</f>
        <v>519948382</v>
      </c>
      <c r="G73" s="136"/>
      <c r="H73" s="139">
        <f>SUM(H49:H72)</f>
        <v>48730440</v>
      </c>
      <c r="I73" s="136"/>
      <c r="J73" s="146">
        <f>SUM(J49:J72)</f>
        <v>48726473</v>
      </c>
      <c r="K73" s="136"/>
      <c r="L73" s="147"/>
      <c r="M73" s="136"/>
      <c r="N73" s="181"/>
    </row>
    <row r="74" spans="1:14" ht="15.75">
      <c r="A74" s="113">
        <v>35</v>
      </c>
      <c r="B74" s="145" t="s">
        <v>162</v>
      </c>
      <c r="C74" s="136"/>
      <c r="D74" s="136"/>
      <c r="E74" s="141">
        <f>E47+E73</f>
        <v>169589</v>
      </c>
      <c r="F74" s="139">
        <f>F47+F73</f>
        <v>715434341</v>
      </c>
      <c r="G74" s="141"/>
      <c r="H74" s="139">
        <f>H47+H73</f>
        <v>238019445</v>
      </c>
      <c r="I74" s="141"/>
      <c r="J74" s="139">
        <f>J47+J73</f>
        <v>233065673.40210328</v>
      </c>
      <c r="K74" s="141"/>
      <c r="L74" s="148"/>
      <c r="M74" s="141">
        <f>M47+M53</f>
        <v>646430.3931306285</v>
      </c>
      <c r="N74" s="158">
        <f>M74/J74</f>
        <v>0.0027735976031758045</v>
      </c>
    </row>
    <row r="75" spans="1:14" ht="15.75">
      <c r="A75" s="105"/>
      <c r="B75" s="149" t="s">
        <v>163</v>
      </c>
      <c r="C75" s="143"/>
      <c r="D75" s="143"/>
      <c r="E75" s="139"/>
      <c r="F75" s="139"/>
      <c r="G75" s="139"/>
      <c r="H75" s="143"/>
      <c r="I75" s="143"/>
      <c r="J75" s="139"/>
      <c r="K75" s="139"/>
      <c r="L75" s="150"/>
      <c r="M75" s="139"/>
      <c r="N75" s="179"/>
    </row>
    <row r="76" spans="1:14" ht="15.75">
      <c r="A76" s="103">
        <v>36</v>
      </c>
      <c r="B76" s="111" t="s">
        <v>164</v>
      </c>
      <c r="C76" s="95"/>
      <c r="D76" s="95"/>
      <c r="E76" s="115"/>
      <c r="F76" s="116"/>
      <c r="G76" s="115"/>
      <c r="H76" s="116">
        <v>8927966</v>
      </c>
      <c r="I76" s="99"/>
      <c r="J76" s="116">
        <f>+H76</f>
        <v>8927966</v>
      </c>
      <c r="K76" s="115"/>
      <c r="L76" s="124"/>
      <c r="M76" s="116"/>
      <c r="N76" s="180"/>
    </row>
    <row r="77" spans="1:14" ht="15.75">
      <c r="A77" s="113">
        <v>37</v>
      </c>
      <c r="B77" s="111" t="s">
        <v>165</v>
      </c>
      <c r="C77" s="95"/>
      <c r="D77" s="95"/>
      <c r="E77" s="115"/>
      <c r="F77" s="116"/>
      <c r="G77" s="115"/>
      <c r="H77" s="116">
        <v>-790706</v>
      </c>
      <c r="I77" s="115"/>
      <c r="J77" s="116">
        <f>+H77</f>
        <v>-790706</v>
      </c>
      <c r="K77" s="115"/>
      <c r="L77" s="124"/>
      <c r="M77" s="116"/>
      <c r="N77" s="180"/>
    </row>
    <row r="78" spans="1:14" ht="15.75">
      <c r="A78" s="113">
        <v>38</v>
      </c>
      <c r="B78" s="111" t="s">
        <v>166</v>
      </c>
      <c r="C78" s="95"/>
      <c r="D78" s="95"/>
      <c r="E78" s="99"/>
      <c r="F78" s="116"/>
      <c r="G78" s="115"/>
      <c r="H78" s="139">
        <v>833552</v>
      </c>
      <c r="I78" s="115"/>
      <c r="J78" s="139">
        <f>+H78</f>
        <v>833552</v>
      </c>
      <c r="K78" s="115"/>
      <c r="L78" s="112"/>
      <c r="M78" s="95"/>
      <c r="N78" s="180"/>
    </row>
    <row r="79" spans="1:14" ht="15.75">
      <c r="A79" s="113">
        <v>39</v>
      </c>
      <c r="B79" s="122" t="s">
        <v>167</v>
      </c>
      <c r="C79" s="107"/>
      <c r="D79" s="107"/>
      <c r="E79" s="123"/>
      <c r="F79" s="108">
        <f>SUM(F76:F78)</f>
        <v>0</v>
      </c>
      <c r="G79" s="123"/>
      <c r="H79" s="139">
        <f>SUM(H76:H78)</f>
        <v>8970812</v>
      </c>
      <c r="I79" s="123"/>
      <c r="J79" s="139">
        <f>SUM(J76:J78)</f>
        <v>8970812</v>
      </c>
      <c r="K79" s="123"/>
      <c r="L79" s="112"/>
      <c r="M79" s="95"/>
      <c r="N79" s="180"/>
    </row>
    <row r="80" spans="1:14" ht="15.75">
      <c r="A80" s="113">
        <v>40</v>
      </c>
      <c r="B80" s="151" t="s">
        <v>168</v>
      </c>
      <c r="C80" s="95"/>
      <c r="D80" s="95"/>
      <c r="E80" s="99"/>
      <c r="F80" s="116"/>
      <c r="G80" s="115"/>
      <c r="H80" s="139">
        <f>H74+H79</f>
        <v>246990257</v>
      </c>
      <c r="I80" s="115"/>
      <c r="J80" s="139">
        <f>J74+J79</f>
        <v>242036485.40210328</v>
      </c>
      <c r="K80" s="115"/>
      <c r="L80" s="112"/>
      <c r="M80" s="95"/>
      <c r="N80" s="180"/>
    </row>
    <row r="81" spans="1:14" ht="15.75">
      <c r="A81" s="113">
        <v>41</v>
      </c>
      <c r="B81" s="122" t="s">
        <v>169</v>
      </c>
      <c r="C81" s="107"/>
      <c r="D81" s="107"/>
      <c r="E81" s="110"/>
      <c r="F81" s="107"/>
      <c r="G81" s="110"/>
      <c r="H81" s="152"/>
      <c r="I81" s="110"/>
      <c r="J81" s="153">
        <v>0</v>
      </c>
      <c r="K81" s="110"/>
      <c r="L81" s="112"/>
      <c r="M81" s="143"/>
      <c r="N81" s="180"/>
    </row>
    <row r="82" spans="1:14" ht="15.75">
      <c r="A82" s="154">
        <v>42</v>
      </c>
      <c r="B82" s="149" t="s">
        <v>170</v>
      </c>
      <c r="C82" s="143"/>
      <c r="D82" s="143"/>
      <c r="E82" s="136"/>
      <c r="F82" s="139">
        <f>F74+F79</f>
        <v>715434341</v>
      </c>
      <c r="G82" s="136"/>
      <c r="H82" s="139">
        <f>H74+H79+H81</f>
        <v>246990257</v>
      </c>
      <c r="I82" s="136"/>
      <c r="J82" s="139">
        <f>J74+J79</f>
        <v>242036485.40210328</v>
      </c>
      <c r="K82" s="136"/>
      <c r="L82" s="140"/>
      <c r="M82" s="141">
        <f>M74</f>
        <v>646430.3931306285</v>
      </c>
      <c r="N82" s="181">
        <f>M82/J82</f>
        <v>0.0026707973058553223</v>
      </c>
    </row>
    <row r="83" spans="8:14" ht="15.75">
      <c r="H83" s="155"/>
      <c r="J83" s="155"/>
      <c r="K83" s="155"/>
      <c r="L83" s="156"/>
      <c r="M83" s="155"/>
      <c r="N83" s="155"/>
    </row>
    <row r="84" ht="15.75">
      <c r="B84" s="84"/>
    </row>
    <row r="85" ht="15.75">
      <c r="B85" s="85"/>
    </row>
    <row r="86" ht="15.75">
      <c r="B86" s="84"/>
    </row>
    <row r="87" ht="15.75">
      <c r="B87" s="84"/>
    </row>
    <row r="88" ht="15.75">
      <c r="B88" s="85"/>
    </row>
  </sheetData>
  <mergeCells count="2">
    <mergeCell ref="C6:M6"/>
    <mergeCell ref="C5:M5"/>
  </mergeCells>
  <printOptions/>
  <pageMargins left="0.75" right="0.75" top="1" bottom="1" header="0.5" footer="0.5"/>
  <pageSetup fitToHeight="1" fitToWidth="1" horizontalDpi="600" verticalDpi="600" orientation="portrait" scale="65"/>
  <headerFooter alignWithMargins="0">
    <oddHeader>&amp;RDocket No. UG-060256
Exhibit No. __ (MLB-4)
Page 7 of 12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view="pageBreakPreview" zoomScale="60" zoomScaleNormal="75" workbookViewId="0" topLeftCell="A1">
      <selection activeCell="C5" sqref="C5:M5"/>
    </sheetView>
  </sheetViews>
  <sheetFormatPr defaultColWidth="9.00390625" defaultRowHeight="15.75"/>
  <cols>
    <col min="1" max="1" width="4.625" style="83" customWidth="1"/>
    <col min="2" max="2" width="9.00390625" style="83" customWidth="1"/>
    <col min="3" max="3" width="16.25390625" style="83" customWidth="1"/>
    <col min="4" max="4" width="10.125" style="83" customWidth="1"/>
    <col min="5" max="5" width="8.50390625" style="83" customWidth="1"/>
    <col min="6" max="6" width="13.375" style="83" customWidth="1"/>
    <col min="7" max="7" width="2.75390625" style="83" customWidth="1"/>
    <col min="8" max="8" width="12.625" style="83" bestFit="1" customWidth="1"/>
    <col min="9" max="9" width="2.875" style="83" customWidth="1"/>
    <col min="10" max="10" width="13.375" style="83" customWidth="1"/>
    <col min="11" max="11" width="2.75390625" style="83" customWidth="1"/>
    <col min="12" max="12" width="11.375" style="86" customWidth="1"/>
    <col min="13" max="13" width="11.875" style="83" customWidth="1"/>
    <col min="14" max="14" width="9.25390625" style="83" bestFit="1" customWidth="1"/>
    <col min="15" max="15" width="9.125" style="83" bestFit="1" customWidth="1"/>
    <col min="16" max="16" width="9.75390625" style="83" bestFit="1" customWidth="1"/>
    <col min="17" max="17" width="15.00390625" style="83" customWidth="1"/>
    <col min="18" max="18" width="11.50390625" style="83" customWidth="1"/>
    <col min="19" max="19" width="11.875" style="83" customWidth="1"/>
    <col min="20" max="21" width="9.25390625" style="83" bestFit="1" customWidth="1"/>
    <col min="22" max="16384" width="9.00390625" style="83" customWidth="1"/>
  </cols>
  <sheetData>
    <row r="1" spans="2:13" ht="15.75">
      <c r="B1" s="84"/>
      <c r="H1" s="85"/>
      <c r="M1" s="85"/>
    </row>
    <row r="2" spans="1:13" ht="15.75">
      <c r="A2" s="84"/>
      <c r="H2" s="85"/>
      <c r="M2" s="85"/>
    </row>
    <row r="3" spans="1:13" ht="15.75">
      <c r="A3" s="84"/>
      <c r="H3" s="85"/>
      <c r="M3" s="87"/>
    </row>
    <row r="4" spans="1:14" ht="15.75">
      <c r="A4" s="169"/>
      <c r="B4" s="89"/>
      <c r="C4" s="170" t="s">
        <v>6</v>
      </c>
      <c r="D4" s="171"/>
      <c r="E4" s="172"/>
      <c r="F4" s="171"/>
      <c r="G4" s="171"/>
      <c r="H4" s="171"/>
      <c r="I4" s="171"/>
      <c r="J4" s="171"/>
      <c r="K4" s="171"/>
      <c r="L4" s="173"/>
      <c r="M4" s="171"/>
      <c r="N4" s="90"/>
    </row>
    <row r="5" spans="1:14" ht="15.75">
      <c r="A5" s="174"/>
      <c r="B5" s="95"/>
      <c r="C5" s="242" t="s">
        <v>185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99"/>
    </row>
    <row r="6" spans="1:14" ht="15.75">
      <c r="A6" s="174"/>
      <c r="B6" s="95"/>
      <c r="C6" s="242" t="s">
        <v>176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175" t="s">
        <v>79</v>
      </c>
    </row>
    <row r="7" spans="1:14" ht="15.75">
      <c r="A7" s="174"/>
      <c r="B7" s="95"/>
      <c r="C7" s="176" t="s">
        <v>80</v>
      </c>
      <c r="D7" s="177"/>
      <c r="E7" s="177"/>
      <c r="F7" s="177"/>
      <c r="G7" s="177"/>
      <c r="H7" s="177"/>
      <c r="I7" s="177"/>
      <c r="J7" s="177"/>
      <c r="K7" s="177"/>
      <c r="L7" s="178"/>
      <c r="M7" s="177"/>
      <c r="N7" s="175" t="s">
        <v>79</v>
      </c>
    </row>
    <row r="8" spans="1:14" ht="15.75">
      <c r="A8" s="88"/>
      <c r="B8" s="89"/>
      <c r="C8" s="90"/>
      <c r="D8" s="90"/>
      <c r="E8" s="91"/>
      <c r="F8" s="92"/>
      <c r="G8" s="90"/>
      <c r="H8" s="92"/>
      <c r="I8" s="90"/>
      <c r="J8" s="89"/>
      <c r="K8" s="90"/>
      <c r="L8" s="93" t="s">
        <v>81</v>
      </c>
      <c r="M8" s="90"/>
      <c r="N8" s="90"/>
    </row>
    <row r="9" spans="1:20" ht="15.75">
      <c r="A9" s="94" t="s">
        <v>82</v>
      </c>
      <c r="B9" s="95"/>
      <c r="C9" s="96"/>
      <c r="D9" s="97" t="s">
        <v>7</v>
      </c>
      <c r="E9" s="97" t="s">
        <v>83</v>
      </c>
      <c r="F9" s="98" t="s">
        <v>84</v>
      </c>
      <c r="G9" s="99"/>
      <c r="H9" s="98" t="s">
        <v>85</v>
      </c>
      <c r="I9" s="99"/>
      <c r="J9" s="98" t="s">
        <v>86</v>
      </c>
      <c r="K9" s="99"/>
      <c r="L9" s="100" t="s">
        <v>7</v>
      </c>
      <c r="M9" s="101" t="s">
        <v>87</v>
      </c>
      <c r="N9" s="97" t="s">
        <v>88</v>
      </c>
      <c r="Q9" s="157" t="s">
        <v>172</v>
      </c>
      <c r="R9" s="157" t="s">
        <v>173</v>
      </c>
      <c r="S9" s="157" t="s">
        <v>173</v>
      </c>
      <c r="T9" s="157"/>
    </row>
    <row r="10" spans="1:20" ht="15.75">
      <c r="A10" s="94" t="s">
        <v>89</v>
      </c>
      <c r="B10" s="102" t="s">
        <v>8</v>
      </c>
      <c r="C10" s="101"/>
      <c r="D10" s="97" t="s">
        <v>90</v>
      </c>
      <c r="E10" s="97" t="s">
        <v>91</v>
      </c>
      <c r="F10" s="98" t="s">
        <v>92</v>
      </c>
      <c r="G10" s="99"/>
      <c r="H10" s="98" t="s">
        <v>93</v>
      </c>
      <c r="I10" s="99"/>
      <c r="J10" s="98" t="s">
        <v>171</v>
      </c>
      <c r="K10" s="99"/>
      <c r="L10" s="100" t="s">
        <v>94</v>
      </c>
      <c r="M10" s="101" t="s">
        <v>94</v>
      </c>
      <c r="N10" s="101" t="s">
        <v>94</v>
      </c>
      <c r="Q10" s="157" t="s">
        <v>94</v>
      </c>
      <c r="R10" s="157" t="s">
        <v>174</v>
      </c>
      <c r="S10" s="168" t="s">
        <v>175</v>
      </c>
      <c r="T10" s="168" t="s">
        <v>32</v>
      </c>
    </row>
    <row r="11" spans="1:14" ht="15.75">
      <c r="A11" s="103"/>
      <c r="B11" s="102" t="s">
        <v>95</v>
      </c>
      <c r="C11" s="101"/>
      <c r="D11" s="97" t="s">
        <v>96</v>
      </c>
      <c r="E11" s="97" t="s">
        <v>97</v>
      </c>
      <c r="F11" s="98" t="s">
        <v>98</v>
      </c>
      <c r="G11" s="99"/>
      <c r="H11" s="98" t="s">
        <v>99</v>
      </c>
      <c r="I11" s="99"/>
      <c r="J11" s="98" t="s">
        <v>100</v>
      </c>
      <c r="K11" s="99"/>
      <c r="L11" s="104" t="s">
        <v>101</v>
      </c>
      <c r="M11" s="97" t="s">
        <v>102</v>
      </c>
      <c r="N11" s="97" t="s">
        <v>103</v>
      </c>
    </row>
    <row r="12" spans="1:14" ht="15.75">
      <c r="A12" s="105"/>
      <c r="B12" s="106" t="s">
        <v>104</v>
      </c>
      <c r="C12" s="107"/>
      <c r="D12" s="107"/>
      <c r="E12" s="107"/>
      <c r="F12" s="107"/>
      <c r="G12" s="107"/>
      <c r="H12" s="108"/>
      <c r="I12" s="107"/>
      <c r="J12" s="107"/>
      <c r="K12" s="107"/>
      <c r="L12" s="109"/>
      <c r="M12" s="107"/>
      <c r="N12" s="110"/>
    </row>
    <row r="13" spans="1:14" ht="15.75">
      <c r="A13" s="103"/>
      <c r="B13" s="111" t="s">
        <v>23</v>
      </c>
      <c r="C13" s="99"/>
      <c r="D13" s="99"/>
      <c r="E13" s="99"/>
      <c r="F13" s="95"/>
      <c r="G13" s="99"/>
      <c r="H13" s="95"/>
      <c r="I13" s="99"/>
      <c r="J13" s="95"/>
      <c r="K13" s="99"/>
      <c r="L13" s="159"/>
      <c r="M13" s="99"/>
      <c r="N13" s="99"/>
    </row>
    <row r="14" spans="1:14" ht="15.75">
      <c r="A14" s="113"/>
      <c r="B14" s="111"/>
      <c r="C14" s="114"/>
      <c r="D14" s="97"/>
      <c r="E14" s="115"/>
      <c r="F14" s="116"/>
      <c r="G14" s="115"/>
      <c r="H14" s="117"/>
      <c r="I14" s="99"/>
      <c r="J14" s="116"/>
      <c r="K14" s="115"/>
      <c r="L14" s="160"/>
      <c r="M14" s="115"/>
      <c r="N14" s="118"/>
    </row>
    <row r="15" spans="1:20" ht="15.75">
      <c r="A15" s="113">
        <v>1</v>
      </c>
      <c r="B15" s="111" t="s">
        <v>105</v>
      </c>
      <c r="C15" s="99"/>
      <c r="D15" s="97" t="s">
        <v>106</v>
      </c>
      <c r="E15" s="115">
        <v>1387</v>
      </c>
      <c r="F15" s="116">
        <v>1315625</v>
      </c>
      <c r="G15" s="99"/>
      <c r="H15" s="183">
        <v>1282456</v>
      </c>
      <c r="I15" s="99"/>
      <c r="J15" s="116">
        <v>1241705</v>
      </c>
      <c r="K15" s="99"/>
      <c r="L15" s="161"/>
      <c r="M15" s="115">
        <f aca="true" t="shared" si="0" ref="M15:M20">F15*L15</f>
        <v>0</v>
      </c>
      <c r="N15" s="158">
        <f>M15/J15</f>
        <v>0</v>
      </c>
      <c r="Q15" s="86">
        <v>0.24917</v>
      </c>
      <c r="T15" s="86">
        <f aca="true" t="shared" si="1" ref="T15:T20">SUM(Q15:S15)</f>
        <v>0.24917</v>
      </c>
    </row>
    <row r="16" spans="1:21" ht="15.75">
      <c r="A16" s="113">
        <v>2</v>
      </c>
      <c r="B16" s="111" t="s">
        <v>24</v>
      </c>
      <c r="C16" s="114"/>
      <c r="D16" s="97" t="s">
        <v>25</v>
      </c>
      <c r="E16" s="115">
        <v>145577</v>
      </c>
      <c r="F16" s="116">
        <v>98555699</v>
      </c>
      <c r="G16" s="115"/>
      <c r="H16" s="183">
        <v>100352886</v>
      </c>
      <c r="I16" s="99"/>
      <c r="J16" s="116">
        <v>97711861</v>
      </c>
      <c r="K16" s="115"/>
      <c r="L16" s="161">
        <f>+'CAP Calculation'!D35</f>
        <v>0.0010940065613345858</v>
      </c>
      <c r="M16" s="115">
        <f t="shared" si="0"/>
        <v>107820.58136291648</v>
      </c>
      <c r="N16" s="158">
        <f>M16/J16</f>
        <v>0.0011034543837305122</v>
      </c>
      <c r="Q16" s="86">
        <v>0.24931</v>
      </c>
      <c r="R16" s="86">
        <f>+'CAP Calculation'!D10</f>
        <v>0.0040217672252984005</v>
      </c>
      <c r="S16" s="86">
        <f>+'CAP Calculation'!D33</f>
        <v>-0.0029277606639638147</v>
      </c>
      <c r="T16" s="86">
        <f t="shared" si="1"/>
        <v>0.25040400656133455</v>
      </c>
      <c r="U16" s="86">
        <f>+S16+R16</f>
        <v>0.0010940065613345858</v>
      </c>
    </row>
    <row r="17" spans="1:20" ht="15.75">
      <c r="A17" s="113">
        <v>3</v>
      </c>
      <c r="B17" s="111" t="s">
        <v>107</v>
      </c>
      <c r="C17" s="99"/>
      <c r="D17" s="97" t="s">
        <v>108</v>
      </c>
      <c r="E17" s="115">
        <v>0</v>
      </c>
      <c r="F17" s="116">
        <v>0</v>
      </c>
      <c r="G17" s="99"/>
      <c r="H17" s="184">
        <v>0</v>
      </c>
      <c r="I17" s="99"/>
      <c r="J17" s="116">
        <v>0</v>
      </c>
      <c r="K17" s="99"/>
      <c r="L17" s="161"/>
      <c r="M17" s="115">
        <f t="shared" si="0"/>
        <v>0</v>
      </c>
      <c r="N17" s="158">
        <v>0</v>
      </c>
      <c r="Q17" s="86">
        <v>0.24917</v>
      </c>
      <c r="T17" s="86">
        <f t="shared" si="1"/>
        <v>0.24917</v>
      </c>
    </row>
    <row r="18" spans="1:20" ht="15.75">
      <c r="A18" s="113">
        <v>4</v>
      </c>
      <c r="B18" s="111" t="s">
        <v>109</v>
      </c>
      <c r="C18" s="114"/>
      <c r="D18" s="97" t="s">
        <v>110</v>
      </c>
      <c r="E18" s="115">
        <v>45</v>
      </c>
      <c r="F18" s="116">
        <v>75451</v>
      </c>
      <c r="G18" s="99"/>
      <c r="H18" s="184">
        <v>72389</v>
      </c>
      <c r="I18" s="99"/>
      <c r="J18" s="116">
        <v>70828</v>
      </c>
      <c r="K18" s="99"/>
      <c r="L18" s="161"/>
      <c r="M18" s="115">
        <f t="shared" si="0"/>
        <v>0</v>
      </c>
      <c r="N18" s="158">
        <f>M18/J18</f>
        <v>0</v>
      </c>
      <c r="Q18" s="86">
        <v>0.24917</v>
      </c>
      <c r="T18" s="86">
        <f t="shared" si="1"/>
        <v>0.24917</v>
      </c>
    </row>
    <row r="19" spans="1:21" ht="15.75">
      <c r="A19" s="113">
        <v>5</v>
      </c>
      <c r="B19" s="121" t="s">
        <v>111</v>
      </c>
      <c r="C19" s="99"/>
      <c r="D19" s="99"/>
      <c r="E19" s="115"/>
      <c r="F19" s="116">
        <v>1642600</v>
      </c>
      <c r="G19" s="115"/>
      <c r="H19" s="184">
        <v>1573397</v>
      </c>
      <c r="I19" s="115"/>
      <c r="J19" s="184">
        <f>H19/SUM(H14:H18)*SUM(J14:J18)</f>
        <v>1531886.3464412356</v>
      </c>
      <c r="K19" s="115"/>
      <c r="L19" s="161">
        <f>+L16</f>
        <v>0.0010940065613345858</v>
      </c>
      <c r="M19" s="115">
        <f t="shared" si="0"/>
        <v>1797.0151776481907</v>
      </c>
      <c r="N19" s="158">
        <f>M19/J19</f>
        <v>0.0011730734344769654</v>
      </c>
      <c r="Q19" s="86">
        <v>0.24931</v>
      </c>
      <c r="R19" s="86">
        <f>+R16</f>
        <v>0.0040217672252984005</v>
      </c>
      <c r="S19" s="86">
        <f>+S16</f>
        <v>-0.0029277606639638147</v>
      </c>
      <c r="T19" s="86">
        <f t="shared" si="1"/>
        <v>0.25040400656133455</v>
      </c>
      <c r="U19" s="86">
        <f>+S19+R19</f>
        <v>0.0010940065613345858</v>
      </c>
    </row>
    <row r="20" spans="1:21" ht="15.75">
      <c r="A20" s="113">
        <v>6</v>
      </c>
      <c r="B20" s="121" t="s">
        <v>112</v>
      </c>
      <c r="C20" s="114"/>
      <c r="D20" s="99"/>
      <c r="E20" s="115"/>
      <c r="F20" s="116">
        <v>-1582600</v>
      </c>
      <c r="G20" s="115"/>
      <c r="H20" s="116">
        <v>-1418880</v>
      </c>
      <c r="I20" s="115"/>
      <c r="J20" s="116">
        <f>H20/SUM(H15:H19)*SUM(J15:J19)</f>
        <v>-1381445.9410044258</v>
      </c>
      <c r="K20" s="115"/>
      <c r="L20" s="161">
        <f>+L19</f>
        <v>0.0010940065613345858</v>
      </c>
      <c r="M20" s="115">
        <f t="shared" si="0"/>
        <v>-1731.3747839681155</v>
      </c>
      <c r="N20" s="158">
        <f>M20/J20</f>
        <v>0.0012533062153045687</v>
      </c>
      <c r="Q20" s="86">
        <v>0.24931</v>
      </c>
      <c r="R20" s="86">
        <f>+R19</f>
        <v>0.0040217672252984005</v>
      </c>
      <c r="S20" s="86">
        <f>+S19</f>
        <v>-0.0029277606639638147</v>
      </c>
      <c r="T20" s="86">
        <f t="shared" si="1"/>
        <v>0.25040400656133455</v>
      </c>
      <c r="U20" s="86">
        <f>+S20+R20</f>
        <v>0.0010940065613345858</v>
      </c>
    </row>
    <row r="21" spans="1:20" ht="15.75">
      <c r="A21" s="113">
        <v>7</v>
      </c>
      <c r="B21" s="122" t="s">
        <v>113</v>
      </c>
      <c r="C21" s="110"/>
      <c r="D21" s="110"/>
      <c r="E21" s="123">
        <f>SUM(E15:E20)</f>
        <v>147009</v>
      </c>
      <c r="F21" s="108">
        <f>SUM(F15:F20)</f>
        <v>100006775</v>
      </c>
      <c r="G21" s="123"/>
      <c r="H21" s="108">
        <f>SUM(H15:H20)</f>
        <v>101862248</v>
      </c>
      <c r="I21" s="123"/>
      <c r="J21" s="108">
        <f>SUM(J15:J20)</f>
        <v>99174834.40543681</v>
      </c>
      <c r="K21" s="123"/>
      <c r="L21" s="186"/>
      <c r="M21" s="123">
        <f>SUM(M14:M20)</f>
        <v>107886.22175659655</v>
      </c>
      <c r="N21" s="158">
        <f>M21/J21</f>
        <v>0.0010878386881448847</v>
      </c>
      <c r="Q21" s="86"/>
      <c r="T21" s="86"/>
    </row>
    <row r="22" spans="1:20" ht="15.75">
      <c r="A22" s="103"/>
      <c r="B22" s="111" t="s">
        <v>28</v>
      </c>
      <c r="C22" s="114"/>
      <c r="D22" s="99"/>
      <c r="E22" s="115"/>
      <c r="F22" s="125"/>
      <c r="G22" s="115"/>
      <c r="H22" s="95"/>
      <c r="I22" s="99"/>
      <c r="J22" s="116"/>
      <c r="K22" s="115"/>
      <c r="L22" s="186"/>
      <c r="M22" s="115"/>
      <c r="N22" s="158"/>
      <c r="Q22" s="86"/>
      <c r="T22" s="86"/>
    </row>
    <row r="23" spans="1:20" ht="15.75">
      <c r="A23" s="113">
        <v>8</v>
      </c>
      <c r="B23" s="111" t="s">
        <v>105</v>
      </c>
      <c r="C23" s="99"/>
      <c r="D23" s="97" t="s">
        <v>106</v>
      </c>
      <c r="E23" s="115">
        <v>42</v>
      </c>
      <c r="F23" s="184">
        <v>99121</v>
      </c>
      <c r="G23" s="99"/>
      <c r="H23" s="183">
        <v>90810</v>
      </c>
      <c r="I23" s="99"/>
      <c r="J23" s="116">
        <v>88267</v>
      </c>
      <c r="K23" s="99"/>
      <c r="L23" s="187"/>
      <c r="M23" s="115">
        <f aca="true" t="shared" si="2" ref="M23:M30">F23*L23</f>
        <v>0</v>
      </c>
      <c r="N23" s="158">
        <f aca="true" t="shared" si="3" ref="N23:N31">M23/J23</f>
        <v>0</v>
      </c>
      <c r="P23" s="83">
        <f>F23+F24+F26+F27+F28+F29+F30</f>
        <v>73090240</v>
      </c>
      <c r="Q23" s="86">
        <v>0.24917</v>
      </c>
      <c r="T23" s="86">
        <f aca="true" t="shared" si="4" ref="T23:T30">SUM(Q23:S23)</f>
        <v>0.24917</v>
      </c>
    </row>
    <row r="24" spans="1:21" ht="15.75">
      <c r="A24" s="113">
        <v>9</v>
      </c>
      <c r="B24" s="111" t="s">
        <v>24</v>
      </c>
      <c r="C24" s="114"/>
      <c r="D24" s="97" t="s">
        <v>30</v>
      </c>
      <c r="E24" s="115">
        <v>21849</v>
      </c>
      <c r="F24" s="184">
        <v>72845132</v>
      </c>
      <c r="G24" s="115"/>
      <c r="H24" s="184">
        <v>68283692</v>
      </c>
      <c r="I24" s="99"/>
      <c r="J24" s="116">
        <v>66449179</v>
      </c>
      <c r="K24" s="115"/>
      <c r="L24" s="187">
        <f>+'CAP Calculation'!D37</f>
        <v>0.0005060867358589335</v>
      </c>
      <c r="M24" s="115">
        <f t="shared" si="2"/>
        <v>36865.95507709314</v>
      </c>
      <c r="N24" s="158">
        <f t="shared" si="3"/>
        <v>0.0005547992560915333</v>
      </c>
      <c r="Q24" s="86">
        <v>0.24917</v>
      </c>
      <c r="R24" s="86">
        <f>+'CAP Calculation'!D18</f>
        <v>0.003433847399822748</v>
      </c>
      <c r="S24" s="86">
        <f>+S20</f>
        <v>-0.0029277606639638147</v>
      </c>
      <c r="T24" s="86">
        <f t="shared" si="4"/>
        <v>0.24967608673585898</v>
      </c>
      <c r="U24" s="86">
        <f>+S24+R24</f>
        <v>0.0005060867358589335</v>
      </c>
    </row>
    <row r="25" spans="1:20" ht="15.75">
      <c r="A25" s="113">
        <v>10</v>
      </c>
      <c r="B25" s="111" t="s">
        <v>114</v>
      </c>
      <c r="C25" s="99"/>
      <c r="D25" s="97" t="s">
        <v>115</v>
      </c>
      <c r="E25" s="115">
        <v>63</v>
      </c>
      <c r="F25" s="184">
        <v>6619158</v>
      </c>
      <c r="G25" s="99"/>
      <c r="H25" s="184">
        <v>5586303</v>
      </c>
      <c r="I25" s="99"/>
      <c r="J25" s="116">
        <v>5506534</v>
      </c>
      <c r="K25" s="99"/>
      <c r="L25" s="187"/>
      <c r="M25" s="115">
        <f t="shared" si="2"/>
        <v>0</v>
      </c>
      <c r="N25" s="158">
        <f t="shared" si="3"/>
        <v>0</v>
      </c>
      <c r="Q25" s="86">
        <v>0.24845</v>
      </c>
      <c r="T25" s="86">
        <f t="shared" si="4"/>
        <v>0.24845</v>
      </c>
    </row>
    <row r="26" spans="1:20" ht="15.75">
      <c r="A26" s="113">
        <v>11</v>
      </c>
      <c r="B26" s="111" t="s">
        <v>107</v>
      </c>
      <c r="C26" s="99"/>
      <c r="D26" s="97" t="s">
        <v>108</v>
      </c>
      <c r="E26" s="115">
        <v>1</v>
      </c>
      <c r="F26" s="184">
        <v>149699</v>
      </c>
      <c r="G26" s="115"/>
      <c r="H26" s="184">
        <v>120413</v>
      </c>
      <c r="I26" s="99"/>
      <c r="J26" s="116">
        <v>118450</v>
      </c>
      <c r="K26" s="115"/>
      <c r="L26" s="187"/>
      <c r="M26" s="115">
        <f t="shared" si="2"/>
        <v>0</v>
      </c>
      <c r="N26" s="158">
        <f t="shared" si="3"/>
        <v>0</v>
      </c>
      <c r="Q26" s="86">
        <v>0.24917</v>
      </c>
      <c r="T26" s="86">
        <f t="shared" si="4"/>
        <v>0.24917</v>
      </c>
    </row>
    <row r="27" spans="1:20" ht="15.75">
      <c r="A27" s="113">
        <v>12</v>
      </c>
      <c r="B27" s="111" t="s">
        <v>109</v>
      </c>
      <c r="C27" s="99"/>
      <c r="D27" s="97" t="s">
        <v>110</v>
      </c>
      <c r="E27" s="115">
        <v>27</v>
      </c>
      <c r="F27" s="184">
        <v>88913</v>
      </c>
      <c r="G27" s="99"/>
      <c r="H27" s="184">
        <v>83218</v>
      </c>
      <c r="I27" s="99"/>
      <c r="J27" s="116">
        <v>81179</v>
      </c>
      <c r="K27" s="99"/>
      <c r="L27" s="187"/>
      <c r="M27" s="115">
        <f t="shared" si="2"/>
        <v>0</v>
      </c>
      <c r="N27" s="158">
        <f t="shared" si="3"/>
        <v>0</v>
      </c>
      <c r="Q27" s="86">
        <v>0.24917</v>
      </c>
      <c r="T27" s="86">
        <f t="shared" si="4"/>
        <v>0.24917</v>
      </c>
    </row>
    <row r="28" spans="1:21" ht="15.75">
      <c r="A28" s="113">
        <v>13</v>
      </c>
      <c r="B28" s="126" t="str">
        <f>B19</f>
        <v>    Unbilled at 6/30/03</v>
      </c>
      <c r="C28" s="99"/>
      <c r="D28" s="99"/>
      <c r="E28" s="99"/>
      <c r="F28" s="116">
        <v>1505000</v>
      </c>
      <c r="G28" s="115"/>
      <c r="H28" s="116">
        <v>1385425</v>
      </c>
      <c r="I28" s="115"/>
      <c r="J28" s="116">
        <f>H28/SUM(H22:H26)*SUM(J22:J26)</f>
        <v>1349540.9130928435</v>
      </c>
      <c r="K28" s="115"/>
      <c r="L28" s="187">
        <f>+L24</f>
        <v>0.0005060867358589335</v>
      </c>
      <c r="M28" s="115">
        <f t="shared" si="2"/>
        <v>761.6605374676949</v>
      </c>
      <c r="N28" s="158">
        <f t="shared" si="3"/>
        <v>0.0005643849179215625</v>
      </c>
      <c r="P28" s="83">
        <f>F31-F25</f>
        <v>73090240</v>
      </c>
      <c r="Q28" s="86">
        <v>0.24917</v>
      </c>
      <c r="R28" s="86">
        <f>+R24</f>
        <v>0.003433847399822748</v>
      </c>
      <c r="S28" s="86">
        <f>+S24</f>
        <v>-0.0029277606639638147</v>
      </c>
      <c r="T28" s="86">
        <f t="shared" si="4"/>
        <v>0.24967608673585898</v>
      </c>
      <c r="U28" s="86">
        <f>+S28+R28</f>
        <v>0.0005060867358589335</v>
      </c>
    </row>
    <row r="29" spans="1:21" ht="15.75">
      <c r="A29" s="113">
        <v>14</v>
      </c>
      <c r="B29" s="126" t="str">
        <f>B20</f>
        <v>    Less Unbilled at 6/30/02</v>
      </c>
      <c r="C29" s="99"/>
      <c r="D29" s="99"/>
      <c r="E29" s="99"/>
      <c r="F29" s="116">
        <v>-1512900</v>
      </c>
      <c r="G29" s="115"/>
      <c r="H29" s="116">
        <v>-1300423</v>
      </c>
      <c r="I29" s="115"/>
      <c r="J29" s="116">
        <f>H29/SUM(H23:H27)*SUM(J23:J27)</f>
        <v>-1266742.6035115672</v>
      </c>
      <c r="K29" s="115"/>
      <c r="L29" s="187">
        <f>+L28</f>
        <v>0.0005060867358589335</v>
      </c>
      <c r="M29" s="115">
        <f t="shared" si="2"/>
        <v>-765.6586226809804</v>
      </c>
      <c r="N29" s="158">
        <f t="shared" si="3"/>
        <v>0.0006044310979661377</v>
      </c>
      <c r="Q29" s="86">
        <v>0.24917</v>
      </c>
      <c r="R29" s="86">
        <f>+R28</f>
        <v>0.003433847399822748</v>
      </c>
      <c r="S29" s="86">
        <f>+S28</f>
        <v>-0.0029277606639638147</v>
      </c>
      <c r="T29" s="86">
        <f t="shared" si="4"/>
        <v>0.24967608673585898</v>
      </c>
      <c r="U29" s="86">
        <f>+S29+R29</f>
        <v>0.0005060867358589335</v>
      </c>
    </row>
    <row r="30" spans="1:21" ht="15.75">
      <c r="A30" s="113">
        <v>15</v>
      </c>
      <c r="B30" s="111" t="s">
        <v>31</v>
      </c>
      <c r="C30" s="99"/>
      <c r="D30" s="99"/>
      <c r="E30" s="184"/>
      <c r="F30" s="127">
        <v>-84725</v>
      </c>
      <c r="G30" s="115"/>
      <c r="H30" s="116">
        <v>-81658</v>
      </c>
      <c r="I30" s="99"/>
      <c r="J30" s="116">
        <f>H30/SUM(H23:H27)*SUM(J23:J27)</f>
        <v>-79543.09291480352</v>
      </c>
      <c r="K30" s="115"/>
      <c r="L30" s="187">
        <f>+L29</f>
        <v>0.0005060867358589335</v>
      </c>
      <c r="M30" s="115">
        <f t="shared" si="2"/>
        <v>-42.87819869564814</v>
      </c>
      <c r="N30" s="158">
        <f t="shared" si="3"/>
        <v>0.0005390562162521619</v>
      </c>
      <c r="Q30" s="86">
        <v>0.24917</v>
      </c>
      <c r="R30" s="86">
        <f>+R29</f>
        <v>0.003433847399822748</v>
      </c>
      <c r="S30" s="86">
        <f>+S29</f>
        <v>-0.0029277606639638147</v>
      </c>
      <c r="T30" s="86">
        <f t="shared" si="4"/>
        <v>0.24967608673585898</v>
      </c>
      <c r="U30" s="86">
        <f>+S30+R30</f>
        <v>0.0005060867358589335</v>
      </c>
    </row>
    <row r="31" spans="1:20" ht="15.75">
      <c r="A31" s="113">
        <v>16</v>
      </c>
      <c r="B31" s="122" t="s">
        <v>116</v>
      </c>
      <c r="C31" s="110"/>
      <c r="D31" s="110"/>
      <c r="E31" s="123">
        <f>SUM(E23:E30)</f>
        <v>21982</v>
      </c>
      <c r="F31" s="108">
        <f>SUM(F23:F30)</f>
        <v>79709398</v>
      </c>
      <c r="G31" s="123"/>
      <c r="H31" s="108">
        <f>SUM(H23:H30)</f>
        <v>74167780</v>
      </c>
      <c r="I31" s="123"/>
      <c r="J31" s="108">
        <f>SUM(J23:J30)</f>
        <v>72246864.21666646</v>
      </c>
      <c r="K31" s="123"/>
      <c r="L31" s="163"/>
      <c r="M31" s="123">
        <f>SUM(M23:M30)</f>
        <v>36819.078793184206</v>
      </c>
      <c r="N31" s="158">
        <f t="shared" si="3"/>
        <v>0.0005096287457233403</v>
      </c>
      <c r="Q31" s="86"/>
      <c r="T31" s="86"/>
    </row>
    <row r="32" spans="1:20" ht="15.75">
      <c r="A32" s="103"/>
      <c r="B32" s="111" t="s">
        <v>117</v>
      </c>
      <c r="C32" s="99"/>
      <c r="D32" s="99"/>
      <c r="E32" s="115"/>
      <c r="F32" s="116"/>
      <c r="G32" s="115"/>
      <c r="H32" s="95"/>
      <c r="I32" s="99"/>
      <c r="J32" s="116"/>
      <c r="K32" s="115"/>
      <c r="L32" s="163"/>
      <c r="M32" s="115"/>
      <c r="N32" s="158"/>
      <c r="Q32" s="86"/>
      <c r="T32" s="86"/>
    </row>
    <row r="33" spans="1:20" ht="15.75">
      <c r="A33" s="113">
        <v>17</v>
      </c>
      <c r="B33" s="111" t="s">
        <v>105</v>
      </c>
      <c r="C33" s="99"/>
      <c r="D33" s="128" t="s">
        <v>106</v>
      </c>
      <c r="E33" s="115">
        <v>0</v>
      </c>
      <c r="F33" s="116">
        <v>0</v>
      </c>
      <c r="G33" s="115"/>
      <c r="H33" s="184">
        <v>0</v>
      </c>
      <c r="I33" s="99"/>
      <c r="J33" s="116">
        <v>0</v>
      </c>
      <c r="K33" s="115"/>
      <c r="L33" s="187"/>
      <c r="M33" s="115">
        <f>F33*L33</f>
        <v>0</v>
      </c>
      <c r="N33" s="158"/>
      <c r="Q33" s="86">
        <v>0.24917</v>
      </c>
      <c r="T33" s="86">
        <f>SUM(Q33:S33)</f>
        <v>0.24917</v>
      </c>
    </row>
    <row r="34" spans="1:20" ht="15.75">
      <c r="A34" s="113">
        <v>18</v>
      </c>
      <c r="B34" s="111" t="s">
        <v>24</v>
      </c>
      <c r="C34" s="99"/>
      <c r="D34" s="97" t="s">
        <v>118</v>
      </c>
      <c r="E34" s="115">
        <v>409</v>
      </c>
      <c r="F34" s="116">
        <v>9926053</v>
      </c>
      <c r="G34" s="115"/>
      <c r="H34" s="184">
        <v>8787791</v>
      </c>
      <c r="I34" s="99"/>
      <c r="J34" s="116">
        <v>8584548</v>
      </c>
      <c r="K34" s="115"/>
      <c r="L34" s="187"/>
      <c r="M34" s="115">
        <f>F34*L34</f>
        <v>0</v>
      </c>
      <c r="N34" s="158">
        <f>M34/J34</f>
        <v>0</v>
      </c>
      <c r="Q34" s="86">
        <v>0.24845</v>
      </c>
      <c r="T34" s="86">
        <f>SUM(Q34:S34)</f>
        <v>0.24845</v>
      </c>
    </row>
    <row r="35" spans="1:20" ht="15.75">
      <c r="A35" s="113">
        <v>19</v>
      </c>
      <c r="B35" s="111" t="s">
        <v>114</v>
      </c>
      <c r="C35" s="99"/>
      <c r="D35" s="97" t="s">
        <v>115</v>
      </c>
      <c r="E35" s="115">
        <v>8</v>
      </c>
      <c r="F35" s="116">
        <v>1379521</v>
      </c>
      <c r="G35" s="99"/>
      <c r="H35" s="184">
        <v>1121887</v>
      </c>
      <c r="I35" s="99"/>
      <c r="J35" s="116">
        <v>1086871</v>
      </c>
      <c r="K35" s="99"/>
      <c r="L35" s="187"/>
      <c r="M35" s="115">
        <f>F35*L35</f>
        <v>0</v>
      </c>
      <c r="N35" s="158">
        <f>M35/J35</f>
        <v>0</v>
      </c>
      <c r="Q35" s="86">
        <v>0.24845</v>
      </c>
      <c r="T35" s="86">
        <f>SUM(Q35:S35)</f>
        <v>0.24845</v>
      </c>
    </row>
    <row r="36" spans="1:20" ht="15.75">
      <c r="A36" s="113">
        <v>20</v>
      </c>
      <c r="B36" s="111" t="s">
        <v>107</v>
      </c>
      <c r="C36" s="99"/>
      <c r="D36" s="97" t="s">
        <v>108</v>
      </c>
      <c r="E36" s="115">
        <v>1</v>
      </c>
      <c r="F36" s="116">
        <v>5210</v>
      </c>
      <c r="G36" s="99"/>
      <c r="H36" s="184">
        <v>4824</v>
      </c>
      <c r="I36" s="99"/>
      <c r="J36" s="116">
        <v>4737</v>
      </c>
      <c r="K36" s="99"/>
      <c r="L36" s="187"/>
      <c r="M36" s="115">
        <f>F36*L36</f>
        <v>0</v>
      </c>
      <c r="N36" s="158">
        <f>M36/J36</f>
        <v>0</v>
      </c>
      <c r="Q36" s="86">
        <v>0.24917</v>
      </c>
      <c r="T36" s="86">
        <f>SUM(Q36:S36)</f>
        <v>0.24917</v>
      </c>
    </row>
    <row r="37" spans="1:20" ht="15.75">
      <c r="A37" s="113">
        <v>21</v>
      </c>
      <c r="B37" s="122" t="s">
        <v>119</v>
      </c>
      <c r="C37" s="110"/>
      <c r="D37" s="110"/>
      <c r="E37" s="123">
        <f>SUM(E33:E36)</f>
        <v>418</v>
      </c>
      <c r="F37" s="108">
        <f>SUM(F33:F36)</f>
        <v>11310784</v>
      </c>
      <c r="G37" s="123"/>
      <c r="H37" s="108">
        <f>SUM(H33:H36)</f>
        <v>9914502</v>
      </c>
      <c r="I37" s="123"/>
      <c r="J37" s="108">
        <f>SUM(J33:J36)</f>
        <v>9676156</v>
      </c>
      <c r="K37" s="123"/>
      <c r="L37" s="187"/>
      <c r="M37" s="123">
        <f>SUM(M33:M36)</f>
        <v>0</v>
      </c>
      <c r="N37" s="158">
        <f>M37/J37</f>
        <v>0</v>
      </c>
      <c r="O37" s="83">
        <v>0.02348</v>
      </c>
      <c r="Q37" s="86"/>
      <c r="T37" s="86"/>
    </row>
    <row r="38" spans="1:20" ht="15.75">
      <c r="A38" s="103"/>
      <c r="B38" s="111" t="s">
        <v>120</v>
      </c>
      <c r="C38" s="99"/>
      <c r="D38" s="99"/>
      <c r="E38" s="115"/>
      <c r="F38" s="116"/>
      <c r="G38" s="115"/>
      <c r="H38" s="95"/>
      <c r="I38" s="99"/>
      <c r="J38" s="116"/>
      <c r="K38" s="115"/>
      <c r="L38" s="187"/>
      <c r="M38" s="115"/>
      <c r="N38" s="158"/>
      <c r="Q38" s="86"/>
      <c r="T38" s="86"/>
    </row>
    <row r="39" spans="1:20" ht="15.75">
      <c r="A39" s="113">
        <v>22</v>
      </c>
      <c r="B39" s="111" t="s">
        <v>121</v>
      </c>
      <c r="C39" s="99"/>
      <c r="D39" s="97" t="s">
        <v>122</v>
      </c>
      <c r="E39" s="115">
        <v>5</v>
      </c>
      <c r="F39" s="116">
        <v>867872</v>
      </c>
      <c r="G39" s="115"/>
      <c r="H39" s="184">
        <v>670455</v>
      </c>
      <c r="I39" s="99"/>
      <c r="J39" s="116">
        <v>651387</v>
      </c>
      <c r="K39" s="115"/>
      <c r="L39" s="187"/>
      <c r="M39" s="115">
        <f>F39*L39</f>
        <v>0</v>
      </c>
      <c r="N39" s="158">
        <f>M39/J39</f>
        <v>0</v>
      </c>
      <c r="Q39" s="86">
        <v>0.24773</v>
      </c>
      <c r="T39" s="86">
        <f>SUM(Q39:S39)</f>
        <v>0.24773</v>
      </c>
    </row>
    <row r="40" spans="1:20" ht="15.75">
      <c r="A40" s="113">
        <v>23</v>
      </c>
      <c r="B40" s="111" t="s">
        <v>123</v>
      </c>
      <c r="C40" s="99"/>
      <c r="D40" s="99"/>
      <c r="E40" s="99"/>
      <c r="F40" s="116"/>
      <c r="G40" s="99"/>
      <c r="H40" s="116"/>
      <c r="I40" s="99"/>
      <c r="J40" s="116"/>
      <c r="K40" s="99"/>
      <c r="L40" s="187"/>
      <c r="M40" s="115"/>
      <c r="N40" s="158"/>
      <c r="Q40" s="86"/>
      <c r="T40" s="86"/>
    </row>
    <row r="41" spans="1:20" ht="15.75">
      <c r="A41" s="113">
        <v>24</v>
      </c>
      <c r="B41" s="111" t="s">
        <v>124</v>
      </c>
      <c r="C41" s="99"/>
      <c r="D41" s="99"/>
      <c r="E41" s="99"/>
      <c r="F41" s="116"/>
      <c r="G41" s="99"/>
      <c r="H41" s="184"/>
      <c r="I41" s="99"/>
      <c r="J41" s="116">
        <f>H41/H39*J39</f>
        <v>0</v>
      </c>
      <c r="K41" s="99"/>
      <c r="L41" s="187"/>
      <c r="M41" s="115">
        <f>F41*L41</f>
        <v>0</v>
      </c>
      <c r="N41" s="158"/>
      <c r="Q41" s="86"/>
      <c r="T41" s="86"/>
    </row>
    <row r="42" spans="1:20" ht="15.75">
      <c r="A42" s="113">
        <v>23</v>
      </c>
      <c r="B42" s="122" t="s">
        <v>125</v>
      </c>
      <c r="C42" s="110"/>
      <c r="D42" s="110"/>
      <c r="E42" s="123">
        <f>SUM(E39:E41)</f>
        <v>5</v>
      </c>
      <c r="F42" s="108">
        <f>SUM(F39:F41)</f>
        <v>867872</v>
      </c>
      <c r="G42" s="123"/>
      <c r="H42" s="108">
        <f>SUM(H39:H41)</f>
        <v>670455</v>
      </c>
      <c r="I42" s="123"/>
      <c r="J42" s="108">
        <f>SUM(J39:J41)</f>
        <v>651387</v>
      </c>
      <c r="K42" s="123"/>
      <c r="L42" s="187"/>
      <c r="M42" s="123">
        <f>SUM(M39:M41)</f>
        <v>0</v>
      </c>
      <c r="N42" s="158">
        <f>M42/J42</f>
        <v>0</v>
      </c>
      <c r="Q42" s="86"/>
      <c r="T42" s="86"/>
    </row>
    <row r="43" spans="1:20" ht="15.75">
      <c r="A43" s="103"/>
      <c r="B43" s="111" t="s">
        <v>126</v>
      </c>
      <c r="C43" s="99"/>
      <c r="D43" s="99"/>
      <c r="E43" s="99"/>
      <c r="F43" s="95"/>
      <c r="G43" s="99"/>
      <c r="H43" s="95"/>
      <c r="I43" s="99"/>
      <c r="J43" s="95"/>
      <c r="K43" s="99"/>
      <c r="L43" s="187"/>
      <c r="M43" s="99"/>
      <c r="N43" s="158"/>
      <c r="Q43" s="86"/>
      <c r="T43" s="86"/>
    </row>
    <row r="44" spans="1:20" ht="15.75">
      <c r="A44" s="113">
        <v>24</v>
      </c>
      <c r="B44" s="111" t="s">
        <v>121</v>
      </c>
      <c r="C44" s="99"/>
      <c r="D44" s="97" t="s">
        <v>122</v>
      </c>
      <c r="E44" s="115">
        <v>7</v>
      </c>
      <c r="F44" s="116">
        <v>3178131</v>
      </c>
      <c r="G44" s="99"/>
      <c r="H44" s="184">
        <v>2346596</v>
      </c>
      <c r="I44" s="99"/>
      <c r="J44" s="116">
        <v>2272470.78</v>
      </c>
      <c r="K44" s="99"/>
      <c r="L44" s="187"/>
      <c r="M44" s="115">
        <f>F44*L44</f>
        <v>0</v>
      </c>
      <c r="N44" s="158">
        <f>M44/J44</f>
        <v>0</v>
      </c>
      <c r="Q44" s="86">
        <v>0.24773</v>
      </c>
      <c r="T44" s="86">
        <f>SUM(Q44:S44)</f>
        <v>0.24773</v>
      </c>
    </row>
    <row r="45" spans="1:20" ht="15.75">
      <c r="A45" s="113">
        <v>25</v>
      </c>
      <c r="B45" s="111" t="s">
        <v>127</v>
      </c>
      <c r="C45" s="99"/>
      <c r="D45" s="97" t="s">
        <v>128</v>
      </c>
      <c r="E45" s="115">
        <v>3</v>
      </c>
      <c r="F45" s="116">
        <v>412999</v>
      </c>
      <c r="G45" s="99"/>
      <c r="H45" s="184">
        <v>327424</v>
      </c>
      <c r="I45" s="99"/>
      <c r="J45" s="116">
        <v>317488</v>
      </c>
      <c r="K45" s="99"/>
      <c r="L45" s="187"/>
      <c r="M45" s="115">
        <f>F45*L45</f>
        <v>0</v>
      </c>
      <c r="N45" s="158">
        <f>M45/J45</f>
        <v>0</v>
      </c>
      <c r="Q45" s="86">
        <v>0.24773</v>
      </c>
      <c r="T45" s="86">
        <f>SUM(Q45:S45)</f>
        <v>0.24773</v>
      </c>
    </row>
    <row r="46" spans="1:20" ht="15.75">
      <c r="A46" s="113">
        <v>26</v>
      </c>
      <c r="B46" s="122" t="s">
        <v>129</v>
      </c>
      <c r="C46" s="110"/>
      <c r="D46" s="110"/>
      <c r="E46" s="123">
        <f>SUM(E44:E45)</f>
        <v>10</v>
      </c>
      <c r="F46" s="108">
        <f>SUM(F44:F45)</f>
        <v>3591130</v>
      </c>
      <c r="G46" s="123"/>
      <c r="H46" s="108">
        <f>SUM(H44:H45)</f>
        <v>2674020</v>
      </c>
      <c r="I46" s="123"/>
      <c r="J46" s="108">
        <f>SUM(J44:J45)</f>
        <v>2589958.78</v>
      </c>
      <c r="K46" s="123"/>
      <c r="L46" s="187"/>
      <c r="M46" s="123">
        <f>SUM(M44:M45)</f>
        <v>0</v>
      </c>
      <c r="N46" s="158">
        <f>M46/J46</f>
        <v>0</v>
      </c>
      <c r="Q46" s="86"/>
      <c r="T46" s="86"/>
    </row>
    <row r="47" spans="1:20" ht="15.75">
      <c r="A47" s="113">
        <v>27</v>
      </c>
      <c r="B47" s="111" t="s">
        <v>130</v>
      </c>
      <c r="C47" s="99"/>
      <c r="D47" s="99"/>
      <c r="E47" s="115">
        <f>E21+E31+E37+E42+E46</f>
        <v>169424</v>
      </c>
      <c r="F47" s="108">
        <f>F21+F31+F37+F42+F46</f>
        <v>195485959</v>
      </c>
      <c r="G47" s="115"/>
      <c r="H47" s="108">
        <f>H21+H31+H37+H42+H46</f>
        <v>189289005</v>
      </c>
      <c r="I47" s="115"/>
      <c r="J47" s="108">
        <f>J21+J31+J37+J42+J46</f>
        <v>184339200.40210328</v>
      </c>
      <c r="K47" s="115"/>
      <c r="L47" s="188"/>
      <c r="M47" s="115">
        <f>M21+M31+M37+M42+M46</f>
        <v>144705.30054978078</v>
      </c>
      <c r="N47" s="182">
        <f>M47/J47</f>
        <v>0.0007849947283818734</v>
      </c>
      <c r="Q47" s="86"/>
      <c r="T47" s="86"/>
    </row>
    <row r="48" spans="1:20" ht="15.75">
      <c r="A48" s="105"/>
      <c r="B48" s="106" t="s">
        <v>131</v>
      </c>
      <c r="C48" s="107"/>
      <c r="D48" s="107"/>
      <c r="E48" s="108"/>
      <c r="F48" s="108"/>
      <c r="G48" s="108"/>
      <c r="H48" s="107"/>
      <c r="I48" s="107"/>
      <c r="J48" s="108"/>
      <c r="K48" s="108"/>
      <c r="L48" s="189"/>
      <c r="M48" s="108"/>
      <c r="N48" s="158"/>
      <c r="Q48" s="86"/>
      <c r="T48" s="86"/>
    </row>
    <row r="49" spans="1:20" ht="15.75">
      <c r="A49" s="113">
        <v>28</v>
      </c>
      <c r="B49" s="111" t="s">
        <v>132</v>
      </c>
      <c r="C49" s="99"/>
      <c r="D49" s="97" t="s">
        <v>133</v>
      </c>
      <c r="E49" s="99"/>
      <c r="F49" s="116">
        <v>2412017</v>
      </c>
      <c r="G49" s="115"/>
      <c r="H49" s="116">
        <v>1213295</v>
      </c>
      <c r="I49" s="130"/>
      <c r="J49" s="116">
        <f>+H49</f>
        <v>1213295</v>
      </c>
      <c r="K49" s="130"/>
      <c r="L49" s="190"/>
      <c r="M49" s="131"/>
      <c r="N49" s="179"/>
      <c r="Q49" s="86"/>
      <c r="T49" s="86"/>
    </row>
    <row r="50" spans="1:20" ht="15.75">
      <c r="A50" s="113">
        <v>29</v>
      </c>
      <c r="B50" s="111" t="s">
        <v>134</v>
      </c>
      <c r="C50" s="99"/>
      <c r="D50" s="97" t="s">
        <v>135</v>
      </c>
      <c r="E50" s="99"/>
      <c r="F50" s="116">
        <v>51025440</v>
      </c>
      <c r="G50" s="99"/>
      <c r="H50" s="116">
        <v>24235600</v>
      </c>
      <c r="I50" s="132"/>
      <c r="J50" s="116">
        <f>+H50</f>
        <v>24235600</v>
      </c>
      <c r="K50" s="132"/>
      <c r="L50" s="187"/>
      <c r="M50" s="99"/>
      <c r="N50" s="180"/>
      <c r="Q50" s="86"/>
      <c r="T50" s="86"/>
    </row>
    <row r="51" spans="1:20" ht="15.75">
      <c r="A51" s="113">
        <v>30</v>
      </c>
      <c r="B51" s="111" t="s">
        <v>136</v>
      </c>
      <c r="C51" s="99"/>
      <c r="D51" s="97" t="s">
        <v>137</v>
      </c>
      <c r="E51" s="115"/>
      <c r="F51" s="116">
        <v>7443287</v>
      </c>
      <c r="G51" s="130" t="s">
        <v>138</v>
      </c>
      <c r="H51" s="116">
        <v>721409</v>
      </c>
      <c r="I51" s="130"/>
      <c r="J51" s="116">
        <f>+H51</f>
        <v>721409</v>
      </c>
      <c r="K51" s="130"/>
      <c r="L51" s="191"/>
      <c r="M51" s="131"/>
      <c r="N51" s="180"/>
      <c r="Q51" s="86"/>
      <c r="T51" s="86"/>
    </row>
    <row r="52" spans="1:20" ht="15.75">
      <c r="A52" s="103"/>
      <c r="B52" s="111" t="s">
        <v>139</v>
      </c>
      <c r="C52" s="99"/>
      <c r="D52" s="99"/>
      <c r="E52" s="115"/>
      <c r="F52" s="116"/>
      <c r="G52" s="115"/>
      <c r="H52" s="116"/>
      <c r="I52" s="99"/>
      <c r="J52" s="116"/>
      <c r="K52" s="115"/>
      <c r="L52" s="186"/>
      <c r="M52" s="115"/>
      <c r="N52" s="180"/>
      <c r="Q52" s="86"/>
      <c r="T52" s="86"/>
    </row>
    <row r="53" spans="1:20" ht="15.75">
      <c r="A53" s="113">
        <v>31</v>
      </c>
      <c r="B53" s="111" t="s">
        <v>140</v>
      </c>
      <c r="C53" s="99"/>
      <c r="D53" s="97" t="s">
        <v>141</v>
      </c>
      <c r="E53" s="115">
        <v>131</v>
      </c>
      <c r="F53" s="116">
        <v>89107723</v>
      </c>
      <c r="G53" s="115"/>
      <c r="H53" s="116">
        <v>10435697</v>
      </c>
      <c r="I53" s="131"/>
      <c r="J53" s="116">
        <v>10434327</v>
      </c>
      <c r="K53" s="115"/>
      <c r="L53" s="187"/>
      <c r="M53" s="115"/>
      <c r="N53" s="180"/>
      <c r="Q53" s="86">
        <v>0.00508</v>
      </c>
      <c r="T53" s="86">
        <f>SUM(Q53:S53)</f>
        <v>0.00508</v>
      </c>
    </row>
    <row r="54" spans="1:14" ht="15.75">
      <c r="A54" s="113">
        <v>32</v>
      </c>
      <c r="B54" s="111" t="s">
        <v>142</v>
      </c>
      <c r="C54" s="99"/>
      <c r="D54" s="97" t="s">
        <v>143</v>
      </c>
      <c r="E54" s="115">
        <v>22</v>
      </c>
      <c r="F54" s="116">
        <v>156846205</v>
      </c>
      <c r="G54" s="115"/>
      <c r="H54" s="116">
        <v>6362505</v>
      </c>
      <c r="I54" s="131"/>
      <c r="J54" s="116">
        <v>6359908</v>
      </c>
      <c r="K54" s="115"/>
      <c r="L54" s="163"/>
      <c r="M54" s="115"/>
      <c r="N54" s="180"/>
    </row>
    <row r="55" spans="1:14" ht="15.75" hidden="1">
      <c r="A55" s="113"/>
      <c r="B55" s="111" t="s">
        <v>144</v>
      </c>
      <c r="C55" s="99"/>
      <c r="D55" s="97">
        <v>678</v>
      </c>
      <c r="E55" s="115"/>
      <c r="F55" s="116"/>
      <c r="G55" s="99"/>
      <c r="H55" s="185"/>
      <c r="I55" s="99"/>
      <c r="J55" s="185"/>
      <c r="K55" s="99"/>
      <c r="L55" s="164"/>
      <c r="M55" s="99"/>
      <c r="N55" s="180"/>
    </row>
    <row r="56" spans="1:14" ht="15.75">
      <c r="A56" s="113"/>
      <c r="B56" s="95"/>
      <c r="C56" s="97"/>
      <c r="D56" s="99"/>
      <c r="E56" s="99"/>
      <c r="F56" s="116"/>
      <c r="G56" s="99"/>
      <c r="H56" s="116"/>
      <c r="I56" s="99"/>
      <c r="J56" s="134"/>
      <c r="K56" s="99"/>
      <c r="L56" s="164"/>
      <c r="M56" s="99"/>
      <c r="N56" s="180"/>
    </row>
    <row r="57" spans="1:14" ht="15.75">
      <c r="A57" s="113"/>
      <c r="B57" s="95"/>
      <c r="C57" s="97"/>
      <c r="D57" s="99"/>
      <c r="E57" s="99"/>
      <c r="F57" s="116"/>
      <c r="G57" s="99"/>
      <c r="H57" s="116"/>
      <c r="I57" s="99"/>
      <c r="J57" s="116"/>
      <c r="K57" s="99"/>
      <c r="L57" s="164"/>
      <c r="M57" s="99"/>
      <c r="N57" s="180"/>
    </row>
    <row r="58" spans="1:14" ht="15.75">
      <c r="A58" s="113">
        <v>33</v>
      </c>
      <c r="B58" s="135" t="s">
        <v>145</v>
      </c>
      <c r="C58" s="136"/>
      <c r="D58" s="137" t="s">
        <v>146</v>
      </c>
      <c r="E58" s="138">
        <v>12</v>
      </c>
      <c r="F58" s="139">
        <v>273994454</v>
      </c>
      <c r="G58" s="136"/>
      <c r="H58" s="127">
        <v>5761934</v>
      </c>
      <c r="I58" s="136"/>
      <c r="J58" s="139">
        <v>5761934</v>
      </c>
      <c r="K58" s="136"/>
      <c r="L58" s="147"/>
      <c r="M58" s="136"/>
      <c r="N58" s="180"/>
    </row>
    <row r="59" spans="1:14" ht="15.75" hidden="1">
      <c r="A59" s="113">
        <v>37</v>
      </c>
      <c r="B59" s="95"/>
      <c r="C59" s="97" t="s">
        <v>147</v>
      </c>
      <c r="D59" s="99"/>
      <c r="E59" s="99"/>
      <c r="F59" s="116"/>
      <c r="G59" s="99"/>
      <c r="H59" s="116"/>
      <c r="I59" s="99"/>
      <c r="J59" s="116">
        <f aca="true" t="shared" si="5" ref="J59:J72">+H59</f>
        <v>0</v>
      </c>
      <c r="K59" s="99"/>
      <c r="L59" s="142"/>
      <c r="M59" s="99"/>
      <c r="N59" s="180"/>
    </row>
    <row r="60" spans="1:14" ht="15.75" hidden="1">
      <c r="A60" s="113">
        <v>38</v>
      </c>
      <c r="B60" s="95"/>
      <c r="C60" s="97" t="s">
        <v>148</v>
      </c>
      <c r="D60" s="99"/>
      <c r="E60" s="99"/>
      <c r="F60" s="116"/>
      <c r="G60" s="99"/>
      <c r="H60" s="116"/>
      <c r="I60" s="99"/>
      <c r="J60" s="116">
        <f t="shared" si="5"/>
        <v>0</v>
      </c>
      <c r="K60" s="99"/>
      <c r="L60" s="142"/>
      <c r="M60" s="99"/>
      <c r="N60" s="180"/>
    </row>
    <row r="61" spans="1:14" ht="15.75" hidden="1">
      <c r="A61" s="113">
        <v>39</v>
      </c>
      <c r="B61" s="95"/>
      <c r="C61" s="97" t="s">
        <v>149</v>
      </c>
      <c r="D61" s="99"/>
      <c r="E61" s="99"/>
      <c r="F61" s="116"/>
      <c r="G61" s="99"/>
      <c r="H61" s="116"/>
      <c r="I61" s="99"/>
      <c r="J61" s="116">
        <f t="shared" si="5"/>
        <v>0</v>
      </c>
      <c r="K61" s="99"/>
      <c r="L61" s="142"/>
      <c r="M61" s="99"/>
      <c r="N61" s="180"/>
    </row>
    <row r="62" spans="1:14" ht="15.75" hidden="1">
      <c r="A62" s="113">
        <v>40</v>
      </c>
      <c r="B62" s="95"/>
      <c r="C62" s="97" t="s">
        <v>150</v>
      </c>
      <c r="D62" s="99"/>
      <c r="E62" s="99"/>
      <c r="F62" s="116"/>
      <c r="G62" s="99"/>
      <c r="H62" s="116"/>
      <c r="I62" s="99"/>
      <c r="J62" s="116">
        <f t="shared" si="5"/>
        <v>0</v>
      </c>
      <c r="K62" s="99"/>
      <c r="L62" s="142"/>
      <c r="M62" s="99"/>
      <c r="N62" s="180"/>
    </row>
    <row r="63" spans="1:14" ht="15.75" hidden="1">
      <c r="A63" s="113">
        <v>41</v>
      </c>
      <c r="B63" s="95"/>
      <c r="C63" s="97" t="s">
        <v>151</v>
      </c>
      <c r="D63" s="99"/>
      <c r="E63" s="99"/>
      <c r="F63" s="116"/>
      <c r="G63" s="99"/>
      <c r="H63" s="116"/>
      <c r="I63" s="99"/>
      <c r="J63" s="116">
        <f t="shared" si="5"/>
        <v>0</v>
      </c>
      <c r="K63" s="99"/>
      <c r="L63" s="142"/>
      <c r="M63" s="99"/>
      <c r="N63" s="180"/>
    </row>
    <row r="64" spans="1:14" ht="15.75" hidden="1">
      <c r="A64" s="113">
        <v>42</v>
      </c>
      <c r="B64" s="95"/>
      <c r="C64" s="128" t="s">
        <v>152</v>
      </c>
      <c r="D64" s="99"/>
      <c r="E64" s="99"/>
      <c r="F64" s="116"/>
      <c r="G64" s="99"/>
      <c r="H64" s="116"/>
      <c r="I64" s="99"/>
      <c r="J64" s="116">
        <f t="shared" si="5"/>
        <v>0</v>
      </c>
      <c r="K64" s="99"/>
      <c r="L64" s="142"/>
      <c r="M64" s="99"/>
      <c r="N64" s="180"/>
    </row>
    <row r="65" spans="1:14" ht="15.75" hidden="1">
      <c r="A65" s="113">
        <v>43</v>
      </c>
      <c r="B65" s="95"/>
      <c r="C65" s="97" t="s">
        <v>153</v>
      </c>
      <c r="D65" s="99"/>
      <c r="E65" s="99"/>
      <c r="F65" s="116"/>
      <c r="G65" s="99"/>
      <c r="H65" s="116"/>
      <c r="I65" s="99"/>
      <c r="J65" s="116">
        <f t="shared" si="5"/>
        <v>0</v>
      </c>
      <c r="K65" s="99"/>
      <c r="L65" s="142"/>
      <c r="M65" s="99"/>
      <c r="N65" s="180"/>
    </row>
    <row r="66" spans="1:14" ht="15.75" hidden="1">
      <c r="A66" s="113">
        <v>44</v>
      </c>
      <c r="B66" s="95"/>
      <c r="C66" s="97" t="s">
        <v>154</v>
      </c>
      <c r="D66" s="99"/>
      <c r="E66" s="99"/>
      <c r="F66" s="116"/>
      <c r="G66" s="99"/>
      <c r="H66" s="116"/>
      <c r="I66" s="99"/>
      <c r="J66" s="116">
        <f t="shared" si="5"/>
        <v>0</v>
      </c>
      <c r="K66" s="99"/>
      <c r="L66" s="142"/>
      <c r="M66" s="99"/>
      <c r="N66" s="180"/>
    </row>
    <row r="67" spans="1:14" ht="15.75" hidden="1">
      <c r="A67" s="113">
        <v>45</v>
      </c>
      <c r="B67" s="95"/>
      <c r="C67" s="97" t="s">
        <v>155</v>
      </c>
      <c r="D67" s="99"/>
      <c r="E67" s="99"/>
      <c r="F67" s="116"/>
      <c r="G67" s="99"/>
      <c r="H67" s="116"/>
      <c r="I67" s="99"/>
      <c r="J67" s="116">
        <f t="shared" si="5"/>
        <v>0</v>
      </c>
      <c r="K67" s="99"/>
      <c r="L67" s="142"/>
      <c r="M67" s="99"/>
      <c r="N67" s="180"/>
    </row>
    <row r="68" spans="1:14" ht="15.75" hidden="1">
      <c r="A68" s="113">
        <v>46</v>
      </c>
      <c r="B68" s="95"/>
      <c r="C68" s="128" t="s">
        <v>156</v>
      </c>
      <c r="D68" s="99"/>
      <c r="E68" s="99"/>
      <c r="F68" s="116"/>
      <c r="G68" s="99"/>
      <c r="H68" s="116"/>
      <c r="I68" s="99"/>
      <c r="J68" s="116">
        <f t="shared" si="5"/>
        <v>0</v>
      </c>
      <c r="K68" s="99"/>
      <c r="L68" s="142"/>
      <c r="M68" s="99"/>
      <c r="N68" s="180"/>
    </row>
    <row r="69" spans="1:14" ht="15.75" hidden="1">
      <c r="A69" s="113">
        <v>47</v>
      </c>
      <c r="B69" s="95"/>
      <c r="C69" s="128" t="s">
        <v>157</v>
      </c>
      <c r="D69" s="99"/>
      <c r="E69" s="99"/>
      <c r="F69" s="116"/>
      <c r="G69" s="99"/>
      <c r="H69" s="116"/>
      <c r="I69" s="99"/>
      <c r="J69" s="116">
        <f t="shared" si="5"/>
        <v>0</v>
      </c>
      <c r="K69" s="99"/>
      <c r="L69" s="142"/>
      <c r="M69" s="99"/>
      <c r="N69" s="180"/>
    </row>
    <row r="70" spans="1:14" ht="15.75" hidden="1">
      <c r="A70" s="113">
        <v>48</v>
      </c>
      <c r="B70" s="95"/>
      <c r="C70" s="128" t="s">
        <v>158</v>
      </c>
      <c r="D70" s="99"/>
      <c r="E70" s="99"/>
      <c r="F70" s="116"/>
      <c r="G70" s="99"/>
      <c r="H70" s="116"/>
      <c r="I70" s="99"/>
      <c r="J70" s="116">
        <f t="shared" si="5"/>
        <v>0</v>
      </c>
      <c r="K70" s="99"/>
      <c r="L70" s="142"/>
      <c r="M70" s="99"/>
      <c r="N70" s="180"/>
    </row>
    <row r="71" spans="1:14" ht="15.75" hidden="1">
      <c r="A71" s="113">
        <v>49</v>
      </c>
      <c r="B71" s="95"/>
      <c r="C71" s="128" t="s">
        <v>159</v>
      </c>
      <c r="D71" s="99"/>
      <c r="E71" s="99"/>
      <c r="F71" s="116"/>
      <c r="G71" s="99"/>
      <c r="H71" s="116"/>
      <c r="I71" s="99"/>
      <c r="J71" s="116">
        <f t="shared" si="5"/>
        <v>0</v>
      </c>
      <c r="K71" s="99"/>
      <c r="L71" s="142"/>
      <c r="M71" s="99"/>
      <c r="N71" s="180"/>
    </row>
    <row r="72" spans="1:14" ht="15.75" hidden="1">
      <c r="A72" s="113">
        <v>50</v>
      </c>
      <c r="B72" s="143"/>
      <c r="C72" s="144" t="s">
        <v>160</v>
      </c>
      <c r="D72" s="136"/>
      <c r="E72" s="136"/>
      <c r="F72" s="139"/>
      <c r="G72" s="136"/>
      <c r="H72" s="139"/>
      <c r="I72" s="136"/>
      <c r="J72" s="116">
        <f t="shared" si="5"/>
        <v>0</v>
      </c>
      <c r="K72" s="136"/>
      <c r="L72" s="142"/>
      <c r="M72" s="99"/>
      <c r="N72" s="180"/>
    </row>
    <row r="73" spans="1:14" ht="15.75">
      <c r="A73" s="113">
        <v>34</v>
      </c>
      <c r="B73" s="145" t="s">
        <v>161</v>
      </c>
      <c r="C73" s="136"/>
      <c r="D73" s="136"/>
      <c r="E73" s="141">
        <f>SUM(E49:E72)</f>
        <v>165</v>
      </c>
      <c r="F73" s="139">
        <f>SUM(F53:F72)</f>
        <v>519948382</v>
      </c>
      <c r="G73" s="136"/>
      <c r="H73" s="139">
        <f>SUM(H49:H72)</f>
        <v>48730440</v>
      </c>
      <c r="I73" s="136"/>
      <c r="J73" s="146">
        <f>SUM(J49:J72)</f>
        <v>48726473</v>
      </c>
      <c r="K73" s="136"/>
      <c r="L73" s="147"/>
      <c r="M73" s="136"/>
      <c r="N73" s="181"/>
    </row>
    <row r="74" spans="1:14" ht="15.75">
      <c r="A74" s="113">
        <v>35</v>
      </c>
      <c r="B74" s="145" t="s">
        <v>162</v>
      </c>
      <c r="C74" s="136"/>
      <c r="D74" s="136"/>
      <c r="E74" s="141">
        <f>E47+E73</f>
        <v>169589</v>
      </c>
      <c r="F74" s="139">
        <f>F47+F73</f>
        <v>715434341</v>
      </c>
      <c r="G74" s="141"/>
      <c r="H74" s="139">
        <f>H47+H73</f>
        <v>238019445</v>
      </c>
      <c r="I74" s="141"/>
      <c r="J74" s="139">
        <f>J47+J73</f>
        <v>233065673.40210328</v>
      </c>
      <c r="K74" s="141"/>
      <c r="L74" s="148"/>
      <c r="M74" s="141">
        <f>M47+M53</f>
        <v>144705.30054978078</v>
      </c>
      <c r="N74" s="158">
        <f>M74/J74</f>
        <v>0.000620877791385966</v>
      </c>
    </row>
    <row r="75" spans="1:14" ht="15.75">
      <c r="A75" s="105"/>
      <c r="B75" s="149" t="s">
        <v>163</v>
      </c>
      <c r="C75" s="143"/>
      <c r="D75" s="143"/>
      <c r="E75" s="139"/>
      <c r="F75" s="139"/>
      <c r="G75" s="139"/>
      <c r="H75" s="143"/>
      <c r="I75" s="143"/>
      <c r="J75" s="139"/>
      <c r="K75" s="139"/>
      <c r="L75" s="150"/>
      <c r="M75" s="139"/>
      <c r="N75" s="179"/>
    </row>
    <row r="76" spans="1:14" ht="15.75">
      <c r="A76" s="103">
        <v>36</v>
      </c>
      <c r="B76" s="111" t="s">
        <v>164</v>
      </c>
      <c r="C76" s="95"/>
      <c r="D76" s="95"/>
      <c r="E76" s="115"/>
      <c r="F76" s="116"/>
      <c r="G76" s="115"/>
      <c r="H76" s="116">
        <v>8927966</v>
      </c>
      <c r="I76" s="99"/>
      <c r="J76" s="116">
        <f>+H76</f>
        <v>8927966</v>
      </c>
      <c r="K76" s="115"/>
      <c r="L76" s="124"/>
      <c r="M76" s="116"/>
      <c r="N76" s="180"/>
    </row>
    <row r="77" spans="1:14" ht="15.75">
      <c r="A77" s="113">
        <v>37</v>
      </c>
      <c r="B77" s="111" t="s">
        <v>165</v>
      </c>
      <c r="C77" s="95"/>
      <c r="D77" s="95"/>
      <c r="E77" s="115"/>
      <c r="F77" s="116"/>
      <c r="G77" s="115"/>
      <c r="H77" s="116">
        <v>-790706</v>
      </c>
      <c r="I77" s="115"/>
      <c r="J77" s="116">
        <f>+H77</f>
        <v>-790706</v>
      </c>
      <c r="K77" s="115"/>
      <c r="L77" s="124"/>
      <c r="M77" s="116"/>
      <c r="N77" s="180"/>
    </row>
    <row r="78" spans="1:14" ht="15.75">
      <c r="A78" s="113">
        <v>38</v>
      </c>
      <c r="B78" s="111" t="s">
        <v>166</v>
      </c>
      <c r="C78" s="95"/>
      <c r="D78" s="95"/>
      <c r="E78" s="99"/>
      <c r="F78" s="116"/>
      <c r="G78" s="115"/>
      <c r="H78" s="139">
        <v>833552</v>
      </c>
      <c r="I78" s="115"/>
      <c r="J78" s="139">
        <f>+H78</f>
        <v>833552</v>
      </c>
      <c r="K78" s="115"/>
      <c r="L78" s="112"/>
      <c r="M78" s="95"/>
      <c r="N78" s="180"/>
    </row>
    <row r="79" spans="1:14" ht="15.75">
      <c r="A79" s="113">
        <v>39</v>
      </c>
      <c r="B79" s="122" t="s">
        <v>167</v>
      </c>
      <c r="C79" s="107"/>
      <c r="D79" s="107"/>
      <c r="E79" s="123"/>
      <c r="F79" s="108">
        <f>SUM(F76:F78)</f>
        <v>0</v>
      </c>
      <c r="G79" s="123"/>
      <c r="H79" s="139">
        <f>SUM(H76:H78)</f>
        <v>8970812</v>
      </c>
      <c r="I79" s="123"/>
      <c r="J79" s="139">
        <f>SUM(J76:J78)</f>
        <v>8970812</v>
      </c>
      <c r="K79" s="123"/>
      <c r="L79" s="112"/>
      <c r="M79" s="95"/>
      <c r="N79" s="180"/>
    </row>
    <row r="80" spans="1:14" ht="15.75">
      <c r="A80" s="113">
        <v>40</v>
      </c>
      <c r="B80" s="151" t="s">
        <v>168</v>
      </c>
      <c r="C80" s="95"/>
      <c r="D80" s="95"/>
      <c r="E80" s="99"/>
      <c r="F80" s="116"/>
      <c r="G80" s="115"/>
      <c r="H80" s="139">
        <f>H74+H79</f>
        <v>246990257</v>
      </c>
      <c r="I80" s="115"/>
      <c r="J80" s="139">
        <f>J74+J79</f>
        <v>242036485.40210328</v>
      </c>
      <c r="K80" s="115"/>
      <c r="L80" s="112"/>
      <c r="M80" s="95"/>
      <c r="N80" s="180"/>
    </row>
    <row r="81" spans="1:14" ht="15.75">
      <c r="A81" s="113">
        <v>41</v>
      </c>
      <c r="B81" s="122" t="s">
        <v>169</v>
      </c>
      <c r="C81" s="107"/>
      <c r="D81" s="107"/>
      <c r="E81" s="110"/>
      <c r="F81" s="107"/>
      <c r="G81" s="110"/>
      <c r="H81" s="152"/>
      <c r="I81" s="110"/>
      <c r="J81" s="153">
        <v>0</v>
      </c>
      <c r="K81" s="110"/>
      <c r="L81" s="112"/>
      <c r="M81" s="143"/>
      <c r="N81" s="180"/>
    </row>
    <row r="82" spans="1:14" ht="15.75">
      <c r="A82" s="154">
        <v>42</v>
      </c>
      <c r="B82" s="149" t="s">
        <v>170</v>
      </c>
      <c r="C82" s="143"/>
      <c r="D82" s="143"/>
      <c r="E82" s="136"/>
      <c r="F82" s="139">
        <f>F74+F79</f>
        <v>715434341</v>
      </c>
      <c r="G82" s="136"/>
      <c r="H82" s="139">
        <f>H74+H79+H81</f>
        <v>246990257</v>
      </c>
      <c r="I82" s="136"/>
      <c r="J82" s="139">
        <f>J74+J79</f>
        <v>242036485.40210328</v>
      </c>
      <c r="K82" s="136"/>
      <c r="L82" s="140"/>
      <c r="M82" s="141">
        <f>M74</f>
        <v>144705.30054978078</v>
      </c>
      <c r="N82" s="181">
        <f>M82/J82</f>
        <v>0.0005978656495089037</v>
      </c>
    </row>
    <row r="83" spans="8:14" ht="15.75">
      <c r="H83" s="155"/>
      <c r="J83" s="155"/>
      <c r="K83" s="155"/>
      <c r="L83" s="156"/>
      <c r="M83" s="155"/>
      <c r="N83" s="155"/>
    </row>
    <row r="84" ht="15.75">
      <c r="B84" s="84"/>
    </row>
    <row r="85" ht="15.75">
      <c r="B85" s="85"/>
    </row>
    <row r="86" ht="15.75">
      <c r="B86" s="84"/>
    </row>
    <row r="87" ht="15.75">
      <c r="B87" s="84"/>
    </row>
    <row r="88" ht="15.75">
      <c r="B88" s="85"/>
    </row>
  </sheetData>
  <mergeCells count="2">
    <mergeCell ref="C6:M6"/>
    <mergeCell ref="C5:M5"/>
  </mergeCells>
  <printOptions/>
  <pageMargins left="0.75" right="0.75" top="1" bottom="1" header="0.5" footer="0.5"/>
  <pageSetup fitToHeight="1" fitToWidth="1" horizontalDpi="600" verticalDpi="600" orientation="portrait" scale="65"/>
  <headerFooter alignWithMargins="0">
    <oddHeader>&amp;RDocket No. UG-060256
Exhibit No. __ (MLB-4)
Page 8 of 12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tabSelected="1" view="pageBreakPreview" zoomScale="60" zoomScaleNormal="75" workbookViewId="0" topLeftCell="C1">
      <selection activeCell="C6" sqref="C6:M6"/>
    </sheetView>
  </sheetViews>
  <sheetFormatPr defaultColWidth="9.00390625" defaultRowHeight="15.75"/>
  <cols>
    <col min="1" max="1" width="4.625" style="83" customWidth="1"/>
    <col min="2" max="2" width="9.00390625" style="83" customWidth="1"/>
    <col min="3" max="3" width="16.25390625" style="83" customWidth="1"/>
    <col min="4" max="4" width="10.125" style="83" customWidth="1"/>
    <col min="5" max="5" width="8.50390625" style="83" customWidth="1"/>
    <col min="6" max="6" width="13.375" style="83" customWidth="1"/>
    <col min="7" max="7" width="2.75390625" style="83" customWidth="1"/>
    <col min="8" max="8" width="12.625" style="83" bestFit="1" customWidth="1"/>
    <col min="9" max="9" width="2.875" style="83" customWidth="1"/>
    <col min="10" max="10" width="13.375" style="83" customWidth="1"/>
    <col min="11" max="11" width="2.75390625" style="83" customWidth="1"/>
    <col min="12" max="12" width="9.75390625" style="86" customWidth="1"/>
    <col min="13" max="13" width="11.875" style="83" customWidth="1"/>
    <col min="14" max="14" width="9.25390625" style="83" bestFit="1" customWidth="1"/>
    <col min="15" max="15" width="9.125" style="83" bestFit="1" customWidth="1"/>
    <col min="16" max="16" width="9.75390625" style="83" bestFit="1" customWidth="1"/>
    <col min="17" max="19" width="9.75390625" style="83" customWidth="1"/>
    <col min="20" max="20" width="15.00390625" style="83" customWidth="1"/>
    <col min="21" max="21" width="11.50390625" style="83" customWidth="1"/>
    <col min="22" max="22" width="11.875" style="83" customWidth="1"/>
    <col min="23" max="23" width="9.875" style="83" bestFit="1" customWidth="1"/>
    <col min="24" max="16384" width="9.00390625" style="83" customWidth="1"/>
  </cols>
  <sheetData>
    <row r="1" spans="2:13" ht="15.75">
      <c r="B1" s="84"/>
      <c r="H1" s="85"/>
      <c r="M1" s="85"/>
    </row>
    <row r="2" spans="1:13" ht="15.75">
      <c r="A2" s="84"/>
      <c r="H2" s="85"/>
      <c r="M2" s="85"/>
    </row>
    <row r="3" spans="1:13" ht="15.75">
      <c r="A3" s="84"/>
      <c r="H3" s="85"/>
      <c r="M3" s="87"/>
    </row>
    <row r="4" spans="1:14" ht="15.75">
      <c r="A4" s="169"/>
      <c r="B4" s="89"/>
      <c r="C4" s="170" t="s">
        <v>6</v>
      </c>
      <c r="D4" s="171"/>
      <c r="E4" s="172"/>
      <c r="F4" s="171"/>
      <c r="G4" s="171"/>
      <c r="H4" s="171"/>
      <c r="I4" s="171"/>
      <c r="J4" s="171"/>
      <c r="K4" s="171"/>
      <c r="L4" s="173"/>
      <c r="M4" s="171"/>
      <c r="N4" s="90"/>
    </row>
    <row r="5" spans="1:14" ht="15.75">
      <c r="A5" s="174"/>
      <c r="B5" s="95"/>
      <c r="C5" s="242" t="s">
        <v>185</v>
      </c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99"/>
    </row>
    <row r="6" spans="1:14" ht="15.75">
      <c r="A6" s="174"/>
      <c r="B6" s="95"/>
      <c r="C6" s="242" t="s">
        <v>178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175" t="s">
        <v>79</v>
      </c>
    </row>
    <row r="7" spans="1:14" ht="15.75">
      <c r="A7" s="174"/>
      <c r="B7" s="95"/>
      <c r="C7" s="176" t="s">
        <v>80</v>
      </c>
      <c r="D7" s="177"/>
      <c r="E7" s="177"/>
      <c r="F7" s="177"/>
      <c r="G7" s="177"/>
      <c r="H7" s="177"/>
      <c r="I7" s="177"/>
      <c r="J7" s="177"/>
      <c r="K7" s="177"/>
      <c r="L7" s="178"/>
      <c r="M7" s="177"/>
      <c r="N7" s="175" t="s">
        <v>79</v>
      </c>
    </row>
    <row r="8" spans="1:14" ht="15.75">
      <c r="A8" s="88"/>
      <c r="B8" s="89"/>
      <c r="C8" s="90"/>
      <c r="D8" s="90"/>
      <c r="E8" s="91"/>
      <c r="F8" s="92"/>
      <c r="G8" s="90"/>
      <c r="H8" s="92"/>
      <c r="I8" s="90"/>
      <c r="J8" s="89"/>
      <c r="K8" s="90"/>
      <c r="L8" s="93" t="s">
        <v>81</v>
      </c>
      <c r="M8" s="90"/>
      <c r="N8" s="90"/>
    </row>
    <row r="9" spans="1:23" ht="15.75">
      <c r="A9" s="94" t="s">
        <v>82</v>
      </c>
      <c r="B9" s="95"/>
      <c r="C9" s="96"/>
      <c r="D9" s="97" t="s">
        <v>7</v>
      </c>
      <c r="E9" s="97" t="s">
        <v>83</v>
      </c>
      <c r="F9" s="98" t="s">
        <v>84</v>
      </c>
      <c r="G9" s="99"/>
      <c r="H9" s="98" t="s">
        <v>85</v>
      </c>
      <c r="I9" s="99"/>
      <c r="J9" s="98" t="s">
        <v>86</v>
      </c>
      <c r="K9" s="99"/>
      <c r="L9" s="100" t="s">
        <v>7</v>
      </c>
      <c r="M9" s="101" t="s">
        <v>87</v>
      </c>
      <c r="N9" s="97" t="s">
        <v>88</v>
      </c>
      <c r="T9" s="157" t="s">
        <v>172</v>
      </c>
      <c r="U9" s="157" t="s">
        <v>173</v>
      </c>
      <c r="V9" s="157" t="s">
        <v>173</v>
      </c>
      <c r="W9" s="157"/>
    </row>
    <row r="10" spans="1:23" ht="15.75">
      <c r="A10" s="94" t="s">
        <v>89</v>
      </c>
      <c r="B10" s="102" t="s">
        <v>8</v>
      </c>
      <c r="C10" s="101"/>
      <c r="D10" s="97" t="s">
        <v>90</v>
      </c>
      <c r="E10" s="97" t="s">
        <v>91</v>
      </c>
      <c r="F10" s="98" t="s">
        <v>92</v>
      </c>
      <c r="G10" s="99"/>
      <c r="H10" s="98" t="s">
        <v>93</v>
      </c>
      <c r="I10" s="99"/>
      <c r="J10" s="98" t="s">
        <v>171</v>
      </c>
      <c r="K10" s="99"/>
      <c r="L10" s="100" t="s">
        <v>94</v>
      </c>
      <c r="M10" s="101" t="s">
        <v>94</v>
      </c>
      <c r="N10" s="101" t="s">
        <v>94</v>
      </c>
      <c r="T10" s="157" t="s">
        <v>94</v>
      </c>
      <c r="U10" s="157" t="s">
        <v>174</v>
      </c>
      <c r="V10" s="168" t="s">
        <v>175</v>
      </c>
      <c r="W10" s="168" t="s">
        <v>32</v>
      </c>
    </row>
    <row r="11" spans="1:14" ht="15.75">
      <c r="A11" s="103"/>
      <c r="B11" s="102" t="s">
        <v>95</v>
      </c>
      <c r="C11" s="101"/>
      <c r="D11" s="97" t="s">
        <v>96</v>
      </c>
      <c r="E11" s="97" t="s">
        <v>97</v>
      </c>
      <c r="F11" s="98" t="s">
        <v>98</v>
      </c>
      <c r="G11" s="99"/>
      <c r="H11" s="98" t="s">
        <v>99</v>
      </c>
      <c r="I11" s="99"/>
      <c r="J11" s="98" t="s">
        <v>100</v>
      </c>
      <c r="K11" s="99"/>
      <c r="L11" s="104" t="s">
        <v>101</v>
      </c>
      <c r="M11" s="97" t="s">
        <v>102</v>
      </c>
      <c r="N11" s="97" t="s">
        <v>103</v>
      </c>
    </row>
    <row r="12" spans="1:14" ht="15.75">
      <c r="A12" s="105"/>
      <c r="B12" s="106" t="s">
        <v>104</v>
      </c>
      <c r="C12" s="107"/>
      <c r="D12" s="107"/>
      <c r="E12" s="107"/>
      <c r="F12" s="107"/>
      <c r="G12" s="107"/>
      <c r="H12" s="108"/>
      <c r="I12" s="107"/>
      <c r="J12" s="107"/>
      <c r="K12" s="107"/>
      <c r="L12" s="109"/>
      <c r="M12" s="107"/>
      <c r="N12" s="110"/>
    </row>
    <row r="13" spans="1:14" ht="15.75">
      <c r="A13" s="103"/>
      <c r="B13" s="111" t="s">
        <v>23</v>
      </c>
      <c r="C13" s="99"/>
      <c r="D13" s="99"/>
      <c r="E13" s="99"/>
      <c r="F13" s="95"/>
      <c r="G13" s="99"/>
      <c r="H13" s="95"/>
      <c r="I13" s="99"/>
      <c r="J13" s="95"/>
      <c r="K13" s="99"/>
      <c r="L13" s="159"/>
      <c r="M13" s="99"/>
      <c r="N13" s="99"/>
    </row>
    <row r="14" spans="1:14" ht="15.75">
      <c r="A14" s="113"/>
      <c r="B14" s="111"/>
      <c r="C14" s="114"/>
      <c r="D14" s="97"/>
      <c r="E14" s="115"/>
      <c r="F14" s="116"/>
      <c r="G14" s="115"/>
      <c r="H14" s="117"/>
      <c r="I14" s="99"/>
      <c r="J14" s="116"/>
      <c r="K14" s="115"/>
      <c r="L14" s="160"/>
      <c r="M14" s="115"/>
      <c r="N14" s="118"/>
    </row>
    <row r="15" spans="1:23" ht="15.75">
      <c r="A15" s="113">
        <v>1</v>
      </c>
      <c r="B15" s="111" t="s">
        <v>105</v>
      </c>
      <c r="C15" s="99"/>
      <c r="D15" s="97" t="s">
        <v>106</v>
      </c>
      <c r="E15" s="115">
        <v>1387</v>
      </c>
      <c r="F15" s="116">
        <v>1315625</v>
      </c>
      <c r="G15" s="99"/>
      <c r="H15" s="119">
        <v>1282456</v>
      </c>
      <c r="I15" s="99"/>
      <c r="J15" s="116">
        <v>1241705</v>
      </c>
      <c r="K15" s="99"/>
      <c r="L15" s="161">
        <v>-0.0373755</v>
      </c>
      <c r="M15" s="115">
        <f aca="true" t="shared" si="0" ref="M15:M20">F15*L15</f>
        <v>-49172.1421875</v>
      </c>
      <c r="N15" s="158">
        <f>M15/J15</f>
        <v>-0.03960050268582312</v>
      </c>
      <c r="S15" s="83">
        <f aca="true" t="shared" si="1" ref="S15:S20">-T15*0.15</f>
        <v>0.005606325</v>
      </c>
      <c r="T15" s="86">
        <v>-0.0373755</v>
      </c>
      <c r="W15" s="86">
        <f>SUM(T15:V15)</f>
        <v>-0.0373755</v>
      </c>
    </row>
    <row r="16" spans="1:23" ht="15.75">
      <c r="A16" s="113">
        <v>2</v>
      </c>
      <c r="B16" s="111" t="s">
        <v>24</v>
      </c>
      <c r="C16" s="114"/>
      <c r="D16" s="97" t="s">
        <v>25</v>
      </c>
      <c r="E16" s="115">
        <v>145577</v>
      </c>
      <c r="F16" s="116">
        <v>98555699</v>
      </c>
      <c r="G16" s="115"/>
      <c r="H16" s="119">
        <v>100352886</v>
      </c>
      <c r="I16" s="99"/>
      <c r="J16" s="116">
        <v>97711861</v>
      </c>
      <c r="K16" s="115"/>
      <c r="L16" s="161">
        <v>-0.0386724934386654</v>
      </c>
      <c r="M16" s="115">
        <f t="shared" si="0"/>
        <v>-3811394.622920582</v>
      </c>
      <c r="N16" s="158">
        <f>M16/J16</f>
        <v>-0.0390064684462471</v>
      </c>
      <c r="S16" s="83">
        <f t="shared" si="1"/>
        <v>0.005609475</v>
      </c>
      <c r="T16" s="86">
        <v>-0.0373965</v>
      </c>
      <c r="U16" s="86">
        <f>+'CAP Calculation'!D10</f>
        <v>0.0040217672252984005</v>
      </c>
      <c r="V16" s="86">
        <f>+'CAP Calculation'!D33</f>
        <v>-0.0029277606639638147</v>
      </c>
      <c r="W16" s="86">
        <f>SUM(T16:V16)</f>
        <v>-0.036302493438665415</v>
      </c>
    </row>
    <row r="17" spans="1:23" ht="15.75">
      <c r="A17" s="113">
        <v>3</v>
      </c>
      <c r="B17" s="111" t="s">
        <v>107</v>
      </c>
      <c r="C17" s="99"/>
      <c r="D17" s="97" t="s">
        <v>108</v>
      </c>
      <c r="E17" s="115">
        <v>0</v>
      </c>
      <c r="F17" s="116">
        <v>0</v>
      </c>
      <c r="G17" s="99"/>
      <c r="H17" s="120">
        <v>0</v>
      </c>
      <c r="I17" s="99"/>
      <c r="J17" s="116">
        <v>0</v>
      </c>
      <c r="K17" s="99"/>
      <c r="L17" s="161">
        <v>-0.0373755</v>
      </c>
      <c r="M17" s="115">
        <f t="shared" si="0"/>
        <v>0</v>
      </c>
      <c r="N17" s="158">
        <v>0</v>
      </c>
      <c r="S17" s="83">
        <f t="shared" si="1"/>
        <v>0.005606325</v>
      </c>
      <c r="T17" s="86">
        <v>-0.0373755</v>
      </c>
      <c r="W17" s="86">
        <f aca="true" t="shared" si="2" ref="W17:W53">SUM(T17:V17)</f>
        <v>-0.0373755</v>
      </c>
    </row>
    <row r="18" spans="1:23" ht="15.75">
      <c r="A18" s="113">
        <v>4</v>
      </c>
      <c r="B18" s="111" t="s">
        <v>109</v>
      </c>
      <c r="C18" s="114"/>
      <c r="D18" s="97" t="s">
        <v>110</v>
      </c>
      <c r="E18" s="115">
        <v>45</v>
      </c>
      <c r="F18" s="116">
        <v>75451</v>
      </c>
      <c r="G18" s="99"/>
      <c r="H18" s="120">
        <v>72389</v>
      </c>
      <c r="I18" s="99"/>
      <c r="J18" s="116">
        <v>70828</v>
      </c>
      <c r="K18" s="99"/>
      <c r="L18" s="161">
        <v>-0.0373755</v>
      </c>
      <c r="M18" s="115">
        <f t="shared" si="0"/>
        <v>-2820.0188505</v>
      </c>
      <c r="N18" s="158">
        <f>M18/J18</f>
        <v>-0.03981502866804089</v>
      </c>
      <c r="S18" s="83">
        <f t="shared" si="1"/>
        <v>0.005606325</v>
      </c>
      <c r="T18" s="86">
        <v>-0.0373755</v>
      </c>
      <c r="W18" s="86">
        <f t="shared" si="2"/>
        <v>-0.0373755</v>
      </c>
    </row>
    <row r="19" spans="1:23" ht="15.75">
      <c r="A19" s="113">
        <v>5</v>
      </c>
      <c r="B19" s="121" t="s">
        <v>111</v>
      </c>
      <c r="C19" s="99"/>
      <c r="D19" s="99"/>
      <c r="E19" s="115"/>
      <c r="F19" s="116">
        <v>1642600</v>
      </c>
      <c r="G19" s="115"/>
      <c r="H19" s="120">
        <v>1573397</v>
      </c>
      <c r="I19" s="115"/>
      <c r="J19" s="120">
        <f>H19/SUM(H14:H18)*SUM(J14:J18)</f>
        <v>1531886.3464412356</v>
      </c>
      <c r="K19" s="115"/>
      <c r="L19" s="161">
        <v>-0.0386724934386654</v>
      </c>
      <c r="M19" s="115">
        <f t="shared" si="0"/>
        <v>-63523.43772235178</v>
      </c>
      <c r="N19" s="158">
        <f>M19/J19</f>
        <v>-0.04146746125776544</v>
      </c>
      <c r="S19" s="83">
        <f t="shared" si="1"/>
        <v>0.005609475</v>
      </c>
      <c r="T19" s="86">
        <v>-0.0373965</v>
      </c>
      <c r="U19" s="86">
        <f>+U16</f>
        <v>0.0040217672252984005</v>
      </c>
      <c r="V19" s="86">
        <f>+V16</f>
        <v>-0.0029277606639638147</v>
      </c>
      <c r="W19" s="86">
        <f t="shared" si="2"/>
        <v>-0.036302493438665415</v>
      </c>
    </row>
    <row r="20" spans="1:23" ht="15.75">
      <c r="A20" s="113">
        <v>6</v>
      </c>
      <c r="B20" s="121" t="s">
        <v>112</v>
      </c>
      <c r="C20" s="114"/>
      <c r="D20" s="99"/>
      <c r="E20" s="115"/>
      <c r="F20" s="116">
        <v>-1582600</v>
      </c>
      <c r="G20" s="115"/>
      <c r="H20" s="116">
        <v>-1418880</v>
      </c>
      <c r="I20" s="115"/>
      <c r="J20" s="116">
        <f>H20/SUM(H15:H19)*SUM(J15:J19)</f>
        <v>-1381445.9410044258</v>
      </c>
      <c r="K20" s="115"/>
      <c r="L20" s="161">
        <v>-0.0386724934386654</v>
      </c>
      <c r="M20" s="115">
        <f t="shared" si="0"/>
        <v>61203.08811603186</v>
      </c>
      <c r="N20" s="158">
        <f>M20/J20</f>
        <v>-0.04430364323306936</v>
      </c>
      <c r="S20" s="83">
        <f t="shared" si="1"/>
        <v>0.005609475</v>
      </c>
      <c r="T20" s="86">
        <v>-0.0373965</v>
      </c>
      <c r="U20" s="86">
        <f>+U19</f>
        <v>0.0040217672252984005</v>
      </c>
      <c r="V20" s="86">
        <f>+V19</f>
        <v>-0.0029277606639638147</v>
      </c>
      <c r="W20" s="86">
        <f t="shared" si="2"/>
        <v>-0.036302493438665415</v>
      </c>
    </row>
    <row r="21" spans="1:23" ht="15.75">
      <c r="A21" s="113">
        <v>7</v>
      </c>
      <c r="B21" s="122" t="s">
        <v>113</v>
      </c>
      <c r="C21" s="110"/>
      <c r="D21" s="110"/>
      <c r="E21" s="123">
        <f>SUM(E15:E20)</f>
        <v>147009</v>
      </c>
      <c r="F21" s="108">
        <f>SUM(F15:F20)</f>
        <v>100006775</v>
      </c>
      <c r="G21" s="123"/>
      <c r="H21" s="108">
        <f>SUM(H15:H20)</f>
        <v>101862248</v>
      </c>
      <c r="I21" s="123"/>
      <c r="J21" s="108">
        <f>SUM(J15:J20)</f>
        <v>99174834.40543681</v>
      </c>
      <c r="K21" s="123"/>
      <c r="L21" s="186"/>
      <c r="M21" s="123">
        <f>SUM(M14:M20)</f>
        <v>-3865707.133564902</v>
      </c>
      <c r="N21" s="158">
        <f>M21/J21</f>
        <v>-0.03897871024176857</v>
      </c>
      <c r="T21" s="86"/>
      <c r="W21" s="86"/>
    </row>
    <row r="22" spans="1:23" ht="15.75">
      <c r="A22" s="103"/>
      <c r="B22" s="111" t="s">
        <v>28</v>
      </c>
      <c r="C22" s="114"/>
      <c r="D22" s="99"/>
      <c r="E22" s="115"/>
      <c r="F22" s="125"/>
      <c r="G22" s="115"/>
      <c r="H22" s="95"/>
      <c r="I22" s="99"/>
      <c r="J22" s="116"/>
      <c r="K22" s="115"/>
      <c r="L22" s="186"/>
      <c r="M22" s="115"/>
      <c r="N22" s="158"/>
      <c r="T22" s="86"/>
      <c r="W22" s="86"/>
    </row>
    <row r="23" spans="1:23" ht="15.75">
      <c r="A23" s="113">
        <v>8</v>
      </c>
      <c r="B23" s="111" t="s">
        <v>105</v>
      </c>
      <c r="C23" s="99"/>
      <c r="D23" s="97" t="s">
        <v>106</v>
      </c>
      <c r="E23" s="115">
        <v>42</v>
      </c>
      <c r="F23" s="120">
        <v>99121</v>
      </c>
      <c r="G23" s="99"/>
      <c r="H23" s="119">
        <v>90810</v>
      </c>
      <c r="I23" s="99"/>
      <c r="J23" s="116">
        <v>88267</v>
      </c>
      <c r="K23" s="99"/>
      <c r="L23" s="187">
        <v>-0.0373755</v>
      </c>
      <c r="M23" s="115">
        <f aca="true" t="shared" si="3" ref="M23:M30">F23*L23</f>
        <v>-3704.6969355</v>
      </c>
      <c r="N23" s="158">
        <f aca="true" t="shared" si="4" ref="N23:N31">M23/J23</f>
        <v>-0.04197148351592328</v>
      </c>
      <c r="P23" s="83">
        <f>F23+F24+F26+F27+F28+F29+F30</f>
        <v>73090240</v>
      </c>
      <c r="S23" s="83">
        <f aca="true" t="shared" si="5" ref="S23:S30">-T23*0.15</f>
        <v>0.005606325</v>
      </c>
      <c r="T23" s="86">
        <v>-0.0373755</v>
      </c>
      <c r="W23" s="86">
        <f t="shared" si="2"/>
        <v>-0.0373755</v>
      </c>
    </row>
    <row r="24" spans="1:23" ht="15.75">
      <c r="A24" s="113">
        <v>9</v>
      </c>
      <c r="B24" s="111" t="s">
        <v>24</v>
      </c>
      <c r="C24" s="114"/>
      <c r="D24" s="97" t="s">
        <v>30</v>
      </c>
      <c r="E24" s="115">
        <v>21849</v>
      </c>
      <c r="F24" s="120">
        <v>72845132</v>
      </c>
      <c r="G24" s="115"/>
      <c r="H24" s="120">
        <v>68283692</v>
      </c>
      <c r="I24" s="99"/>
      <c r="J24" s="116">
        <v>66449179</v>
      </c>
      <c r="K24" s="115"/>
      <c r="L24" s="187">
        <v>-0.038349413264141076</v>
      </c>
      <c r="M24" s="115">
        <f t="shared" si="3"/>
        <v>-2793568.0713489074</v>
      </c>
      <c r="N24" s="158">
        <f t="shared" si="4"/>
        <v>-0.04204067098178756</v>
      </c>
      <c r="S24" s="83">
        <f t="shared" si="5"/>
        <v>0.005606325</v>
      </c>
      <c r="T24" s="86">
        <v>-0.0373755</v>
      </c>
      <c r="U24" s="86">
        <f>+'CAP Calculation'!D18</f>
        <v>0.003433847399822748</v>
      </c>
      <c r="V24" s="86">
        <f>+V20</f>
        <v>-0.0029277606639638147</v>
      </c>
      <c r="W24" s="86">
        <f t="shared" si="2"/>
        <v>-0.03686941326414107</v>
      </c>
    </row>
    <row r="25" spans="1:23" ht="15.75">
      <c r="A25" s="113">
        <v>10</v>
      </c>
      <c r="B25" s="111" t="s">
        <v>114</v>
      </c>
      <c r="C25" s="99"/>
      <c r="D25" s="97" t="s">
        <v>115</v>
      </c>
      <c r="E25" s="115">
        <v>63</v>
      </c>
      <c r="F25" s="120">
        <v>6619158</v>
      </c>
      <c r="G25" s="99"/>
      <c r="H25" s="120">
        <v>5586303</v>
      </c>
      <c r="I25" s="99"/>
      <c r="J25" s="116">
        <v>5506534</v>
      </c>
      <c r="K25" s="99"/>
      <c r="L25" s="187">
        <v>-0.0372675</v>
      </c>
      <c r="M25" s="115">
        <f t="shared" si="3"/>
        <v>-246679.470765</v>
      </c>
      <c r="N25" s="158">
        <f t="shared" si="4"/>
        <v>-0.04479759332549295</v>
      </c>
      <c r="S25" s="83">
        <f t="shared" si="5"/>
        <v>0.0055901250000000005</v>
      </c>
      <c r="T25" s="86">
        <v>-0.0372675</v>
      </c>
      <c r="W25" s="86">
        <f t="shared" si="2"/>
        <v>-0.0372675</v>
      </c>
    </row>
    <row r="26" spans="1:23" ht="15.75">
      <c r="A26" s="113">
        <v>11</v>
      </c>
      <c r="B26" s="111" t="s">
        <v>107</v>
      </c>
      <c r="C26" s="99"/>
      <c r="D26" s="97" t="s">
        <v>108</v>
      </c>
      <c r="E26" s="115">
        <v>1</v>
      </c>
      <c r="F26" s="120">
        <v>149699</v>
      </c>
      <c r="G26" s="115"/>
      <c r="H26" s="120">
        <v>120413</v>
      </c>
      <c r="I26" s="99"/>
      <c r="J26" s="116">
        <v>118450</v>
      </c>
      <c r="K26" s="115"/>
      <c r="L26" s="187">
        <v>-0.0373755</v>
      </c>
      <c r="M26" s="115">
        <f t="shared" si="3"/>
        <v>-5595.0749745</v>
      </c>
      <c r="N26" s="158">
        <f t="shared" si="4"/>
        <v>-0.04723575326720135</v>
      </c>
      <c r="S26" s="83">
        <f t="shared" si="5"/>
        <v>0.005606325</v>
      </c>
      <c r="T26" s="86">
        <v>-0.0373755</v>
      </c>
      <c r="W26" s="86">
        <f t="shared" si="2"/>
        <v>-0.0373755</v>
      </c>
    </row>
    <row r="27" spans="1:23" ht="15.75">
      <c r="A27" s="113">
        <v>12</v>
      </c>
      <c r="B27" s="111" t="s">
        <v>109</v>
      </c>
      <c r="C27" s="99"/>
      <c r="D27" s="97" t="s">
        <v>110</v>
      </c>
      <c r="E27" s="115">
        <v>27</v>
      </c>
      <c r="F27" s="120">
        <v>88913</v>
      </c>
      <c r="G27" s="99"/>
      <c r="H27" s="120">
        <v>83218</v>
      </c>
      <c r="I27" s="99"/>
      <c r="J27" s="116">
        <v>81179</v>
      </c>
      <c r="K27" s="99"/>
      <c r="L27" s="187">
        <v>-0.0373755</v>
      </c>
      <c r="M27" s="115">
        <f t="shared" si="3"/>
        <v>-3323.1678315</v>
      </c>
      <c r="N27" s="158">
        <f t="shared" si="4"/>
        <v>-0.04093629918451816</v>
      </c>
      <c r="S27" s="83">
        <f t="shared" si="5"/>
        <v>0.005606325</v>
      </c>
      <c r="T27" s="86">
        <v>-0.0373755</v>
      </c>
      <c r="W27" s="86">
        <f t="shared" si="2"/>
        <v>-0.0373755</v>
      </c>
    </row>
    <row r="28" spans="1:23" ht="15.75">
      <c r="A28" s="113">
        <v>13</v>
      </c>
      <c r="B28" s="126" t="str">
        <f>B19</f>
        <v>    Unbilled at 6/30/03</v>
      </c>
      <c r="C28" s="99"/>
      <c r="D28" s="99"/>
      <c r="E28" s="99"/>
      <c r="F28" s="116">
        <v>1505000</v>
      </c>
      <c r="G28" s="115"/>
      <c r="H28" s="116">
        <v>1385425</v>
      </c>
      <c r="I28" s="115"/>
      <c r="J28" s="116">
        <f>H28/SUM(H22:H26)*SUM(J22:J26)</f>
        <v>1349540.9130928435</v>
      </c>
      <c r="K28" s="115"/>
      <c r="L28" s="187">
        <v>-0.038349413264141076</v>
      </c>
      <c r="M28" s="115">
        <f t="shared" si="3"/>
        <v>-57715.86696253232</v>
      </c>
      <c r="N28" s="158">
        <f t="shared" si="4"/>
        <v>-0.04276703759225837</v>
      </c>
      <c r="P28" s="83">
        <f>F31-F25</f>
        <v>73090240</v>
      </c>
      <c r="S28" s="83">
        <f t="shared" si="5"/>
        <v>0.005606325</v>
      </c>
      <c r="T28" s="86">
        <v>-0.0373755</v>
      </c>
      <c r="U28" s="86">
        <f>+U24</f>
        <v>0.003433847399822748</v>
      </c>
      <c r="V28" s="86">
        <f>+V24</f>
        <v>-0.0029277606639638147</v>
      </c>
      <c r="W28" s="86">
        <f t="shared" si="2"/>
        <v>-0.03686941326414107</v>
      </c>
    </row>
    <row r="29" spans="1:23" ht="15.75">
      <c r="A29" s="113">
        <v>14</v>
      </c>
      <c r="B29" s="126" t="str">
        <f>B20</f>
        <v>    Less Unbilled at 6/30/02</v>
      </c>
      <c r="C29" s="99"/>
      <c r="D29" s="99"/>
      <c r="E29" s="99"/>
      <c r="F29" s="116">
        <v>-1512900</v>
      </c>
      <c r="G29" s="115"/>
      <c r="H29" s="116">
        <v>-1300423</v>
      </c>
      <c r="I29" s="115"/>
      <c r="J29" s="116">
        <f>H29/SUM(H23:H27)*SUM(J23:J27)</f>
        <v>-1266742.6035115672</v>
      </c>
      <c r="K29" s="115"/>
      <c r="L29" s="187">
        <v>-0.038349413264141076</v>
      </c>
      <c r="M29" s="115">
        <f t="shared" si="3"/>
        <v>58018.827327319035</v>
      </c>
      <c r="N29" s="158">
        <f t="shared" si="4"/>
        <v>-0.045801591551814604</v>
      </c>
      <c r="S29" s="83">
        <f t="shared" si="5"/>
        <v>0.005606325</v>
      </c>
      <c r="T29" s="86">
        <v>-0.0373755</v>
      </c>
      <c r="U29" s="86">
        <f>+U28</f>
        <v>0.003433847399822748</v>
      </c>
      <c r="V29" s="86">
        <f>+V28</f>
        <v>-0.0029277606639638147</v>
      </c>
      <c r="W29" s="86">
        <f t="shared" si="2"/>
        <v>-0.03686941326414107</v>
      </c>
    </row>
    <row r="30" spans="1:23" ht="15.75">
      <c r="A30" s="113">
        <v>15</v>
      </c>
      <c r="B30" s="111" t="s">
        <v>31</v>
      </c>
      <c r="C30" s="99"/>
      <c r="D30" s="99"/>
      <c r="E30" s="120"/>
      <c r="F30" s="127">
        <v>-84725</v>
      </c>
      <c r="G30" s="115"/>
      <c r="H30" s="116">
        <v>-81658</v>
      </c>
      <c r="I30" s="99"/>
      <c r="J30" s="116">
        <f>H30/SUM(H23:H27)*SUM(J23:J27)</f>
        <v>-79543.09291480352</v>
      </c>
      <c r="K30" s="115"/>
      <c r="L30" s="187">
        <v>-0.038349413264141076</v>
      </c>
      <c r="M30" s="115">
        <f t="shared" si="3"/>
        <v>3249.1540388043527</v>
      </c>
      <c r="N30" s="158">
        <f t="shared" si="4"/>
        <v>-0.040847720647277756</v>
      </c>
      <c r="S30" s="83">
        <f t="shared" si="5"/>
        <v>0.005606325</v>
      </c>
      <c r="T30" s="86">
        <v>-0.0373755</v>
      </c>
      <c r="U30" s="86">
        <f>+U29</f>
        <v>0.003433847399822748</v>
      </c>
      <c r="V30" s="86">
        <f>+V29</f>
        <v>-0.0029277606639638147</v>
      </c>
      <c r="W30" s="86">
        <f t="shared" si="2"/>
        <v>-0.03686941326414107</v>
      </c>
    </row>
    <row r="31" spans="1:23" ht="15.75">
      <c r="A31" s="113">
        <v>16</v>
      </c>
      <c r="B31" s="122" t="s">
        <v>116</v>
      </c>
      <c r="C31" s="110"/>
      <c r="D31" s="110"/>
      <c r="E31" s="123">
        <f>SUM(E23:E30)</f>
        <v>21982</v>
      </c>
      <c r="F31" s="108">
        <f>SUM(F23:F30)</f>
        <v>79709398</v>
      </c>
      <c r="G31" s="123"/>
      <c r="H31" s="108">
        <f>SUM(H23:H30)</f>
        <v>74167780</v>
      </c>
      <c r="I31" s="123"/>
      <c r="J31" s="108">
        <f>SUM(J23:J30)</f>
        <v>72246864.21666646</v>
      </c>
      <c r="K31" s="123"/>
      <c r="L31" s="163"/>
      <c r="M31" s="123">
        <f>SUM(M23:M30)</f>
        <v>-3049318.367451817</v>
      </c>
      <c r="N31" s="158">
        <f t="shared" si="4"/>
        <v>-0.04220693037011254</v>
      </c>
      <c r="T31" s="86"/>
      <c r="W31" s="86"/>
    </row>
    <row r="32" spans="1:23" ht="15.75">
      <c r="A32" s="103"/>
      <c r="B32" s="111" t="s">
        <v>117</v>
      </c>
      <c r="C32" s="99"/>
      <c r="D32" s="99"/>
      <c r="E32" s="115"/>
      <c r="F32" s="116"/>
      <c r="G32" s="115"/>
      <c r="H32" s="95"/>
      <c r="I32" s="99"/>
      <c r="J32" s="116"/>
      <c r="K32" s="115"/>
      <c r="L32" s="163"/>
      <c r="M32" s="115"/>
      <c r="N32" s="158"/>
      <c r="T32" s="86"/>
      <c r="W32" s="86"/>
    </row>
    <row r="33" spans="1:23" ht="15.75">
      <c r="A33" s="113">
        <v>17</v>
      </c>
      <c r="B33" s="111" t="s">
        <v>105</v>
      </c>
      <c r="C33" s="99"/>
      <c r="D33" s="128" t="s">
        <v>106</v>
      </c>
      <c r="E33" s="115">
        <v>0</v>
      </c>
      <c r="F33" s="116">
        <v>0</v>
      </c>
      <c r="G33" s="115"/>
      <c r="H33" s="120">
        <v>0</v>
      </c>
      <c r="I33" s="99"/>
      <c r="J33" s="116">
        <v>0</v>
      </c>
      <c r="K33" s="115"/>
      <c r="L33" s="187">
        <v>-0.0373755</v>
      </c>
      <c r="M33" s="115">
        <f>F33*L33</f>
        <v>0</v>
      </c>
      <c r="N33" s="158"/>
      <c r="S33" s="83">
        <f>-T33*0.15</f>
        <v>0.005606325</v>
      </c>
      <c r="T33" s="86">
        <v>-0.0373755</v>
      </c>
      <c r="W33" s="86">
        <f t="shared" si="2"/>
        <v>-0.0373755</v>
      </c>
    </row>
    <row r="34" spans="1:23" ht="15.75">
      <c r="A34" s="113">
        <v>18</v>
      </c>
      <c r="B34" s="111" t="s">
        <v>24</v>
      </c>
      <c r="C34" s="99"/>
      <c r="D34" s="97" t="s">
        <v>118</v>
      </c>
      <c r="E34" s="115">
        <v>409</v>
      </c>
      <c r="F34" s="116">
        <v>9926053</v>
      </c>
      <c r="G34" s="115"/>
      <c r="H34" s="120">
        <v>8787791</v>
      </c>
      <c r="I34" s="99"/>
      <c r="J34" s="116">
        <v>8584548</v>
      </c>
      <c r="K34" s="115"/>
      <c r="L34" s="187">
        <v>-0.0372675</v>
      </c>
      <c r="M34" s="115">
        <f>F34*L34</f>
        <v>-369919.1801775</v>
      </c>
      <c r="N34" s="158">
        <f>M34/J34</f>
        <v>-0.043091282170884246</v>
      </c>
      <c r="S34" s="83">
        <f>-T34*0.15</f>
        <v>0.0055901250000000005</v>
      </c>
      <c r="T34" s="86">
        <v>-0.0372675</v>
      </c>
      <c r="W34" s="86">
        <f t="shared" si="2"/>
        <v>-0.0372675</v>
      </c>
    </row>
    <row r="35" spans="1:23" ht="15.75">
      <c r="A35" s="113">
        <v>19</v>
      </c>
      <c r="B35" s="111" t="s">
        <v>114</v>
      </c>
      <c r="C35" s="99"/>
      <c r="D35" s="97" t="s">
        <v>115</v>
      </c>
      <c r="E35" s="115">
        <v>8</v>
      </c>
      <c r="F35" s="116">
        <v>1379521</v>
      </c>
      <c r="G35" s="99"/>
      <c r="H35" s="120">
        <v>1121887</v>
      </c>
      <c r="I35" s="99"/>
      <c r="J35" s="116">
        <v>1086871</v>
      </c>
      <c r="K35" s="99"/>
      <c r="L35" s="187">
        <v>-0.0372675</v>
      </c>
      <c r="M35" s="115">
        <f>F35*L35</f>
        <v>-51411.2988675</v>
      </c>
      <c r="N35" s="158">
        <f>M35/J35</f>
        <v>-0.047302116688641066</v>
      </c>
      <c r="S35" s="83">
        <f>-T35*0.15</f>
        <v>0.0055901250000000005</v>
      </c>
      <c r="T35" s="86">
        <v>-0.0372675</v>
      </c>
      <c r="W35" s="86">
        <f t="shared" si="2"/>
        <v>-0.0372675</v>
      </c>
    </row>
    <row r="36" spans="1:23" ht="15.75">
      <c r="A36" s="113">
        <v>20</v>
      </c>
      <c r="B36" s="111" t="s">
        <v>107</v>
      </c>
      <c r="C36" s="99"/>
      <c r="D36" s="97" t="s">
        <v>108</v>
      </c>
      <c r="E36" s="115">
        <v>1</v>
      </c>
      <c r="F36" s="116">
        <v>5210</v>
      </c>
      <c r="G36" s="99"/>
      <c r="H36" s="120">
        <v>4824</v>
      </c>
      <c r="I36" s="99"/>
      <c r="J36" s="116">
        <v>4737</v>
      </c>
      <c r="K36" s="99"/>
      <c r="L36" s="187">
        <v>-0.0373755</v>
      </c>
      <c r="M36" s="115">
        <f>F36*L36</f>
        <v>-194.72635499999998</v>
      </c>
      <c r="N36" s="158">
        <f>M36/J36</f>
        <v>-0.04110752691576947</v>
      </c>
      <c r="S36" s="83">
        <f>-T36*0.15</f>
        <v>0.005606325</v>
      </c>
      <c r="T36" s="86">
        <v>-0.0373755</v>
      </c>
      <c r="W36" s="86">
        <f t="shared" si="2"/>
        <v>-0.0373755</v>
      </c>
    </row>
    <row r="37" spans="1:23" ht="15.75">
      <c r="A37" s="113">
        <v>21</v>
      </c>
      <c r="B37" s="122" t="s">
        <v>119</v>
      </c>
      <c r="C37" s="110"/>
      <c r="D37" s="110"/>
      <c r="E37" s="123">
        <f>SUM(E33:E36)</f>
        <v>418</v>
      </c>
      <c r="F37" s="108">
        <f>SUM(F33:F36)</f>
        <v>11310784</v>
      </c>
      <c r="G37" s="123"/>
      <c r="H37" s="108">
        <f>SUM(H33:H36)</f>
        <v>9914502</v>
      </c>
      <c r="I37" s="123"/>
      <c r="J37" s="108">
        <f>SUM(J33:J36)</f>
        <v>9676156</v>
      </c>
      <c r="K37" s="123"/>
      <c r="L37" s="187"/>
      <c r="M37" s="123">
        <f>SUM(M33:M36)</f>
        <v>-421525.2054</v>
      </c>
      <c r="N37" s="158">
        <f>M37/J37</f>
        <v>-0.043563291600507474</v>
      </c>
      <c r="O37" s="83">
        <v>0.02348</v>
      </c>
      <c r="T37" s="86"/>
      <c r="W37" s="86"/>
    </row>
    <row r="38" spans="1:23" ht="15.75">
      <c r="A38" s="103"/>
      <c r="B38" s="111" t="s">
        <v>120</v>
      </c>
      <c r="C38" s="99"/>
      <c r="D38" s="99"/>
      <c r="E38" s="115"/>
      <c r="F38" s="116"/>
      <c r="G38" s="115"/>
      <c r="H38" s="95"/>
      <c r="I38" s="99"/>
      <c r="J38" s="116"/>
      <c r="K38" s="115"/>
      <c r="L38" s="187"/>
      <c r="M38" s="115"/>
      <c r="N38" s="158"/>
      <c r="T38" s="86"/>
      <c r="W38" s="86"/>
    </row>
    <row r="39" spans="1:23" ht="15.75">
      <c r="A39" s="113">
        <v>22</v>
      </c>
      <c r="B39" s="111" t="s">
        <v>121</v>
      </c>
      <c r="C39" s="99"/>
      <c r="D39" s="97" t="s">
        <v>122</v>
      </c>
      <c r="E39" s="115">
        <v>5</v>
      </c>
      <c r="F39" s="116">
        <v>867872</v>
      </c>
      <c r="G39" s="115"/>
      <c r="H39" s="120">
        <v>670455</v>
      </c>
      <c r="I39" s="99"/>
      <c r="J39" s="116">
        <v>651387</v>
      </c>
      <c r="K39" s="115"/>
      <c r="L39" s="187">
        <v>-0.0371595</v>
      </c>
      <c r="M39" s="115">
        <f>F39*L39</f>
        <v>-32249.689584</v>
      </c>
      <c r="N39" s="158">
        <f>M39/J39</f>
        <v>-0.049509261904213626</v>
      </c>
      <c r="S39" s="83">
        <f>-T39*0.15</f>
        <v>0.0055739249999999995</v>
      </c>
      <c r="T39" s="86">
        <v>-0.0371595</v>
      </c>
      <c r="W39" s="86">
        <f t="shared" si="2"/>
        <v>-0.0371595</v>
      </c>
    </row>
    <row r="40" spans="1:23" ht="15.75">
      <c r="A40" s="113">
        <v>23</v>
      </c>
      <c r="B40" s="111" t="s">
        <v>123</v>
      </c>
      <c r="C40" s="99"/>
      <c r="D40" s="99"/>
      <c r="E40" s="99"/>
      <c r="F40" s="116"/>
      <c r="G40" s="99"/>
      <c r="H40" s="116"/>
      <c r="I40" s="99"/>
      <c r="J40" s="116"/>
      <c r="K40" s="99"/>
      <c r="L40" s="187"/>
      <c r="M40" s="115"/>
      <c r="N40" s="158"/>
      <c r="T40" s="86"/>
      <c r="W40" s="86"/>
    </row>
    <row r="41" spans="1:23" ht="15.75">
      <c r="A41" s="113">
        <v>24</v>
      </c>
      <c r="B41" s="111" t="s">
        <v>124</v>
      </c>
      <c r="C41" s="99"/>
      <c r="D41" s="99"/>
      <c r="E41" s="99"/>
      <c r="F41" s="116"/>
      <c r="G41" s="99"/>
      <c r="H41" s="120"/>
      <c r="I41" s="99"/>
      <c r="J41" s="116">
        <f>H41/H39*J39</f>
        <v>0</v>
      </c>
      <c r="K41" s="99"/>
      <c r="L41" s="187"/>
      <c r="M41" s="115">
        <f>F41*L41</f>
        <v>0</v>
      </c>
      <c r="N41" s="158"/>
      <c r="T41" s="86"/>
      <c r="W41" s="86"/>
    </row>
    <row r="42" spans="1:23" ht="15.75">
      <c r="A42" s="113">
        <v>23</v>
      </c>
      <c r="B42" s="122" t="s">
        <v>125</v>
      </c>
      <c r="C42" s="110"/>
      <c r="D42" s="110"/>
      <c r="E42" s="123">
        <f>SUM(E39:E41)</f>
        <v>5</v>
      </c>
      <c r="F42" s="108">
        <f>SUM(F39:F41)</f>
        <v>867872</v>
      </c>
      <c r="G42" s="123"/>
      <c r="H42" s="108">
        <f>SUM(H39:H41)</f>
        <v>670455</v>
      </c>
      <c r="I42" s="123"/>
      <c r="J42" s="108">
        <f>SUM(J39:J41)</f>
        <v>651387</v>
      </c>
      <c r="K42" s="123"/>
      <c r="L42" s="187"/>
      <c r="M42" s="123">
        <f>SUM(M39:M41)</f>
        <v>-32249.689584</v>
      </c>
      <c r="N42" s="158">
        <f>M42/J42</f>
        <v>-0.049509261904213626</v>
      </c>
      <c r="T42" s="86"/>
      <c r="W42" s="86"/>
    </row>
    <row r="43" spans="1:23" ht="15.75">
      <c r="A43" s="103"/>
      <c r="B43" s="111" t="s">
        <v>126</v>
      </c>
      <c r="C43" s="99"/>
      <c r="D43" s="99"/>
      <c r="E43" s="99"/>
      <c r="F43" s="95"/>
      <c r="G43" s="99"/>
      <c r="H43" s="95"/>
      <c r="I43" s="99"/>
      <c r="J43" s="95"/>
      <c r="K43" s="99"/>
      <c r="L43" s="187"/>
      <c r="M43" s="99"/>
      <c r="N43" s="158"/>
      <c r="T43" s="86"/>
      <c r="W43" s="86"/>
    </row>
    <row r="44" spans="1:23" ht="15.75">
      <c r="A44" s="113">
        <v>24</v>
      </c>
      <c r="B44" s="111" t="s">
        <v>121</v>
      </c>
      <c r="C44" s="99"/>
      <c r="D44" s="97" t="s">
        <v>122</v>
      </c>
      <c r="E44" s="115">
        <v>7</v>
      </c>
      <c r="F44" s="116">
        <v>3178131</v>
      </c>
      <c r="G44" s="99"/>
      <c r="H44" s="120">
        <v>2346596</v>
      </c>
      <c r="I44" s="99"/>
      <c r="J44" s="116">
        <v>2272470.78</v>
      </c>
      <c r="K44" s="99"/>
      <c r="L44" s="187">
        <v>0.24773</v>
      </c>
      <c r="M44" s="115">
        <f>F44*L44</f>
        <v>787318.39263</v>
      </c>
      <c r="N44" s="158">
        <f>M44/J44</f>
        <v>0.34645919303305633</v>
      </c>
      <c r="T44" s="86">
        <v>0.24773</v>
      </c>
      <c r="W44" s="86">
        <f t="shared" si="2"/>
        <v>0.24773</v>
      </c>
    </row>
    <row r="45" spans="1:23" ht="15.75">
      <c r="A45" s="113">
        <v>25</v>
      </c>
      <c r="B45" s="111" t="s">
        <v>127</v>
      </c>
      <c r="C45" s="99"/>
      <c r="D45" s="97" t="s">
        <v>128</v>
      </c>
      <c r="E45" s="115">
        <v>3</v>
      </c>
      <c r="F45" s="116">
        <v>412999</v>
      </c>
      <c r="G45" s="99"/>
      <c r="H45" s="120">
        <v>327424</v>
      </c>
      <c r="I45" s="99"/>
      <c r="J45" s="116">
        <v>317488</v>
      </c>
      <c r="K45" s="99"/>
      <c r="L45" s="187">
        <v>0.24773</v>
      </c>
      <c r="M45" s="115">
        <f>F45*L45</f>
        <v>102312.24227</v>
      </c>
      <c r="N45" s="158">
        <f>M45/J45</f>
        <v>0.32225546247417225</v>
      </c>
      <c r="T45" s="86">
        <v>0.24773</v>
      </c>
      <c r="W45" s="86">
        <f t="shared" si="2"/>
        <v>0.24773</v>
      </c>
    </row>
    <row r="46" spans="1:23" ht="15.75">
      <c r="A46" s="113">
        <v>26</v>
      </c>
      <c r="B46" s="122" t="s">
        <v>129</v>
      </c>
      <c r="C46" s="110"/>
      <c r="D46" s="110"/>
      <c r="E46" s="123">
        <f>SUM(E44:E45)</f>
        <v>10</v>
      </c>
      <c r="F46" s="108">
        <f>SUM(F44:F45)</f>
        <v>3591130</v>
      </c>
      <c r="G46" s="123"/>
      <c r="H46" s="108">
        <f>SUM(H44:H45)</f>
        <v>2674020</v>
      </c>
      <c r="I46" s="123"/>
      <c r="J46" s="108">
        <f>SUM(J44:J45)</f>
        <v>2589958.78</v>
      </c>
      <c r="K46" s="123"/>
      <c r="L46" s="187"/>
      <c r="M46" s="123">
        <f>SUM(M44:M45)</f>
        <v>889630.6349000001</v>
      </c>
      <c r="N46" s="158">
        <f>M46/J46</f>
        <v>0.3434921983198513</v>
      </c>
      <c r="T46" s="86"/>
      <c r="W46" s="86"/>
    </row>
    <row r="47" spans="1:23" ht="15.75">
      <c r="A47" s="113">
        <v>27</v>
      </c>
      <c r="B47" s="111" t="s">
        <v>130</v>
      </c>
      <c r="C47" s="99"/>
      <c r="D47" s="99"/>
      <c r="E47" s="115">
        <f>E21+E31+E37+E42+E46</f>
        <v>169424</v>
      </c>
      <c r="F47" s="108">
        <f>F21+F31+F37+F42+F46</f>
        <v>195485959</v>
      </c>
      <c r="G47" s="115"/>
      <c r="H47" s="108">
        <f>H21+H31+H37+H42+H46</f>
        <v>189289005</v>
      </c>
      <c r="I47" s="115"/>
      <c r="J47" s="108">
        <f>J21+J31+J37+J42+J46</f>
        <v>184339200.40210328</v>
      </c>
      <c r="K47" s="115"/>
      <c r="L47" s="188"/>
      <c r="M47" s="115">
        <f>M21+M31+M37+M42+M46</f>
        <v>-6479169.76110072</v>
      </c>
      <c r="N47" s="182">
        <f>M47/J47</f>
        <v>-0.03514808433023231</v>
      </c>
      <c r="T47" s="86"/>
      <c r="W47" s="86"/>
    </row>
    <row r="48" spans="1:23" ht="15.75">
      <c r="A48" s="105"/>
      <c r="B48" s="106" t="s">
        <v>131</v>
      </c>
      <c r="C48" s="107"/>
      <c r="D48" s="107"/>
      <c r="E48" s="108"/>
      <c r="F48" s="108"/>
      <c r="G48" s="108"/>
      <c r="H48" s="107"/>
      <c r="I48" s="107"/>
      <c r="J48" s="108"/>
      <c r="K48" s="108"/>
      <c r="L48" s="189"/>
      <c r="M48" s="108"/>
      <c r="N48" s="158"/>
      <c r="T48" s="86"/>
      <c r="W48" s="86"/>
    </row>
    <row r="49" spans="1:23" ht="15.75">
      <c r="A49" s="113">
        <v>28</v>
      </c>
      <c r="B49" s="111" t="s">
        <v>132</v>
      </c>
      <c r="C49" s="99"/>
      <c r="D49" s="97" t="s">
        <v>133</v>
      </c>
      <c r="E49" s="99"/>
      <c r="F49" s="116">
        <v>2412017</v>
      </c>
      <c r="G49" s="115"/>
      <c r="H49" s="116">
        <v>1213295</v>
      </c>
      <c r="I49" s="130"/>
      <c r="J49" s="116">
        <f>+H49</f>
        <v>1213295</v>
      </c>
      <c r="K49" s="130"/>
      <c r="L49" s="190"/>
      <c r="M49" s="131"/>
      <c r="N49" s="179"/>
      <c r="T49" s="86"/>
      <c r="W49" s="86"/>
    </row>
    <row r="50" spans="1:23" ht="15.75">
      <c r="A50" s="113">
        <v>29</v>
      </c>
      <c r="B50" s="111" t="s">
        <v>134</v>
      </c>
      <c r="C50" s="99"/>
      <c r="D50" s="97" t="s">
        <v>135</v>
      </c>
      <c r="E50" s="99"/>
      <c r="F50" s="116">
        <v>51025440</v>
      </c>
      <c r="G50" s="99"/>
      <c r="H50" s="116">
        <v>24235600</v>
      </c>
      <c r="I50" s="132"/>
      <c r="J50" s="116">
        <f>+H50</f>
        <v>24235600</v>
      </c>
      <c r="K50" s="132"/>
      <c r="L50" s="187"/>
      <c r="M50" s="99"/>
      <c r="N50" s="180"/>
      <c r="T50" s="86"/>
      <c r="W50" s="86"/>
    </row>
    <row r="51" spans="1:23" ht="15.75">
      <c r="A51" s="113">
        <v>30</v>
      </c>
      <c r="B51" s="111" t="s">
        <v>136</v>
      </c>
      <c r="C51" s="99"/>
      <c r="D51" s="97" t="s">
        <v>137</v>
      </c>
      <c r="E51" s="115"/>
      <c r="F51" s="116">
        <v>7443287</v>
      </c>
      <c r="G51" s="130" t="s">
        <v>138</v>
      </c>
      <c r="H51" s="116">
        <v>721409</v>
      </c>
      <c r="I51" s="130"/>
      <c r="J51" s="116">
        <f>+H51</f>
        <v>721409</v>
      </c>
      <c r="K51" s="130"/>
      <c r="L51" s="191"/>
      <c r="M51" s="131"/>
      <c r="N51" s="180"/>
      <c r="T51" s="86"/>
      <c r="W51" s="86"/>
    </row>
    <row r="52" spans="1:23" ht="15.75">
      <c r="A52" s="103"/>
      <c r="B52" s="111" t="s">
        <v>139</v>
      </c>
      <c r="C52" s="99"/>
      <c r="D52" s="99"/>
      <c r="E52" s="115"/>
      <c r="F52" s="116"/>
      <c r="G52" s="115"/>
      <c r="H52" s="116"/>
      <c r="I52" s="99"/>
      <c r="J52" s="116"/>
      <c r="K52" s="115"/>
      <c r="L52" s="186"/>
      <c r="M52" s="115"/>
      <c r="N52" s="180"/>
      <c r="T52" s="86"/>
      <c r="W52" s="86"/>
    </row>
    <row r="53" spans="1:23" ht="15.75">
      <c r="A53" s="113">
        <v>31</v>
      </c>
      <c r="B53" s="111" t="s">
        <v>140</v>
      </c>
      <c r="C53" s="99"/>
      <c r="D53" s="97" t="s">
        <v>141</v>
      </c>
      <c r="E53" s="115">
        <v>131</v>
      </c>
      <c r="F53" s="116">
        <v>89107723</v>
      </c>
      <c r="G53" s="115"/>
      <c r="H53" s="116">
        <v>10435697</v>
      </c>
      <c r="I53" s="131"/>
      <c r="J53" s="116">
        <v>10434327</v>
      </c>
      <c r="K53" s="115"/>
      <c r="L53" s="187">
        <v>0.00508</v>
      </c>
      <c r="M53" s="115"/>
      <c r="N53" s="180"/>
      <c r="T53" s="86">
        <v>0.00508</v>
      </c>
      <c r="W53" s="86">
        <f t="shared" si="2"/>
        <v>0.00508</v>
      </c>
    </row>
    <row r="54" spans="1:14" ht="15.75">
      <c r="A54" s="113">
        <v>32</v>
      </c>
      <c r="B54" s="111" t="s">
        <v>142</v>
      </c>
      <c r="C54" s="99"/>
      <c r="D54" s="97" t="s">
        <v>143</v>
      </c>
      <c r="E54" s="115">
        <v>22</v>
      </c>
      <c r="F54" s="116">
        <v>156846205</v>
      </c>
      <c r="G54" s="115"/>
      <c r="H54" s="116">
        <v>6362505</v>
      </c>
      <c r="I54" s="131"/>
      <c r="J54" s="116">
        <v>6359908</v>
      </c>
      <c r="K54" s="115"/>
      <c r="L54" s="163"/>
      <c r="M54" s="115"/>
      <c r="N54" s="180"/>
    </row>
    <row r="55" spans="1:14" ht="15.75" hidden="1">
      <c r="A55" s="113"/>
      <c r="B55" s="111" t="s">
        <v>144</v>
      </c>
      <c r="C55" s="99"/>
      <c r="D55" s="97">
        <v>678</v>
      </c>
      <c r="E55" s="115"/>
      <c r="F55" s="116"/>
      <c r="G55" s="99"/>
      <c r="H55" s="133"/>
      <c r="I55" s="99"/>
      <c r="J55" s="133"/>
      <c r="K55" s="99"/>
      <c r="L55" s="164"/>
      <c r="M55" s="99"/>
      <c r="N55" s="180"/>
    </row>
    <row r="56" spans="1:14" ht="15.75">
      <c r="A56" s="113"/>
      <c r="B56" s="95"/>
      <c r="C56" s="97"/>
      <c r="D56" s="99"/>
      <c r="E56" s="99"/>
      <c r="F56" s="116"/>
      <c r="G56" s="99"/>
      <c r="H56" s="116"/>
      <c r="I56" s="99"/>
      <c r="J56" s="134"/>
      <c r="K56" s="99"/>
      <c r="L56" s="164"/>
      <c r="M56" s="99"/>
      <c r="N56" s="180"/>
    </row>
    <row r="57" spans="1:14" ht="15.75">
      <c r="A57" s="113"/>
      <c r="B57" s="95"/>
      <c r="C57" s="97"/>
      <c r="D57" s="99"/>
      <c r="E57" s="99"/>
      <c r="F57" s="116"/>
      <c r="G57" s="99"/>
      <c r="H57" s="116"/>
      <c r="I57" s="99"/>
      <c r="J57" s="116"/>
      <c r="K57" s="99"/>
      <c r="L57" s="164"/>
      <c r="M57" s="99"/>
      <c r="N57" s="180"/>
    </row>
    <row r="58" spans="1:14" ht="15.75">
      <c r="A58" s="113">
        <v>33</v>
      </c>
      <c r="B58" s="135" t="s">
        <v>145</v>
      </c>
      <c r="C58" s="136"/>
      <c r="D58" s="137" t="s">
        <v>146</v>
      </c>
      <c r="E58" s="138">
        <v>12</v>
      </c>
      <c r="F58" s="139">
        <v>273994454</v>
      </c>
      <c r="G58" s="136"/>
      <c r="H58" s="127">
        <v>5761934</v>
      </c>
      <c r="I58" s="136"/>
      <c r="J58" s="139">
        <v>5761934</v>
      </c>
      <c r="K58" s="136"/>
      <c r="L58" s="147"/>
      <c r="M58" s="136"/>
      <c r="N58" s="180"/>
    </row>
    <row r="59" spans="1:14" ht="15.75" hidden="1">
      <c r="A59" s="113">
        <v>37</v>
      </c>
      <c r="B59" s="95"/>
      <c r="C59" s="97" t="s">
        <v>147</v>
      </c>
      <c r="D59" s="99"/>
      <c r="E59" s="99"/>
      <c r="F59" s="116"/>
      <c r="G59" s="99"/>
      <c r="H59" s="116"/>
      <c r="I59" s="99"/>
      <c r="J59" s="116">
        <f aca="true" t="shared" si="6" ref="J59:J72">+H59</f>
        <v>0</v>
      </c>
      <c r="K59" s="99"/>
      <c r="L59" s="142"/>
      <c r="M59" s="99"/>
      <c r="N59" s="180"/>
    </row>
    <row r="60" spans="1:14" ht="15.75" hidden="1">
      <c r="A60" s="113">
        <v>38</v>
      </c>
      <c r="B60" s="95"/>
      <c r="C60" s="97" t="s">
        <v>148</v>
      </c>
      <c r="D60" s="99"/>
      <c r="E60" s="99"/>
      <c r="F60" s="116"/>
      <c r="G60" s="99"/>
      <c r="H60" s="116"/>
      <c r="I60" s="99"/>
      <c r="J60" s="116">
        <f t="shared" si="6"/>
        <v>0</v>
      </c>
      <c r="K60" s="99"/>
      <c r="L60" s="142"/>
      <c r="M60" s="99"/>
      <c r="N60" s="180"/>
    </row>
    <row r="61" spans="1:14" ht="15.75" hidden="1">
      <c r="A61" s="113">
        <v>39</v>
      </c>
      <c r="B61" s="95"/>
      <c r="C61" s="97" t="s">
        <v>149</v>
      </c>
      <c r="D61" s="99"/>
      <c r="E61" s="99"/>
      <c r="F61" s="116"/>
      <c r="G61" s="99"/>
      <c r="H61" s="116"/>
      <c r="I61" s="99"/>
      <c r="J61" s="116">
        <f t="shared" si="6"/>
        <v>0</v>
      </c>
      <c r="K61" s="99"/>
      <c r="L61" s="142"/>
      <c r="M61" s="99"/>
      <c r="N61" s="180"/>
    </row>
    <row r="62" spans="1:14" ht="15.75" hidden="1">
      <c r="A62" s="113">
        <v>40</v>
      </c>
      <c r="B62" s="95"/>
      <c r="C62" s="97" t="s">
        <v>150</v>
      </c>
      <c r="D62" s="99"/>
      <c r="E62" s="99"/>
      <c r="F62" s="116"/>
      <c r="G62" s="99"/>
      <c r="H62" s="116"/>
      <c r="I62" s="99"/>
      <c r="J62" s="116">
        <f t="shared" si="6"/>
        <v>0</v>
      </c>
      <c r="K62" s="99"/>
      <c r="L62" s="142"/>
      <c r="M62" s="99"/>
      <c r="N62" s="180"/>
    </row>
    <row r="63" spans="1:14" ht="15.75" hidden="1">
      <c r="A63" s="113">
        <v>41</v>
      </c>
      <c r="B63" s="95"/>
      <c r="C63" s="97" t="s">
        <v>151</v>
      </c>
      <c r="D63" s="99"/>
      <c r="E63" s="99"/>
      <c r="F63" s="116"/>
      <c r="G63" s="99"/>
      <c r="H63" s="116"/>
      <c r="I63" s="99"/>
      <c r="J63" s="116">
        <f t="shared" si="6"/>
        <v>0</v>
      </c>
      <c r="K63" s="99"/>
      <c r="L63" s="142"/>
      <c r="M63" s="99"/>
      <c r="N63" s="180"/>
    </row>
    <row r="64" spans="1:14" ht="15.75" hidden="1">
      <c r="A64" s="113">
        <v>42</v>
      </c>
      <c r="B64" s="95"/>
      <c r="C64" s="128" t="s">
        <v>152</v>
      </c>
      <c r="D64" s="99"/>
      <c r="E64" s="99"/>
      <c r="F64" s="116"/>
      <c r="G64" s="99"/>
      <c r="H64" s="116"/>
      <c r="I64" s="99"/>
      <c r="J64" s="116">
        <f t="shared" si="6"/>
        <v>0</v>
      </c>
      <c r="K64" s="99"/>
      <c r="L64" s="142"/>
      <c r="M64" s="99"/>
      <c r="N64" s="180"/>
    </row>
    <row r="65" spans="1:14" ht="15.75" hidden="1">
      <c r="A65" s="113">
        <v>43</v>
      </c>
      <c r="B65" s="95"/>
      <c r="C65" s="97" t="s">
        <v>153</v>
      </c>
      <c r="D65" s="99"/>
      <c r="E65" s="99"/>
      <c r="F65" s="116"/>
      <c r="G65" s="99"/>
      <c r="H65" s="116"/>
      <c r="I65" s="99"/>
      <c r="J65" s="116">
        <f t="shared" si="6"/>
        <v>0</v>
      </c>
      <c r="K65" s="99"/>
      <c r="L65" s="142"/>
      <c r="M65" s="99"/>
      <c r="N65" s="180"/>
    </row>
    <row r="66" spans="1:14" ht="15.75" hidden="1">
      <c r="A66" s="113">
        <v>44</v>
      </c>
      <c r="B66" s="95"/>
      <c r="C66" s="97" t="s">
        <v>154</v>
      </c>
      <c r="D66" s="99"/>
      <c r="E66" s="99"/>
      <c r="F66" s="116"/>
      <c r="G66" s="99"/>
      <c r="H66" s="116"/>
      <c r="I66" s="99"/>
      <c r="J66" s="116">
        <f t="shared" si="6"/>
        <v>0</v>
      </c>
      <c r="K66" s="99"/>
      <c r="L66" s="142"/>
      <c r="M66" s="99"/>
      <c r="N66" s="180"/>
    </row>
    <row r="67" spans="1:14" ht="15.75" hidden="1">
      <c r="A67" s="113">
        <v>45</v>
      </c>
      <c r="B67" s="95"/>
      <c r="C67" s="97" t="s">
        <v>155</v>
      </c>
      <c r="D67" s="99"/>
      <c r="E67" s="99"/>
      <c r="F67" s="116"/>
      <c r="G67" s="99"/>
      <c r="H67" s="116"/>
      <c r="I67" s="99"/>
      <c r="J67" s="116">
        <f t="shared" si="6"/>
        <v>0</v>
      </c>
      <c r="K67" s="99"/>
      <c r="L67" s="142"/>
      <c r="M67" s="99"/>
      <c r="N67" s="180"/>
    </row>
    <row r="68" spans="1:14" ht="15.75" hidden="1">
      <c r="A68" s="113">
        <v>46</v>
      </c>
      <c r="B68" s="95"/>
      <c r="C68" s="128" t="s">
        <v>156</v>
      </c>
      <c r="D68" s="99"/>
      <c r="E68" s="99"/>
      <c r="F68" s="116"/>
      <c r="G68" s="99"/>
      <c r="H68" s="116"/>
      <c r="I68" s="99"/>
      <c r="J68" s="116">
        <f t="shared" si="6"/>
        <v>0</v>
      </c>
      <c r="K68" s="99"/>
      <c r="L68" s="142"/>
      <c r="M68" s="99"/>
      <c r="N68" s="180"/>
    </row>
    <row r="69" spans="1:14" ht="15.75" hidden="1">
      <c r="A69" s="113">
        <v>47</v>
      </c>
      <c r="B69" s="95"/>
      <c r="C69" s="128" t="s">
        <v>157</v>
      </c>
      <c r="D69" s="99"/>
      <c r="E69" s="99"/>
      <c r="F69" s="116"/>
      <c r="G69" s="99"/>
      <c r="H69" s="116"/>
      <c r="I69" s="99"/>
      <c r="J69" s="116">
        <f t="shared" si="6"/>
        <v>0</v>
      </c>
      <c r="K69" s="99"/>
      <c r="L69" s="142"/>
      <c r="M69" s="99"/>
      <c r="N69" s="180"/>
    </row>
    <row r="70" spans="1:14" ht="15.75" hidden="1">
      <c r="A70" s="113">
        <v>48</v>
      </c>
      <c r="B70" s="95"/>
      <c r="C70" s="128" t="s">
        <v>158</v>
      </c>
      <c r="D70" s="99"/>
      <c r="E70" s="99"/>
      <c r="F70" s="116"/>
      <c r="G70" s="99"/>
      <c r="H70" s="116"/>
      <c r="I70" s="99"/>
      <c r="J70" s="116">
        <f t="shared" si="6"/>
        <v>0</v>
      </c>
      <c r="K70" s="99"/>
      <c r="L70" s="142"/>
      <c r="M70" s="99"/>
      <c r="N70" s="180"/>
    </row>
    <row r="71" spans="1:14" ht="15.75" hidden="1">
      <c r="A71" s="113">
        <v>49</v>
      </c>
      <c r="B71" s="95"/>
      <c r="C71" s="128" t="s">
        <v>159</v>
      </c>
      <c r="D71" s="99"/>
      <c r="E71" s="99"/>
      <c r="F71" s="116"/>
      <c r="G71" s="99"/>
      <c r="H71" s="116"/>
      <c r="I71" s="99"/>
      <c r="J71" s="116">
        <f t="shared" si="6"/>
        <v>0</v>
      </c>
      <c r="K71" s="99"/>
      <c r="L71" s="142"/>
      <c r="M71" s="99"/>
      <c r="N71" s="180"/>
    </row>
    <row r="72" spans="1:14" ht="15.75" hidden="1">
      <c r="A72" s="113">
        <v>50</v>
      </c>
      <c r="B72" s="143"/>
      <c r="C72" s="144" t="s">
        <v>160</v>
      </c>
      <c r="D72" s="136"/>
      <c r="E72" s="136"/>
      <c r="F72" s="139"/>
      <c r="G72" s="136"/>
      <c r="H72" s="139"/>
      <c r="I72" s="136"/>
      <c r="J72" s="116">
        <f t="shared" si="6"/>
        <v>0</v>
      </c>
      <c r="K72" s="136"/>
      <c r="L72" s="142"/>
      <c r="M72" s="99"/>
      <c r="N72" s="180"/>
    </row>
    <row r="73" spans="1:14" ht="15.75">
      <c r="A73" s="113">
        <v>34</v>
      </c>
      <c r="B73" s="145" t="s">
        <v>161</v>
      </c>
      <c r="C73" s="136"/>
      <c r="D73" s="136"/>
      <c r="E73" s="141">
        <f>SUM(E49:E72)</f>
        <v>165</v>
      </c>
      <c r="F73" s="139">
        <f>SUM(F53:F72)</f>
        <v>519948382</v>
      </c>
      <c r="G73" s="136"/>
      <c r="H73" s="139">
        <f>SUM(H49:H72)</f>
        <v>48730440</v>
      </c>
      <c r="I73" s="136"/>
      <c r="J73" s="146">
        <f>SUM(J49:J72)</f>
        <v>48726473</v>
      </c>
      <c r="K73" s="136"/>
      <c r="L73" s="147"/>
      <c r="M73" s="136"/>
      <c r="N73" s="181"/>
    </row>
    <row r="74" spans="1:14" ht="15.75">
      <c r="A74" s="113">
        <v>35</v>
      </c>
      <c r="B74" s="145" t="s">
        <v>162</v>
      </c>
      <c r="C74" s="136"/>
      <c r="D74" s="136"/>
      <c r="E74" s="141">
        <f>E47+E73</f>
        <v>169589</v>
      </c>
      <c r="F74" s="139">
        <f>F47+F73</f>
        <v>715434341</v>
      </c>
      <c r="G74" s="141"/>
      <c r="H74" s="139">
        <f>H47+H73</f>
        <v>238019445</v>
      </c>
      <c r="I74" s="141"/>
      <c r="J74" s="139">
        <f>J47+J73</f>
        <v>233065673.40210328</v>
      </c>
      <c r="K74" s="141"/>
      <c r="L74" s="148"/>
      <c r="M74" s="141">
        <f>M47+M53</f>
        <v>-6479169.76110072</v>
      </c>
      <c r="N74" s="158">
        <f>M74/J74</f>
        <v>-0.027799759898242696</v>
      </c>
    </row>
    <row r="75" spans="1:14" ht="15.75">
      <c r="A75" s="105"/>
      <c r="B75" s="149" t="s">
        <v>163</v>
      </c>
      <c r="C75" s="143"/>
      <c r="D75" s="143"/>
      <c r="E75" s="139"/>
      <c r="F75" s="139"/>
      <c r="G75" s="139"/>
      <c r="H75" s="143"/>
      <c r="I75" s="143"/>
      <c r="J75" s="139"/>
      <c r="K75" s="139"/>
      <c r="L75" s="150"/>
      <c r="M75" s="139"/>
      <c r="N75" s="179"/>
    </row>
    <row r="76" spans="1:14" ht="15.75">
      <c r="A76" s="103">
        <v>36</v>
      </c>
      <c r="B76" s="111" t="s">
        <v>164</v>
      </c>
      <c r="C76" s="95"/>
      <c r="D76" s="95"/>
      <c r="E76" s="115"/>
      <c r="F76" s="116"/>
      <c r="G76" s="115"/>
      <c r="H76" s="116">
        <v>8927966</v>
      </c>
      <c r="I76" s="99"/>
      <c r="J76" s="116">
        <f>+H76</f>
        <v>8927966</v>
      </c>
      <c r="K76" s="115"/>
      <c r="L76" s="124"/>
      <c r="M76" s="116"/>
      <c r="N76" s="180"/>
    </row>
    <row r="77" spans="1:14" ht="15.75">
      <c r="A77" s="113">
        <v>37</v>
      </c>
      <c r="B77" s="111" t="s">
        <v>165</v>
      </c>
      <c r="C77" s="95"/>
      <c r="D77" s="95"/>
      <c r="E77" s="115"/>
      <c r="F77" s="116"/>
      <c r="G77" s="115"/>
      <c r="H77" s="116">
        <v>-790706</v>
      </c>
      <c r="I77" s="115"/>
      <c r="J77" s="116">
        <f>+H77</f>
        <v>-790706</v>
      </c>
      <c r="K77" s="115"/>
      <c r="L77" s="124"/>
      <c r="M77" s="116"/>
      <c r="N77" s="180"/>
    </row>
    <row r="78" spans="1:14" ht="15.75">
      <c r="A78" s="113">
        <v>38</v>
      </c>
      <c r="B78" s="111" t="s">
        <v>166</v>
      </c>
      <c r="C78" s="95"/>
      <c r="D78" s="95"/>
      <c r="E78" s="99"/>
      <c r="F78" s="116"/>
      <c r="G78" s="115"/>
      <c r="H78" s="139">
        <v>833552</v>
      </c>
      <c r="I78" s="115"/>
      <c r="J78" s="139">
        <f>+H78</f>
        <v>833552</v>
      </c>
      <c r="K78" s="115"/>
      <c r="L78" s="112"/>
      <c r="M78" s="95"/>
      <c r="N78" s="180"/>
    </row>
    <row r="79" spans="1:14" ht="15.75">
      <c r="A79" s="113">
        <v>39</v>
      </c>
      <c r="B79" s="122" t="s">
        <v>167</v>
      </c>
      <c r="C79" s="107"/>
      <c r="D79" s="107"/>
      <c r="E79" s="123"/>
      <c r="F79" s="108">
        <f>SUM(F76:F78)</f>
        <v>0</v>
      </c>
      <c r="G79" s="123"/>
      <c r="H79" s="139">
        <f>SUM(H76:H78)</f>
        <v>8970812</v>
      </c>
      <c r="I79" s="123"/>
      <c r="J79" s="139">
        <f>SUM(J76:J78)</f>
        <v>8970812</v>
      </c>
      <c r="K79" s="123"/>
      <c r="L79" s="112"/>
      <c r="M79" s="95"/>
      <c r="N79" s="180"/>
    </row>
    <row r="80" spans="1:14" ht="15.75">
      <c r="A80" s="113">
        <v>40</v>
      </c>
      <c r="B80" s="151" t="s">
        <v>168</v>
      </c>
      <c r="C80" s="95"/>
      <c r="D80" s="95"/>
      <c r="E80" s="99"/>
      <c r="F80" s="116"/>
      <c r="G80" s="115"/>
      <c r="H80" s="139">
        <f>H74+H79</f>
        <v>246990257</v>
      </c>
      <c r="I80" s="115"/>
      <c r="J80" s="139">
        <f>J74+J79</f>
        <v>242036485.40210328</v>
      </c>
      <c r="K80" s="115"/>
      <c r="L80" s="112"/>
      <c r="M80" s="95"/>
      <c r="N80" s="180"/>
    </row>
    <row r="81" spans="1:14" ht="15.75">
      <c r="A81" s="113">
        <v>41</v>
      </c>
      <c r="B81" s="122" t="s">
        <v>169</v>
      </c>
      <c r="C81" s="107"/>
      <c r="D81" s="107"/>
      <c r="E81" s="110"/>
      <c r="F81" s="107"/>
      <c r="G81" s="110"/>
      <c r="H81" s="152"/>
      <c r="I81" s="110"/>
      <c r="J81" s="153">
        <v>0</v>
      </c>
      <c r="K81" s="110"/>
      <c r="L81" s="112"/>
      <c r="M81" s="143"/>
      <c r="N81" s="180"/>
    </row>
    <row r="82" spans="1:14" ht="15.75">
      <c r="A82" s="154">
        <v>42</v>
      </c>
      <c r="B82" s="149" t="s">
        <v>170</v>
      </c>
      <c r="C82" s="143"/>
      <c r="D82" s="143"/>
      <c r="E82" s="136"/>
      <c r="F82" s="139">
        <f>F74+F79</f>
        <v>715434341</v>
      </c>
      <c r="G82" s="136"/>
      <c r="H82" s="139">
        <f>H74+H79+H81</f>
        <v>246990257</v>
      </c>
      <c r="I82" s="136"/>
      <c r="J82" s="139">
        <f>J74+J79</f>
        <v>242036485.40210328</v>
      </c>
      <c r="K82" s="136"/>
      <c r="L82" s="140"/>
      <c r="M82" s="141">
        <f>M74</f>
        <v>-6479169.76110072</v>
      </c>
      <c r="N82" s="181">
        <f>M82/J82</f>
        <v>-0.02676939284726705</v>
      </c>
    </row>
    <row r="83" spans="8:14" ht="15.75">
      <c r="H83" s="155"/>
      <c r="J83" s="155"/>
      <c r="K83" s="155"/>
      <c r="L83" s="156"/>
      <c r="M83" s="155"/>
      <c r="N83" s="155"/>
    </row>
    <row r="84" ht="15.75">
      <c r="B84" s="84"/>
    </row>
    <row r="85" ht="15.75">
      <c r="B85" s="85"/>
    </row>
    <row r="86" ht="15.75">
      <c r="B86" s="84"/>
    </row>
    <row r="87" ht="15.75">
      <c r="B87" s="84"/>
    </row>
    <row r="88" ht="15.75">
      <c r="B88" s="85"/>
    </row>
  </sheetData>
  <mergeCells count="2">
    <mergeCell ref="C6:M6"/>
    <mergeCell ref="C5:M5"/>
  </mergeCells>
  <printOptions/>
  <pageMargins left="0.75" right="0.75" top="1" bottom="1" header="0.5" footer="0.5"/>
  <pageSetup fitToHeight="1" fitToWidth="1" horizontalDpi="600" verticalDpi="600" orientation="portrait" scale="65"/>
  <headerFooter alignWithMargins="0">
    <oddHeader>&amp;RDocket No. UG-060256
Exhibit No. __ (MLB-4)
Page 9 of 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Cascade Natural Gas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T. Stoltz</dc:creator>
  <cp:keywords/>
  <dc:description/>
  <cp:lastModifiedBy>Office of the Attorney General</cp:lastModifiedBy>
  <cp:lastPrinted>2006-08-11T17:24:13Z</cp:lastPrinted>
  <dcterms:created xsi:type="dcterms:W3CDTF">2005-11-10T22:06:54Z</dcterms:created>
  <dcterms:modified xsi:type="dcterms:W3CDTF">2006-08-11T17:25:30Z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060256</vt:lpwstr>
  </property>
  <property fmtid="{D5CDD505-2E9C-101B-9397-08002B2CF9AE}" pid="6" name="IsConfidenti">
    <vt:lpwstr>0</vt:lpwstr>
  </property>
  <property fmtid="{D5CDD505-2E9C-101B-9397-08002B2CF9AE}" pid="7" name="Dat">
    <vt:lpwstr>2006-08-15T00:00:00Z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2006-02-14T00:00:00Z</vt:lpwstr>
  </property>
  <property fmtid="{D5CDD505-2E9C-101B-9397-08002B2CF9AE}" pid="10" name="Pref">
    <vt:lpwstr>UG</vt:lpwstr>
  </property>
  <property fmtid="{D5CDD505-2E9C-101B-9397-08002B2CF9AE}" pid="11" name="CaseCompanyNam">
    <vt:lpwstr>Cascade Natural Gas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