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home.utc.wa.gov/sites/ue-220066/Staffs Testimony and Exhibits/"/>
    </mc:Choice>
  </mc:AlternateContent>
  <xr:revisionPtr revIDLastSave="0" documentId="13_ncr:1_{8DE3653D-FD7D-4D1F-96AF-B9852652699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ummary Table" sheetId="5" r:id="rId1"/>
    <sheet name="Rev Req - Deferral" sheetId="4" r:id="rId2"/>
    <sheet name="Rev Req - TEP Cap" sheetId="1" r:id="rId3"/>
    <sheet name="Rev Req - TEP OpEx" sheetId="8" r:id="rId4"/>
    <sheet name="OpEx F" sheetId="7" r:id="rId5"/>
    <sheet name="Prov Proforma SEF-21" sheetId="2" r:id="rId6"/>
    <sheet name="EV Adj" sheetId="6" r:id="rId7"/>
  </sheets>
  <definedNames>
    <definedName name="_Order1">255</definedName>
    <definedName name="_Order2">255</definedName>
    <definedName name="AccessDatabase">"I:\COMTREL\FINICLE\TradeSummary.mdb"</definedName>
    <definedName name="CBWorkbookPriority">-2060790043</definedName>
    <definedName name="_xlnm.Print_Area" localSheetId="4">'OpEx F'!$A$1:$M$13</definedName>
    <definedName name="_xlnm.Print_Area" localSheetId="5">'Prov Proforma SEF-21'!$A$1:$L$47</definedName>
    <definedName name="_xlnm.Print_Area" localSheetId="0">'Summary Table'!$A$1:$J$13</definedName>
    <definedName name="_xlnm.Print_Titles" localSheetId="5">'Prov Proforma SEF-21'!$A:$B,'Prov Proforma SEF-21'!$5:$10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7" l="1"/>
  <c r="F8" i="7"/>
  <c r="D10" i="7"/>
  <c r="D31" i="8" s="1"/>
  <c r="E10" i="7"/>
  <c r="D49" i="8" s="1"/>
  <c r="C10" i="7"/>
  <c r="D13" i="8" s="1"/>
  <c r="B10" i="7"/>
  <c r="D13" i="1" l="1"/>
  <c r="D51" i="8" l="1"/>
  <c r="A46" i="8"/>
  <c r="A47" i="8" s="1"/>
  <c r="A48" i="8" s="1"/>
  <c r="A49" i="8" s="1"/>
  <c r="A50" i="8" s="1"/>
  <c r="A51" i="8" s="1"/>
  <c r="A52" i="8" s="1"/>
  <c r="A54" i="8" s="1"/>
  <c r="D32" i="8"/>
  <c r="D33" i="8"/>
  <c r="A28" i="8"/>
  <c r="A29" i="8" s="1"/>
  <c r="A30" i="8" s="1"/>
  <c r="A31" i="8" s="1"/>
  <c r="A32" i="8" s="1"/>
  <c r="A33" i="8" s="1"/>
  <c r="A34" i="8" s="1"/>
  <c r="A36" i="8" s="1"/>
  <c r="D14" i="8"/>
  <c r="A10" i="8"/>
  <c r="A11" i="8" s="1"/>
  <c r="A12" i="8" s="1"/>
  <c r="A13" i="8" s="1"/>
  <c r="A14" i="8" s="1"/>
  <c r="A15" i="8" s="1"/>
  <c r="A16" i="8" s="1"/>
  <c r="A18" i="8" s="1"/>
  <c r="D34" i="8" l="1"/>
  <c r="D36" i="8" s="1"/>
  <c r="C11" i="5" s="1"/>
  <c r="D15" i="8"/>
  <c r="D16" i="8" s="1"/>
  <c r="D18" i="8" s="1"/>
  <c r="C10" i="5" s="1"/>
  <c r="C13" i="5" s="1"/>
  <c r="D50" i="8"/>
  <c r="D52" i="8" s="1"/>
  <c r="D54" i="8" s="1"/>
  <c r="C12" i="5" s="1"/>
  <c r="A43" i="6" l="1"/>
  <c r="A42" i="6"/>
  <c r="A41" i="6"/>
  <c r="A40" i="6"/>
  <c r="A39" i="6"/>
  <c r="A38" i="6"/>
  <c r="A37" i="6"/>
  <c r="I36" i="6"/>
  <c r="I38" i="6" s="1"/>
  <c r="E36" i="6"/>
  <c r="E38" i="6" s="1"/>
  <c r="A36" i="6"/>
  <c r="F35" i="6"/>
  <c r="H35" i="6" s="1"/>
  <c r="J35" i="6" s="1"/>
  <c r="A35" i="6"/>
  <c r="F34" i="6"/>
  <c r="H34" i="6" s="1"/>
  <c r="J34" i="6" s="1"/>
  <c r="A34" i="6"/>
  <c r="F33" i="6"/>
  <c r="H33" i="6" s="1"/>
  <c r="J33" i="6" s="1"/>
  <c r="A33" i="6"/>
  <c r="F32" i="6"/>
  <c r="H32" i="6" s="1"/>
  <c r="J32" i="6" s="1"/>
  <c r="A32" i="6"/>
  <c r="D36" i="6"/>
  <c r="D38" i="6" s="1"/>
  <c r="A31" i="6"/>
  <c r="A30" i="6"/>
  <c r="A29" i="6"/>
  <c r="A28" i="6"/>
  <c r="O27" i="6"/>
  <c r="M27" i="6"/>
  <c r="K27" i="6"/>
  <c r="I27" i="6"/>
  <c r="I40" i="6" s="1"/>
  <c r="E27" i="6"/>
  <c r="E40" i="6" s="1"/>
  <c r="A27" i="6"/>
  <c r="D27" i="6"/>
  <c r="A26" i="6"/>
  <c r="A25" i="6"/>
  <c r="A24" i="6"/>
  <c r="A23" i="6"/>
  <c r="A22" i="6"/>
  <c r="E21" i="6"/>
  <c r="E23" i="6" s="1"/>
  <c r="D21" i="6"/>
  <c r="D23" i="6" s="1"/>
  <c r="A21" i="6"/>
  <c r="F20" i="6"/>
  <c r="H20" i="6" s="1"/>
  <c r="J20" i="6" s="1"/>
  <c r="A20" i="6"/>
  <c r="F19" i="6"/>
  <c r="H19" i="6" s="1"/>
  <c r="J19" i="6" s="1"/>
  <c r="A19" i="6"/>
  <c r="F18" i="6"/>
  <c r="A18" i="6"/>
  <c r="A17" i="6"/>
  <c r="A16" i="6"/>
  <c r="F21" i="6" l="1"/>
  <c r="F23" i="6" s="1"/>
  <c r="H18" i="6"/>
  <c r="O32" i="6"/>
  <c r="M33" i="6"/>
  <c r="M35" i="6"/>
  <c r="O34" i="6"/>
  <c r="F26" i="6"/>
  <c r="G26" i="6" s="1"/>
  <c r="G27" i="6" s="1"/>
  <c r="F31" i="6"/>
  <c r="F36" i="6" s="1"/>
  <c r="F38" i="6" s="1"/>
  <c r="O33" i="6"/>
  <c r="O35" i="6"/>
  <c r="M32" i="6"/>
  <c r="M34" i="6"/>
  <c r="G21" i="6"/>
  <c r="G23" i="6" s="1"/>
  <c r="D40" i="6"/>
  <c r="K32" i="6"/>
  <c r="K33" i="6"/>
  <c r="K34" i="6"/>
  <c r="K35" i="6"/>
  <c r="L20" i="6"/>
  <c r="D14" i="4" s="1"/>
  <c r="I21" i="6"/>
  <c r="I23" i="6" s="1"/>
  <c r="L19" i="6"/>
  <c r="D13" i="4" s="1"/>
  <c r="E42" i="6"/>
  <c r="E43" i="6" s="1"/>
  <c r="I42" i="6"/>
  <c r="I43" i="6" s="1"/>
  <c r="H21" i="6"/>
  <c r="H23" i="6" s="1"/>
  <c r="A46" i="4"/>
  <c r="A48" i="4" s="1"/>
  <c r="A49" i="4" s="1"/>
  <c r="A50" i="4" s="1"/>
  <c r="A51" i="4" s="1"/>
  <c r="A52" i="4" s="1"/>
  <c r="A53" i="4" s="1"/>
  <c r="A54" i="4" s="1"/>
  <c r="A55" i="4" s="1"/>
  <c r="A56" i="4" s="1"/>
  <c r="A58" i="4" s="1"/>
  <c r="A28" i="4"/>
  <c r="A30" i="4" s="1"/>
  <c r="A31" i="4" s="1"/>
  <c r="A32" i="4" s="1"/>
  <c r="A33" i="4" s="1"/>
  <c r="A34" i="4" s="1"/>
  <c r="A35" i="4" s="1"/>
  <c r="A36" i="4" s="1"/>
  <c r="A37" i="4" s="1"/>
  <c r="A38" i="4" s="1"/>
  <c r="A40" i="4" s="1"/>
  <c r="A10" i="4"/>
  <c r="A12" i="4" s="1"/>
  <c r="A13" i="4" s="1"/>
  <c r="A14" i="4" s="1"/>
  <c r="A15" i="4" s="1"/>
  <c r="A16" i="4" s="1"/>
  <c r="A17" i="4" s="1"/>
  <c r="A18" i="4" s="1"/>
  <c r="A19" i="4" s="1"/>
  <c r="A20" i="4" s="1"/>
  <c r="A22" i="4" s="1"/>
  <c r="F27" i="6" l="1"/>
  <c r="H26" i="6"/>
  <c r="O36" i="6"/>
  <c r="O38" i="6" s="1"/>
  <c r="G31" i="6"/>
  <c r="G36" i="6" s="1"/>
  <c r="G38" i="6" s="1"/>
  <c r="M36" i="6"/>
  <c r="M40" i="6" s="1"/>
  <c r="M42" i="6" s="1"/>
  <c r="M43" i="6" s="1"/>
  <c r="D42" i="6"/>
  <c r="D43" i="6" s="1"/>
  <c r="K36" i="6"/>
  <c r="N19" i="6"/>
  <c r="D31" i="4" s="1"/>
  <c r="J18" i="6"/>
  <c r="N20" i="6"/>
  <c r="D32" i="4" s="1"/>
  <c r="F40" i="6"/>
  <c r="H27" i="6"/>
  <c r="J26" i="6"/>
  <c r="M38" i="6" l="1"/>
  <c r="G40" i="6"/>
  <c r="G42" i="6" s="1"/>
  <c r="O40" i="6"/>
  <c r="H31" i="6"/>
  <c r="H36" i="6" s="1"/>
  <c r="H38" i="6" s="1"/>
  <c r="O42" i="6"/>
  <c r="O43" i="6" s="1"/>
  <c r="K40" i="6"/>
  <c r="K38" i="6"/>
  <c r="P20" i="6"/>
  <c r="D50" i="4" s="1"/>
  <c r="F42" i="6"/>
  <c r="F43" i="6" s="1"/>
  <c r="L26" i="6"/>
  <c r="J27" i="6"/>
  <c r="P19" i="6"/>
  <c r="D49" i="4" s="1"/>
  <c r="K21" i="6"/>
  <c r="K23" i="6" s="1"/>
  <c r="J21" i="6"/>
  <c r="J23" i="6" s="1"/>
  <c r="G43" i="6" l="1"/>
  <c r="J31" i="6"/>
  <c r="H40" i="6"/>
  <c r="H42" i="6" s="1"/>
  <c r="K42" i="6"/>
  <c r="K43" i="6" s="1"/>
  <c r="L18" i="6"/>
  <c r="D12" i="4" s="1"/>
  <c r="N26" i="6"/>
  <c r="L27" i="6"/>
  <c r="H43" i="6" l="1"/>
  <c r="J36" i="6"/>
  <c r="L31" i="6"/>
  <c r="L21" i="6"/>
  <c r="L23" i="6" s="1"/>
  <c r="M21" i="6"/>
  <c r="M23" i="6" s="1"/>
  <c r="N27" i="6"/>
  <c r="P26" i="6"/>
  <c r="P27" i="6" s="1"/>
  <c r="L36" i="6" l="1"/>
  <c r="N31" i="6"/>
  <c r="J38" i="6"/>
  <c r="J40" i="6"/>
  <c r="J42" i="6" s="1"/>
  <c r="J43" i="6" s="1"/>
  <c r="N18" i="6"/>
  <c r="D30" i="4" s="1"/>
  <c r="D33" i="4" s="1"/>
  <c r="P31" i="6" l="1"/>
  <c r="P36" i="6" s="1"/>
  <c r="N36" i="6"/>
  <c r="L38" i="6"/>
  <c r="L40" i="6"/>
  <c r="D36" i="4"/>
  <c r="D37" i="4"/>
  <c r="O21" i="6"/>
  <c r="O23" i="6" s="1"/>
  <c r="N21" i="6"/>
  <c r="N23" i="6" s="1"/>
  <c r="L42" i="6" l="1"/>
  <c r="L43" i="6" s="1"/>
  <c r="D17" i="4"/>
  <c r="N38" i="6"/>
  <c r="N40" i="6"/>
  <c r="D35" i="4" s="1"/>
  <c r="P38" i="6"/>
  <c r="P40" i="6"/>
  <c r="P18" i="6"/>
  <c r="P42" i="6" l="1"/>
  <c r="P43" i="6" s="1"/>
  <c r="D53" i="4"/>
  <c r="N42" i="6"/>
  <c r="N43" i="6"/>
  <c r="P21" i="6"/>
  <c r="P23" i="6" s="1"/>
  <c r="D48" i="4"/>
  <c r="D51" i="4" s="1"/>
  <c r="D54" i="4" l="1"/>
  <c r="D55" i="4"/>
  <c r="D49" i="1"/>
  <c r="D47" i="1"/>
  <c r="D31" i="1"/>
  <c r="D29" i="1"/>
  <c r="D11" i="1"/>
  <c r="H46" i="2" l="1"/>
  <c r="H32" i="2"/>
  <c r="L46" i="2"/>
  <c r="D32" i="2"/>
  <c r="J32" i="2"/>
  <c r="D46" i="2"/>
  <c r="C27" i="2"/>
  <c r="G27" i="2"/>
  <c r="E32" i="2"/>
  <c r="I32" i="2"/>
  <c r="C46" i="2"/>
  <c r="G46" i="2"/>
  <c r="K27" i="2"/>
  <c r="K46" i="2"/>
  <c r="F32" i="2"/>
  <c r="E27" i="2"/>
  <c r="I27" i="2"/>
  <c r="C32" i="2"/>
  <c r="G32" i="2"/>
  <c r="E46" i="2"/>
  <c r="I46" i="2"/>
  <c r="F27" i="2"/>
  <c r="J27" i="2"/>
  <c r="D27" i="2"/>
  <c r="H27" i="2"/>
  <c r="L27" i="2"/>
  <c r="F46" i="2"/>
  <c r="J46" i="2"/>
  <c r="L32" i="2"/>
  <c r="K32" i="2"/>
  <c r="D47" i="2" l="1"/>
  <c r="H47" i="2"/>
  <c r="E5" i="2"/>
  <c r="E47" i="2"/>
  <c r="I47" i="2"/>
  <c r="C47" i="2"/>
  <c r="J47" i="2"/>
  <c r="I5" i="2"/>
  <c r="L47" i="2"/>
  <c r="F47" i="2"/>
  <c r="K5" i="2"/>
  <c r="G47" i="2"/>
  <c r="G5" i="2"/>
  <c r="C5" i="2"/>
  <c r="K47" i="2"/>
  <c r="D51" i="1" l="1"/>
  <c r="D50" i="1"/>
  <c r="A46" i="1"/>
  <c r="A47" i="1" s="1"/>
  <c r="A48" i="1" s="1"/>
  <c r="A49" i="1" s="1"/>
  <c r="A50" i="1" s="1"/>
  <c r="A51" i="1" s="1"/>
  <c r="A52" i="1" s="1"/>
  <c r="A54" i="1" s="1"/>
  <c r="D33" i="1"/>
  <c r="D32" i="1"/>
  <c r="A28" i="1"/>
  <c r="A29" i="1" s="1"/>
  <c r="A30" i="1" s="1"/>
  <c r="A31" i="1" s="1"/>
  <c r="A32" i="1" s="1"/>
  <c r="A33" i="1" s="1"/>
  <c r="A34" i="1" s="1"/>
  <c r="A36" i="1" s="1"/>
  <c r="D15" i="1"/>
  <c r="D14" i="1"/>
  <c r="A10" i="1"/>
  <c r="A11" i="1" s="1"/>
  <c r="A12" i="1" s="1"/>
  <c r="A13" i="1" s="1"/>
  <c r="A14" i="1" s="1"/>
  <c r="A15" i="1" s="1"/>
  <c r="A16" i="1" s="1"/>
  <c r="A18" i="1" s="1"/>
  <c r="D16" i="1" l="1"/>
  <c r="D52" i="1"/>
  <c r="D34" i="1"/>
  <c r="D18" i="1" l="1"/>
  <c r="D10" i="5" s="1"/>
  <c r="D36" i="1"/>
  <c r="D11" i="5" s="1"/>
  <c r="D54" i="1"/>
  <c r="D12" i="5" s="1"/>
  <c r="D38" i="4"/>
  <c r="D56" i="4"/>
  <c r="D13" i="5" l="1"/>
  <c r="D58" i="4"/>
  <c r="B12" i="5" s="1"/>
  <c r="E12" i="5" s="1"/>
  <c r="D40" i="4"/>
  <c r="B11" i="5" s="1"/>
  <c r="E11" i="5" s="1"/>
  <c r="D15" i="4"/>
  <c r="D19" i="4" l="1"/>
  <c r="D18" i="4"/>
  <c r="D20" i="4" s="1"/>
  <c r="D22" i="4" s="1"/>
  <c r="B10" i="5" s="1"/>
  <c r="E10" i="5" l="1"/>
  <c r="F12" i="5" s="1"/>
  <c r="B13" i="5"/>
  <c r="F10" i="5" l="1"/>
  <c r="F11" i="5"/>
</calcChain>
</file>

<file path=xl/sharedStrings.xml><?xml version="1.0" encoding="utf-8"?>
<sst xmlns="http://schemas.openxmlformats.org/spreadsheetml/2006/main" count="403" uniqueCount="189">
  <si>
    <t>Rate Year</t>
  </si>
  <si>
    <t>TEP OpEx</t>
  </si>
  <si>
    <t>TEP Cap and Depr</t>
  </si>
  <si>
    <t>Annual Total</t>
  </si>
  <si>
    <t>Stand Alone Revenue Requirement Calculation 2023</t>
  </si>
  <si>
    <t>Reference</t>
  </si>
  <si>
    <t>Weighted Average Cost of Debt</t>
  </si>
  <si>
    <t>SEF-8 page 2 line 22</t>
  </si>
  <si>
    <t>Requested Rate of Return</t>
  </si>
  <si>
    <t>SEF-8 page 2 line 24</t>
  </si>
  <si>
    <t>Gross Plant Balance</t>
  </si>
  <si>
    <t>From Tab EV Adj</t>
  </si>
  <si>
    <t>Accumulated Depreciation</t>
  </si>
  <si>
    <t>Accumulated Deferred Income Tax</t>
  </si>
  <si>
    <t>Rate Year  Rate Base</t>
  </si>
  <si>
    <t xml:space="preserve">NOI of Plant Costs </t>
  </si>
  <si>
    <t>From Tab EV-  Net Costs x 79%</t>
  </si>
  <si>
    <t>Tax Benefit of Proforma Interest</t>
  </si>
  <si>
    <t>Line 2 x 7 x 21%</t>
  </si>
  <si>
    <t>Return on Rate Base</t>
  </si>
  <si>
    <t>Line 3 x 7</t>
  </si>
  <si>
    <t xml:space="preserve">     Total Rate Base Related Costs</t>
  </si>
  <si>
    <t>Pre-tax grossed up for Revenue Sensitive Items</t>
  </si>
  <si>
    <t>Line 12 ÷ 79% ÷ 0.952348</t>
  </si>
  <si>
    <t>Electric Conversion Factor</t>
  </si>
  <si>
    <t>Stand Alone Revenue Requirement Calculation 2024</t>
  </si>
  <si>
    <t>Stand Alone Revenue Requirement Calculation 2025</t>
  </si>
  <si>
    <t>SEF-21 page 2</t>
  </si>
  <si>
    <t>SEF-21 page 2 x 79%</t>
  </si>
  <si>
    <t>Line 2 x 4 x 21%</t>
  </si>
  <si>
    <t>Line 3 x 4</t>
  </si>
  <si>
    <t>Line 9 ÷ 79% ÷ 0.952348</t>
  </si>
  <si>
    <t>From tab OpEx F x 79%</t>
  </si>
  <si>
    <t>2022-2026 Opex by Business Unit - Draft</t>
  </si>
  <si>
    <t xml:space="preserve">Business Unit </t>
  </si>
  <si>
    <t>Sum of 2022</t>
  </si>
  <si>
    <t>Sum of 2023</t>
  </si>
  <si>
    <t>Sum of 2024</t>
  </si>
  <si>
    <t>Sum of 2025</t>
  </si>
  <si>
    <t>Exhibit No. SEF-21 page 1 of 2</t>
  </si>
  <si>
    <t>Program Detail of Provisional Pro Forma Rate Base and Depreciation Expense - Electric</t>
  </si>
  <si>
    <t>Column Reference</t>
  </si>
  <si>
    <t>Name</t>
  </si>
  <si>
    <t>Witness</t>
  </si>
  <si>
    <t>Programmatic (Adjustments 6.31)</t>
  </si>
  <si>
    <t>Rate Base (EOP)</t>
  </si>
  <si>
    <t>Dep Exp</t>
  </si>
  <si>
    <t>Rate Base (AMA)</t>
  </si>
  <si>
    <t>AMI Meters and Modules Deployment - Electric</t>
  </si>
  <si>
    <t>AMI Meters and Modules Deployment - Common</t>
  </si>
  <si>
    <t>Capacity Electric</t>
  </si>
  <si>
    <t>C Koch</t>
  </si>
  <si>
    <t>Colstrip 3&amp;4</t>
  </si>
  <si>
    <t>Roberts</t>
  </si>
  <si>
    <t>Customer Sited Energy Storage</t>
  </si>
  <si>
    <t>Einstein</t>
  </si>
  <si>
    <t>Data Center Hardware Refresh</t>
  </si>
  <si>
    <t>Tamayo</t>
  </si>
  <si>
    <t>DER Microgrid Circuit Enablement</t>
  </si>
  <si>
    <t>Emergent Electric</t>
  </si>
  <si>
    <t>EV Circuit</t>
  </si>
  <si>
    <t>Grid Modernization</t>
  </si>
  <si>
    <t>GTZ</t>
  </si>
  <si>
    <t>IT Operational Program - Electric</t>
  </si>
  <si>
    <t>IT Operational Program - Common</t>
  </si>
  <si>
    <t>Major Projects Electric</t>
  </si>
  <si>
    <t>Bamba</t>
  </si>
  <si>
    <t>Resilience Enhancement</t>
  </si>
  <si>
    <t>TEP</t>
  </si>
  <si>
    <t>UG Feeders</t>
  </si>
  <si>
    <t>Subtotal Programmatic</t>
  </si>
  <si>
    <t>Programmatic - Customer Driven (Adjustments 6.32)</t>
  </si>
  <si>
    <t>CIAC - Electric</t>
  </si>
  <si>
    <t>Customer Construction Electric</t>
  </si>
  <si>
    <t>PI Electric</t>
  </si>
  <si>
    <t>Subtotal Programmatic - Customer Driven</t>
  </si>
  <si>
    <t>Specific (Adjustments 6.33)</t>
  </si>
  <si>
    <t>Bainbridge Tlines Trans</t>
  </si>
  <si>
    <t>Control Center</t>
  </si>
  <si>
    <t>Reyes</t>
  </si>
  <si>
    <t>Energize Eastside</t>
  </si>
  <si>
    <t>D Koch</t>
  </si>
  <si>
    <t>Fredonia Hot Gas Path</t>
  </si>
  <si>
    <t>Carlson</t>
  </si>
  <si>
    <t>Goldendale MM</t>
  </si>
  <si>
    <t>Lower Baker Dam Grouting Program</t>
  </si>
  <si>
    <t>Blood</t>
  </si>
  <si>
    <t>Mint Farm MM</t>
  </si>
  <si>
    <t>Rooftop Solar</t>
  </si>
  <si>
    <t>Sammamish Juanita 115Kv Tline</t>
  </si>
  <si>
    <t>SAP S/4 Hana</t>
  </si>
  <si>
    <t>Thurston Transmission Capacity</t>
  </si>
  <si>
    <t>Transport Network Modernization</t>
  </si>
  <si>
    <t>Subtotal Specific</t>
  </si>
  <si>
    <t>Total Project Detail</t>
  </si>
  <si>
    <t>Check Programmatic</t>
  </si>
  <si>
    <t>Check Programmatic Customer</t>
  </si>
  <si>
    <t>Check Specific</t>
  </si>
  <si>
    <t>PUGET SOUND ENERGY-ELECTRIC</t>
  </si>
  <si>
    <t>ELECTRIC VEHICLE</t>
  </si>
  <si>
    <t>FOR THE TWELVE MONTHS ENDED JUNE 30, 2021</t>
  </si>
  <si>
    <t>GENERAL RATE CASE</t>
  </si>
  <si>
    <t>AMA JUN 2021</t>
  </si>
  <si>
    <t>EOP JUN 2021</t>
  </si>
  <si>
    <t>EOP DEC 2021</t>
  </si>
  <si>
    <t>EOP DEC 2022</t>
  </si>
  <si>
    <t>AMA 2023</t>
  </si>
  <si>
    <t>AMA DEC 2023</t>
  </si>
  <si>
    <t>AMA 2024</t>
  </si>
  <si>
    <t>AMA DEC 2024</t>
  </si>
  <si>
    <t>AMA 2025</t>
  </si>
  <si>
    <t>AMA DEC 2025</t>
  </si>
  <si>
    <t>DEC 2021</t>
  </si>
  <si>
    <t>ADJUSTED</t>
  </si>
  <si>
    <t>12ME JUNE 2021</t>
  </si>
  <si>
    <t>RESTATED</t>
  </si>
  <si>
    <t>TRADITIONAL</t>
  </si>
  <si>
    <t>GAP YEAR</t>
  </si>
  <si>
    <t>RESULTS</t>
  </si>
  <si>
    <t>RATE YEAR 1</t>
  </si>
  <si>
    <t>RATE YEAR 2</t>
  </si>
  <si>
    <t>RATE YEAR 3</t>
  </si>
  <si>
    <t>LINE</t>
  </si>
  <si>
    <t>TEST</t>
  </si>
  <si>
    <t>RESTATING</t>
  </si>
  <si>
    <t>RESULTS OF</t>
  </si>
  <si>
    <t>PROFORMA</t>
  </si>
  <si>
    <t>PROVISIONAL</t>
  </si>
  <si>
    <t>START OF</t>
  </si>
  <si>
    <t>END OF</t>
  </si>
  <si>
    <t>NO.</t>
  </si>
  <si>
    <t>DESCRIPTION</t>
  </si>
  <si>
    <t>%'s</t>
  </si>
  <si>
    <t>YEAR</t>
  </si>
  <si>
    <t>ADJUSTMENTS</t>
  </si>
  <si>
    <t>OPERATIONS</t>
  </si>
  <si>
    <t>a</t>
  </si>
  <si>
    <t>b</t>
  </si>
  <si>
    <t>c = a + b</t>
  </si>
  <si>
    <t>d</t>
  </si>
  <si>
    <t>e = c + d</t>
  </si>
  <si>
    <t>f</t>
  </si>
  <si>
    <t>g = e + f</t>
  </si>
  <si>
    <t>h</t>
  </si>
  <si>
    <t>i = g + h</t>
  </si>
  <si>
    <t>j</t>
  </si>
  <si>
    <t>k = i + j</t>
  </si>
  <si>
    <t>l</t>
  </si>
  <si>
    <t>m = k + l</t>
  </si>
  <si>
    <t>RATEBASE (AMA) UTILITY PLANT RATEBASE</t>
  </si>
  <si>
    <t>DEFERRALS</t>
  </si>
  <si>
    <t>NET EV PROGRAM COSTS DEFERRAL</t>
  </si>
  <si>
    <t xml:space="preserve">    ACCUM AMORT ON NET EV PROGRAM COSTS DEFERRAL</t>
  </si>
  <si>
    <t xml:space="preserve">    DFIT ON NET EV PROGRAM COSTS DEFERRAL </t>
  </si>
  <si>
    <t>TOTAL DEPRECIATION DEFERRALS</t>
  </si>
  <si>
    <t>NET RATEBASE (TOTAL UTILITY PLANT + TOTAL DEFERRALS)</t>
  </si>
  <si>
    <t>OTHER REVENUES</t>
  </si>
  <si>
    <t>REMOVE SCHEDULE 551 REVENUE DEFERRAL</t>
  </si>
  <si>
    <t>TOTAL OTHER REVENUES</t>
  </si>
  <si>
    <t>OPERATING EXPENSE</t>
  </si>
  <si>
    <t>REMOVE NET COST DEFERRAL</t>
  </si>
  <si>
    <t>AMORTIZATION OF NET EV PROGRAM COSTS DEFERRAL</t>
  </si>
  <si>
    <t>AMORTIZATION OF RETURN ON INVESTMENT OF PLANT IN SERVICE DEFERRAL</t>
  </si>
  <si>
    <t>EV INCENTIVE RATE OF RETURN</t>
  </si>
  <si>
    <t>AMORTIZATION OF DEFERRED CARRYING CHARGES ON NET DEFERRED COSTS</t>
  </si>
  <si>
    <t>TOTAL OPERATING EXPENSES</t>
  </si>
  <si>
    <t>INCREASE (DECREASE ) EXPENSE</t>
  </si>
  <si>
    <t>(INCREASE) DECREASE NOI</t>
  </si>
  <si>
    <t>INCREASE (DECREASE) FIT @</t>
  </si>
  <si>
    <t>INCREASE (DECREASE) NOI</t>
  </si>
  <si>
    <t>Cumulative Total</t>
  </si>
  <si>
    <t>Total</t>
  </si>
  <si>
    <r>
      <t>Electric Vehicle Program</t>
    </r>
    <r>
      <rPr>
        <vertAlign val="superscript"/>
        <sz val="11"/>
        <color theme="1"/>
        <rFont val="Calibri"/>
        <family val="2"/>
      </rPr>
      <t>1</t>
    </r>
  </si>
  <si>
    <r>
      <t>Opex related to Capex</t>
    </r>
    <r>
      <rPr>
        <vertAlign val="superscript"/>
        <sz val="11"/>
        <color theme="1"/>
        <rFont val="Calibri"/>
        <family val="2"/>
      </rPr>
      <t>2</t>
    </r>
  </si>
  <si>
    <t>1 Up and Go forecasted Opex as included in the O&amp;M Forecast included in the exhibits of Josh Kensok.</t>
  </si>
  <si>
    <t>2 TEP Opex amounts are a component of the Opex related to Capex Program as included in the O&amp;M Forecast included in the exhibits of Josh Kensok.</t>
  </si>
  <si>
    <t>Attachment A to PSE's First Revised Response to WUTC Data Request No. 053</t>
  </si>
  <si>
    <t>TE Pilot Program Deferral</t>
  </si>
  <si>
    <t>TOTALS</t>
  </si>
  <si>
    <t>Exhibit ASR-3: PSE Transportation Electrification Revenue Requirment Calculation</t>
  </si>
  <si>
    <t>Dockets UE-220066, UG-220067, UG-210918</t>
  </si>
  <si>
    <t>Exh. ASR-3</t>
  </si>
  <si>
    <t>Page 1 of 7</t>
  </si>
  <si>
    <t>Page 7 of 7</t>
  </si>
  <si>
    <t>Page 6 of 7</t>
  </si>
  <si>
    <t>Page 5 of 7</t>
  </si>
  <si>
    <t>Page 4 of 7</t>
  </si>
  <si>
    <t>Page 3 of 7</t>
  </si>
  <si>
    <t>Page 2 of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</si>
</sst>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PAGE&quot;\ 0.00"/>
    <numFmt numFmtId="167" formatCode="0.000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8">
    <xf numFmtId="0" fontId="0" fillId="0" borderId="0" xfId="0"/>
    <xf numFmtId="0" fontId="0" fillId="0" borderId="4" xfId="0" applyBorder="1"/>
    <xf numFmtId="0" fontId="0" fillId="0" borderId="5" xfId="0" applyBorder="1"/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indent="1"/>
    </xf>
    <xf numFmtId="164" fontId="3" fillId="2" borderId="0" xfId="0" applyNumberFormat="1" applyFont="1" applyFill="1" applyBorder="1"/>
    <xf numFmtId="165" fontId="3" fillId="2" borderId="9" xfId="0" applyNumberFormat="1" applyFont="1" applyFill="1" applyBorder="1"/>
    <xf numFmtId="0" fontId="3" fillId="2" borderId="10" xfId="0" applyFont="1" applyFill="1" applyBorder="1" applyAlignment="1">
      <alignment horizontal="left" indent="1"/>
    </xf>
    <xf numFmtId="165" fontId="3" fillId="2" borderId="0" xfId="0" applyNumberFormat="1" applyFont="1" applyFill="1" applyBorder="1"/>
    <xf numFmtId="164" fontId="3" fillId="2" borderId="11" xfId="0" applyNumberFormat="1" applyFont="1" applyFill="1" applyBorder="1"/>
    <xf numFmtId="0" fontId="3" fillId="2" borderId="5" xfId="0" quotePrefix="1" applyFont="1" applyFill="1" applyBorder="1" applyAlignment="1">
      <alignment horizontal="left" indent="1"/>
    </xf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/>
    <xf numFmtId="5" fontId="3" fillId="2" borderId="9" xfId="0" applyNumberFormat="1" applyFont="1" applyFill="1" applyBorder="1"/>
    <xf numFmtId="0" fontId="3" fillId="2" borderId="10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/>
    <xf numFmtId="5" fontId="3" fillId="2" borderId="14" xfId="0" applyNumberFormat="1" applyFont="1" applyFill="1" applyBorder="1"/>
    <xf numFmtId="0" fontId="3" fillId="2" borderId="15" xfId="0" applyFont="1" applyFill="1" applyBorder="1"/>
    <xf numFmtId="0" fontId="1" fillId="3" borderId="0" xfId="0" applyFont="1" applyFill="1"/>
    <xf numFmtId="37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Continuous"/>
    </xf>
    <xf numFmtId="0" fontId="1" fillId="3" borderId="9" xfId="0" applyFont="1" applyFill="1" applyBorder="1" applyAlignment="1">
      <alignment horizontal="centerContinuous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0" fillId="3" borderId="0" xfId="0" applyFill="1" applyAlignment="1">
      <alignment horizontal="left" indent="1"/>
    </xf>
    <xf numFmtId="164" fontId="0" fillId="4" borderId="0" xfId="0" applyNumberFormat="1" applyFill="1"/>
    <xf numFmtId="164" fontId="0" fillId="3" borderId="0" xfId="0" applyNumberFormat="1" applyFill="1"/>
    <xf numFmtId="165" fontId="0" fillId="4" borderId="0" xfId="0" applyNumberFormat="1" applyFill="1"/>
    <xf numFmtId="165" fontId="0" fillId="3" borderId="0" xfId="0" applyNumberFormat="1" applyFill="1"/>
    <xf numFmtId="165" fontId="0" fillId="4" borderId="16" xfId="0" applyNumberFormat="1" applyFill="1" applyBorder="1"/>
    <xf numFmtId="165" fontId="0" fillId="3" borderId="16" xfId="0" applyNumberFormat="1" applyFill="1" applyBorder="1"/>
    <xf numFmtId="0" fontId="0" fillId="4" borderId="0" xfId="0" applyFill="1"/>
    <xf numFmtId="165" fontId="0" fillId="4" borderId="7" xfId="0" applyNumberFormat="1" applyFill="1" applyBorder="1"/>
    <xf numFmtId="165" fontId="0" fillId="3" borderId="7" xfId="0" applyNumberFormat="1" applyFill="1" applyBorder="1"/>
    <xf numFmtId="164" fontId="0" fillId="4" borderId="17" xfId="0" applyNumberFormat="1" applyFill="1" applyBorder="1"/>
    <xf numFmtId="164" fontId="0" fillId="3" borderId="17" xfId="0" applyNumberFormat="1" applyFill="1" applyBorder="1"/>
    <xf numFmtId="0" fontId="4" fillId="3" borderId="0" xfId="0" applyFont="1" applyFill="1" applyAlignment="1">
      <alignment horizontal="right"/>
    </xf>
    <xf numFmtId="37" fontId="4" fillId="3" borderId="0" xfId="0" applyNumberFormat="1" applyFont="1" applyFill="1"/>
    <xf numFmtId="0" fontId="5" fillId="0" borderId="0" xfId="0" applyFont="1"/>
    <xf numFmtId="165" fontId="3" fillId="2" borderId="11" xfId="0" applyNumberFormat="1" applyFont="1" applyFill="1" applyBorder="1"/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165" fontId="0" fillId="0" borderId="19" xfId="0" applyNumberFormat="1" applyFont="1" applyBorder="1"/>
    <xf numFmtId="0" fontId="0" fillId="0" borderId="23" xfId="0" applyBorder="1" applyAlignment="1">
      <alignment horizontal="center"/>
    </xf>
    <xf numFmtId="165" fontId="0" fillId="0" borderId="18" xfId="0" applyNumberFormat="1" applyFont="1" applyBorder="1"/>
    <xf numFmtId="0" fontId="0" fillId="0" borderId="24" xfId="0" applyBorder="1" applyAlignment="1">
      <alignment horizontal="center"/>
    </xf>
    <xf numFmtId="165" fontId="0" fillId="0" borderId="25" xfId="0" applyNumberFormat="1" applyFont="1" applyBorder="1"/>
    <xf numFmtId="0" fontId="7" fillId="0" borderId="0" xfId="0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centerContinuous"/>
      <protection locked="0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26" xfId="0" applyFont="1" applyBorder="1"/>
    <xf numFmtId="0" fontId="8" fillId="0" borderId="27" xfId="0" applyFont="1" applyBorder="1"/>
    <xf numFmtId="17" fontId="7" fillId="0" borderId="27" xfId="0" applyNumberFormat="1" applyFont="1" applyBorder="1" applyAlignment="1">
      <alignment horizontal="center"/>
    </xf>
    <xf numFmtId="0" fontId="7" fillId="0" borderId="28" xfId="0" quotePrefix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7" fillId="0" borderId="0" xfId="0" applyFont="1" applyProtection="1">
      <protection locked="0"/>
    </xf>
    <xf numFmtId="0" fontId="7" fillId="0" borderId="29" xfId="0" applyFont="1" applyBorder="1" applyAlignment="1">
      <alignment horizontal="center"/>
    </xf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7" fillId="0" borderId="9" xfId="0" quotePrefix="1" applyFont="1" applyBorder="1" applyAlignment="1" applyProtection="1">
      <alignment horizontal="center"/>
      <protection locked="0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8" fillId="0" borderId="0" xfId="0" applyFont="1" applyAlignment="1" applyProtection="1">
      <alignment horizontal="fill"/>
      <protection locked="0"/>
    </xf>
    <xf numFmtId="0" fontId="8" fillId="0" borderId="1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8" fillId="0" borderId="0" xfId="0" applyNumberFormat="1" applyFont="1"/>
    <xf numFmtId="0" fontId="8" fillId="0" borderId="0" xfId="0" applyFont="1" applyAlignment="1">
      <alignment horizontal="left" indent="2"/>
    </xf>
    <xf numFmtId="41" fontId="8" fillId="0" borderId="0" xfId="0" applyNumberFormat="1" applyFont="1"/>
    <xf numFmtId="9" fontId="8" fillId="0" borderId="0" xfId="0" applyNumberFormat="1" applyFont="1"/>
    <xf numFmtId="0" fontId="8" fillId="0" borderId="0" xfId="0" applyFont="1" applyAlignment="1">
      <alignment horizontal="left" indent="1"/>
    </xf>
    <xf numFmtId="41" fontId="8" fillId="0" borderId="7" xfId="0" applyNumberFormat="1" applyFont="1" applyBorder="1"/>
    <xf numFmtId="0" fontId="8" fillId="0" borderId="0" xfId="0" applyFont="1" applyAlignment="1">
      <alignment horizontal="left"/>
    </xf>
    <xf numFmtId="42" fontId="8" fillId="0" borderId="35" xfId="0" applyNumberFormat="1" applyFont="1" applyBorder="1"/>
    <xf numFmtId="0" fontId="10" fillId="0" borderId="0" xfId="0" applyFont="1" applyAlignment="1">
      <alignment horizontal="left" indent="2"/>
    </xf>
    <xf numFmtId="42" fontId="10" fillId="0" borderId="0" xfId="0" applyNumberFormat="1" applyFont="1"/>
    <xf numFmtId="41" fontId="6" fillId="0" borderId="0" xfId="0" applyNumberFormat="1" applyFont="1"/>
    <xf numFmtId="42" fontId="8" fillId="0" borderId="7" xfId="0" applyNumberFormat="1" applyFont="1" applyBorder="1"/>
    <xf numFmtId="42" fontId="10" fillId="0" borderId="7" xfId="0" applyNumberFormat="1" applyFont="1" applyBorder="1"/>
    <xf numFmtId="41" fontId="6" fillId="0" borderId="7" xfId="0" applyNumberFormat="1" applyFont="1" applyBorder="1"/>
    <xf numFmtId="0" fontId="8" fillId="0" borderId="0" xfId="0" applyFont="1"/>
    <xf numFmtId="42" fontId="8" fillId="0" borderId="0" xfId="0" applyNumberFormat="1" applyFont="1"/>
    <xf numFmtId="10" fontId="8" fillId="0" borderId="0" xfId="0" applyNumberFormat="1" applyFont="1" applyAlignment="1">
      <alignment horizontal="right"/>
    </xf>
    <xf numFmtId="41" fontId="10" fillId="0" borderId="7" xfId="0" applyNumberFormat="1" applyFont="1" applyBorder="1"/>
    <xf numFmtId="41" fontId="8" fillId="0" borderId="9" xfId="0" applyNumberFormat="1" applyFont="1" applyBorder="1" applyProtection="1">
      <protection locked="0"/>
    </xf>
    <xf numFmtId="164" fontId="8" fillId="0" borderId="17" xfId="0" applyNumberFormat="1" applyFont="1" applyBorder="1"/>
    <xf numFmtId="10" fontId="6" fillId="0" borderId="36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0" xfId="0" applyFont="1" applyFill="1"/>
    <xf numFmtId="0" fontId="2" fillId="2" borderId="0" xfId="0" applyFont="1" applyFill="1"/>
    <xf numFmtId="10" fontId="3" fillId="2" borderId="0" xfId="0" applyNumberFormat="1" applyFont="1" applyFill="1"/>
    <xf numFmtId="41" fontId="3" fillId="2" borderId="0" xfId="0" applyNumberFormat="1" applyFont="1" applyFill="1"/>
    <xf numFmtId="5" fontId="3" fillId="2" borderId="0" xfId="0" applyNumberFormat="1" applyFont="1" applyFill="1"/>
    <xf numFmtId="0" fontId="11" fillId="0" borderId="0" xfId="0" applyFont="1"/>
    <xf numFmtId="0" fontId="1" fillId="0" borderId="0" xfId="0" applyFont="1"/>
    <xf numFmtId="164" fontId="0" fillId="0" borderId="0" xfId="0" applyNumberFormat="1"/>
    <xf numFmtId="165" fontId="0" fillId="0" borderId="19" xfId="0" applyNumberFormat="1" applyFont="1" applyFill="1" applyBorder="1"/>
    <xf numFmtId="165" fontId="0" fillId="0" borderId="18" xfId="0" applyNumberFormat="1" applyFont="1" applyFill="1" applyBorder="1"/>
    <xf numFmtId="165" fontId="0" fillId="0" borderId="25" xfId="0" applyNumberFormat="1" applyFont="1" applyFill="1" applyBorder="1"/>
    <xf numFmtId="0" fontId="12" fillId="5" borderId="11" xfId="0" applyFont="1" applyFill="1" applyBorder="1" applyAlignment="1">
      <alignment horizontal="center"/>
    </xf>
    <xf numFmtId="0" fontId="1" fillId="0" borderId="37" xfId="0" applyFont="1" applyBorder="1" applyAlignment="1">
      <alignment horizontal="center" wrapText="1"/>
    </xf>
    <xf numFmtId="165" fontId="0" fillId="0" borderId="38" xfId="0" applyNumberFormat="1" applyFont="1" applyFill="1" applyBorder="1"/>
    <xf numFmtId="165" fontId="0" fillId="0" borderId="39" xfId="0" applyNumberFormat="1" applyFont="1" applyFill="1" applyBorder="1"/>
    <xf numFmtId="165" fontId="0" fillId="0" borderId="40" xfId="0" applyNumberFormat="1" applyFont="1" applyFill="1" applyBorder="1"/>
    <xf numFmtId="44" fontId="0" fillId="0" borderId="0" xfId="2" applyFont="1"/>
    <xf numFmtId="43" fontId="0" fillId="0" borderId="0" xfId="1" applyFont="1"/>
    <xf numFmtId="44" fontId="0" fillId="0" borderId="0" xfId="0" applyNumberFormat="1"/>
    <xf numFmtId="167" fontId="0" fillId="0" borderId="0" xfId="3" applyNumberFormat="1" applyFont="1"/>
    <xf numFmtId="0" fontId="0" fillId="0" borderId="0" xfId="0" applyFill="1"/>
    <xf numFmtId="165" fontId="0" fillId="0" borderId="0" xfId="0" applyNumberFormat="1"/>
    <xf numFmtId="164" fontId="0" fillId="0" borderId="0" xfId="0" applyNumberFormat="1" applyFill="1"/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zoomScaleNormal="100" workbookViewId="0">
      <selection activeCell="H23" sqref="H23"/>
    </sheetView>
  </sheetViews>
  <sheetFormatPr defaultRowHeight="15" x14ac:dyDescent="0.25"/>
  <cols>
    <col min="2" max="2" width="12.5703125" bestFit="1" customWidth="1"/>
    <col min="3" max="3" width="11.85546875" customWidth="1"/>
    <col min="4" max="4" width="11.5703125" bestFit="1" customWidth="1"/>
    <col min="5" max="5" width="12.5703125" customWidth="1"/>
    <col min="6" max="6" width="11.5703125" bestFit="1" customWidth="1"/>
  </cols>
  <sheetData>
    <row r="1" spans="1:6" x14ac:dyDescent="0.25">
      <c r="F1" s="136" t="s">
        <v>181</v>
      </c>
    </row>
    <row r="2" spans="1:6" x14ac:dyDescent="0.25">
      <c r="F2" s="136" t="s">
        <v>180</v>
      </c>
    </row>
    <row r="3" spans="1:6" x14ac:dyDescent="0.25">
      <c r="F3" s="136" t="s">
        <v>182</v>
      </c>
    </row>
    <row r="5" spans="1:6" ht="31.5" customHeight="1" x14ac:dyDescent="0.25">
      <c r="A5" s="137" t="s">
        <v>179</v>
      </c>
      <c r="B5" s="137"/>
      <c r="C5" s="137"/>
      <c r="D5" s="137"/>
      <c r="E5" s="137"/>
      <c r="F5" s="137"/>
    </row>
    <row r="7" spans="1:6" x14ac:dyDescent="0.25">
      <c r="A7" s="119" t="s">
        <v>176</v>
      </c>
    </row>
    <row r="8" spans="1:6" ht="15.75" thickBot="1" x14ac:dyDescent="0.3"/>
    <row r="9" spans="1:6" ht="45.75" thickBot="1" x14ac:dyDescent="0.3">
      <c r="A9" s="51" t="s">
        <v>0</v>
      </c>
      <c r="B9" s="52" t="s">
        <v>177</v>
      </c>
      <c r="C9" s="52" t="s">
        <v>1</v>
      </c>
      <c r="D9" s="52" t="s">
        <v>2</v>
      </c>
      <c r="E9" s="125" t="s">
        <v>3</v>
      </c>
      <c r="F9" s="125" t="s">
        <v>170</v>
      </c>
    </row>
    <row r="10" spans="1:6" x14ac:dyDescent="0.25">
      <c r="A10" s="53">
        <v>2023</v>
      </c>
      <c r="B10" s="121">
        <f>'Rev Req - Deferral'!D22</f>
        <v>2761998.18039783</v>
      </c>
      <c r="C10" s="121">
        <f>'Rev Req - TEP OpEx'!D18</f>
        <v>8470567.4816348646</v>
      </c>
      <c r="D10" s="54">
        <f>'Rev Req - TEP Cap'!D18</f>
        <v>1205793.6322680523</v>
      </c>
      <c r="E10" s="54">
        <f>B10+C10+D10</f>
        <v>12438359.294300746</v>
      </c>
      <c r="F10" s="126">
        <f>SUM($E$10:E10)</f>
        <v>12438359.294300746</v>
      </c>
    </row>
    <row r="11" spans="1:6" x14ac:dyDescent="0.25">
      <c r="A11" s="55">
        <v>2024</v>
      </c>
      <c r="B11" s="122">
        <f>'Rev Req - Deferral'!D40</f>
        <v>2811487.4499075166</v>
      </c>
      <c r="C11" s="122">
        <f>'Rev Req - TEP OpEx'!D36</f>
        <v>11031958.90577814</v>
      </c>
      <c r="D11" s="56">
        <f>'Rev Req - TEP Cap'!D36</f>
        <v>3985214.9677434424</v>
      </c>
      <c r="E11" s="56">
        <f>B11+C11+D11</f>
        <v>17828661.3234291</v>
      </c>
      <c r="F11" s="127">
        <f>SUM($E$10:E11)</f>
        <v>30267020.617729846</v>
      </c>
    </row>
    <row r="12" spans="1:6" ht="15.75" thickBot="1" x14ac:dyDescent="0.3">
      <c r="A12" s="57">
        <v>2025</v>
      </c>
      <c r="B12" s="123">
        <f>'Rev Req - Deferral'!D58</f>
        <v>2996459.4720788398</v>
      </c>
      <c r="C12" s="123">
        <f>'Rev Req - TEP OpEx'!D54</f>
        <v>10422415.96559241</v>
      </c>
      <c r="D12" s="58">
        <f>'Rev Req - TEP Cap'!D54</f>
        <v>7000585.2981023099</v>
      </c>
      <c r="E12" s="58">
        <f>B12+C12+D12</f>
        <v>20419460.73577356</v>
      </c>
      <c r="F12" s="128">
        <f>SUM($E$10:E12)</f>
        <v>50686481.353503406</v>
      </c>
    </row>
    <row r="13" spans="1:6" x14ac:dyDescent="0.25">
      <c r="A13" s="119" t="s">
        <v>178</v>
      </c>
      <c r="B13" s="134">
        <f>SUM(B10:B12)</f>
        <v>8569945.1023841854</v>
      </c>
      <c r="C13" s="134">
        <f t="shared" ref="C13:D13" si="0">SUM(C10:C12)</f>
        <v>29924942.353005413</v>
      </c>
      <c r="D13" s="134">
        <f t="shared" si="0"/>
        <v>12191593.898113806</v>
      </c>
      <c r="E13" s="134"/>
    </row>
    <row r="14" spans="1:6" x14ac:dyDescent="0.25">
      <c r="E14" s="134"/>
    </row>
  </sheetData>
  <mergeCells count="1">
    <mergeCell ref="A5:F5"/>
  </mergeCells>
  <pageMargins left="0.7" right="0.7" top="0.75" bottom="0.75" header="0.3" footer="0.3"/>
  <pageSetup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zoomScaleNormal="100" workbookViewId="0">
      <selection activeCell="E4" sqref="E4"/>
    </sheetView>
  </sheetViews>
  <sheetFormatPr defaultRowHeight="15" x14ac:dyDescent="0.25"/>
  <cols>
    <col min="1" max="1" width="4.28515625" bestFit="1" customWidth="1"/>
    <col min="2" max="2" width="38" bestFit="1" customWidth="1"/>
    <col min="3" max="3" width="9.140625" bestFit="1" customWidth="1"/>
    <col min="4" max="4" width="12.42578125" bestFit="1" customWidth="1"/>
    <col min="5" max="5" width="31.5703125" bestFit="1" customWidth="1"/>
    <col min="7" max="7" width="12.5703125" bestFit="1" customWidth="1"/>
  </cols>
  <sheetData>
    <row r="1" spans="1:5" x14ac:dyDescent="0.25">
      <c r="E1" s="136" t="s">
        <v>181</v>
      </c>
    </row>
    <row r="2" spans="1:5" x14ac:dyDescent="0.25">
      <c r="E2" s="136" t="s">
        <v>180</v>
      </c>
    </row>
    <row r="3" spans="1:5" x14ac:dyDescent="0.25">
      <c r="E3" s="136" t="s">
        <v>188</v>
      </c>
    </row>
    <row r="4" spans="1:5" ht="15.75" thickBot="1" x14ac:dyDescent="0.3"/>
    <row r="5" spans="1:5" x14ac:dyDescent="0.25">
      <c r="A5" s="110"/>
      <c r="B5" s="111"/>
      <c r="C5" s="111"/>
      <c r="D5" s="111"/>
      <c r="E5" s="112"/>
    </row>
    <row r="6" spans="1:5" x14ac:dyDescent="0.25">
      <c r="A6" s="1"/>
      <c r="E6" s="2"/>
    </row>
    <row r="7" spans="1:5" x14ac:dyDescent="0.25">
      <c r="A7" s="3" t="s">
        <v>4</v>
      </c>
      <c r="B7" s="4"/>
      <c r="C7" s="4"/>
      <c r="D7" s="5"/>
      <c r="E7" s="6"/>
    </row>
    <row r="8" spans="1:5" x14ac:dyDescent="0.25">
      <c r="A8" s="7">
        <v>1</v>
      </c>
      <c r="B8" s="113"/>
      <c r="C8" s="113"/>
      <c r="D8" s="114"/>
      <c r="E8" s="8" t="s">
        <v>5</v>
      </c>
    </row>
    <row r="9" spans="1:5" x14ac:dyDescent="0.25">
      <c r="A9" s="7">
        <v>2</v>
      </c>
      <c r="B9" s="113" t="s">
        <v>6</v>
      </c>
      <c r="C9" s="113"/>
      <c r="D9" s="115">
        <v>2.5399999999999999E-2</v>
      </c>
      <c r="E9" s="9" t="s">
        <v>7</v>
      </c>
    </row>
    <row r="10" spans="1:5" x14ac:dyDescent="0.25">
      <c r="A10" s="7">
        <f t="shared" ref="A10:A20" si="0">+A9+1</f>
        <v>3</v>
      </c>
      <c r="B10" s="113" t="s">
        <v>8</v>
      </c>
      <c r="C10" s="113"/>
      <c r="D10" s="115">
        <v>7.3899999999999993E-2</v>
      </c>
      <c r="E10" s="9" t="s">
        <v>9</v>
      </c>
    </row>
    <row r="11" spans="1:5" x14ac:dyDescent="0.25">
      <c r="A11" s="7"/>
      <c r="B11" s="113"/>
      <c r="C11" s="113"/>
      <c r="D11" s="115"/>
      <c r="E11" s="9"/>
    </row>
    <row r="12" spans="1:5" x14ac:dyDescent="0.25">
      <c r="A12" s="7">
        <f>+A10+1</f>
        <v>4</v>
      </c>
      <c r="B12" s="113" t="s">
        <v>10</v>
      </c>
      <c r="C12" s="113"/>
      <c r="D12" s="10">
        <f>'EV Adj'!L18</f>
        <v>7815569.6239626957</v>
      </c>
      <c r="E12" s="9" t="s">
        <v>11</v>
      </c>
    </row>
    <row r="13" spans="1:5" x14ac:dyDescent="0.25">
      <c r="A13" s="7">
        <f>+A12+1</f>
        <v>5</v>
      </c>
      <c r="B13" s="113" t="s">
        <v>12</v>
      </c>
      <c r="C13" s="113"/>
      <c r="D13" s="116">
        <f>'EV Adj'!L19</f>
        <v>-976946.20299533708</v>
      </c>
      <c r="E13" s="9" t="s">
        <v>11</v>
      </c>
    </row>
    <row r="14" spans="1:5" x14ac:dyDescent="0.25">
      <c r="A14" s="7">
        <f t="shared" si="0"/>
        <v>6</v>
      </c>
      <c r="B14" s="113" t="s">
        <v>13</v>
      </c>
      <c r="C14" s="113"/>
      <c r="D14" s="11">
        <f>'EV Adj'!L20</f>
        <v>-1436110.9184031466</v>
      </c>
      <c r="E14" s="12" t="s">
        <v>11</v>
      </c>
    </row>
    <row r="15" spans="1:5" x14ac:dyDescent="0.25">
      <c r="A15" s="7">
        <f t="shared" si="0"/>
        <v>7</v>
      </c>
      <c r="B15" s="113" t="s">
        <v>14</v>
      </c>
      <c r="C15" s="113"/>
      <c r="D15" s="10">
        <f>SUM(D12:D14)</f>
        <v>5402512.5025642123</v>
      </c>
      <c r="E15" s="9"/>
    </row>
    <row r="16" spans="1:5" x14ac:dyDescent="0.25">
      <c r="A16" s="7">
        <f t="shared" si="0"/>
        <v>8</v>
      </c>
      <c r="B16" s="113"/>
      <c r="C16" s="113"/>
      <c r="D16" s="113"/>
      <c r="E16" s="9"/>
    </row>
    <row r="17" spans="1:5" x14ac:dyDescent="0.25">
      <c r="A17" s="7">
        <f t="shared" si="0"/>
        <v>9</v>
      </c>
      <c r="B17" s="113" t="s">
        <v>15</v>
      </c>
      <c r="C17" s="113"/>
      <c r="D17" s="10">
        <f>'EV Adj'!L40*0.79</f>
        <v>-1707574.2478025374</v>
      </c>
      <c r="E17" s="9" t="s">
        <v>16</v>
      </c>
    </row>
    <row r="18" spans="1:5" x14ac:dyDescent="0.25">
      <c r="A18" s="7">
        <f t="shared" si="0"/>
        <v>10</v>
      </c>
      <c r="B18" s="113" t="s">
        <v>17</v>
      </c>
      <c r="C18" s="113"/>
      <c r="D18" s="13">
        <f>+D15*D9*0.21</f>
        <v>28817.001688677508</v>
      </c>
      <c r="E18" s="9" t="s">
        <v>18</v>
      </c>
    </row>
    <row r="19" spans="1:5" x14ac:dyDescent="0.25">
      <c r="A19" s="7">
        <f t="shared" si="0"/>
        <v>11</v>
      </c>
      <c r="B19" s="113" t="s">
        <v>19</v>
      </c>
      <c r="C19" s="113"/>
      <c r="D19" s="11">
        <f>-D15*D10</f>
        <v>-399245.67393949523</v>
      </c>
      <c r="E19" s="12" t="s">
        <v>20</v>
      </c>
    </row>
    <row r="20" spans="1:5" x14ac:dyDescent="0.25">
      <c r="A20" s="7">
        <f t="shared" si="0"/>
        <v>12</v>
      </c>
      <c r="B20" s="113" t="s">
        <v>21</v>
      </c>
      <c r="C20" s="113"/>
      <c r="D20" s="10">
        <f>-D17-D18-D19</f>
        <v>2078002.9200533549</v>
      </c>
      <c r="E20" s="15"/>
    </row>
    <row r="21" spans="1:5" ht="15.75" thickBot="1" x14ac:dyDescent="0.3">
      <c r="A21" s="7"/>
      <c r="B21" s="113"/>
      <c r="C21" s="113"/>
      <c r="D21" s="117"/>
      <c r="E21" s="9"/>
    </row>
    <row r="22" spans="1:5" ht="15.75" thickBot="1" x14ac:dyDescent="0.3">
      <c r="A22" s="7">
        <f>+A20+1</f>
        <v>13</v>
      </c>
      <c r="B22" s="113" t="s">
        <v>22</v>
      </c>
      <c r="C22" s="113"/>
      <c r="D22" s="50">
        <f>+D20/0.79/0.952348</f>
        <v>2761998.18039783</v>
      </c>
      <c r="E22" s="9" t="s">
        <v>23</v>
      </c>
    </row>
    <row r="23" spans="1:5" ht="15.75" thickBot="1" x14ac:dyDescent="0.3">
      <c r="A23" s="16"/>
      <c r="B23" s="17"/>
      <c r="C23" s="17"/>
      <c r="D23" s="18"/>
      <c r="E23" s="124" t="s">
        <v>24</v>
      </c>
    </row>
    <row r="24" spans="1:5" x14ac:dyDescent="0.25">
      <c r="A24" s="1"/>
      <c r="E24" s="2"/>
    </row>
    <row r="25" spans="1:5" x14ac:dyDescent="0.25">
      <c r="A25" s="3" t="s">
        <v>25</v>
      </c>
      <c r="B25" s="4"/>
      <c r="C25" s="4"/>
      <c r="D25" s="5"/>
      <c r="E25" s="6"/>
    </row>
    <row r="26" spans="1:5" x14ac:dyDescent="0.25">
      <c r="A26" s="7">
        <v>1</v>
      </c>
      <c r="B26" s="113"/>
      <c r="C26" s="113"/>
      <c r="D26" s="114"/>
      <c r="E26" s="8" t="s">
        <v>5</v>
      </c>
    </row>
    <row r="27" spans="1:5" x14ac:dyDescent="0.25">
      <c r="A27" s="7">
        <v>2</v>
      </c>
      <c r="B27" s="113" t="s">
        <v>6</v>
      </c>
      <c r="C27" s="113"/>
      <c r="D27" s="115">
        <v>2.5399999999999999E-2</v>
      </c>
      <c r="E27" s="9" t="s">
        <v>7</v>
      </c>
    </row>
    <row r="28" spans="1:5" x14ac:dyDescent="0.25">
      <c r="A28" s="7">
        <f t="shared" ref="A28:A38" si="1">+A27+1</f>
        <v>3</v>
      </c>
      <c r="B28" s="113" t="s">
        <v>8</v>
      </c>
      <c r="C28" s="113"/>
      <c r="D28" s="115">
        <v>7.4399999999999994E-2</v>
      </c>
      <c r="E28" s="9" t="s">
        <v>9</v>
      </c>
    </row>
    <row r="29" spans="1:5" x14ac:dyDescent="0.25">
      <c r="A29" s="7"/>
      <c r="B29" s="113"/>
      <c r="C29" s="113"/>
      <c r="D29" s="115"/>
      <c r="E29" s="9"/>
    </row>
    <row r="30" spans="1:5" x14ac:dyDescent="0.25">
      <c r="A30" s="7">
        <f>+A28+1</f>
        <v>4</v>
      </c>
      <c r="B30" s="113" t="s">
        <v>10</v>
      </c>
      <c r="C30" s="113"/>
      <c r="D30" s="10">
        <f>'EV Adj'!N18</f>
        <v>7815569.6239626957</v>
      </c>
      <c r="E30" s="9" t="s">
        <v>11</v>
      </c>
    </row>
    <row r="31" spans="1:5" x14ac:dyDescent="0.25">
      <c r="A31" s="7">
        <f>+A30+1</f>
        <v>5</v>
      </c>
      <c r="B31" s="113" t="s">
        <v>12</v>
      </c>
      <c r="C31" s="113"/>
      <c r="D31" s="116">
        <f>'EV Adj'!N19</f>
        <v>-2930838.6089860122</v>
      </c>
      <c r="E31" s="9" t="s">
        <v>11</v>
      </c>
    </row>
    <row r="32" spans="1:5" x14ac:dyDescent="0.25">
      <c r="A32" s="7">
        <f t="shared" si="1"/>
        <v>6</v>
      </c>
      <c r="B32" s="113" t="s">
        <v>13</v>
      </c>
      <c r="C32" s="113"/>
      <c r="D32" s="11">
        <f>'EV Adj'!N20</f>
        <v>-1025793.5131451056</v>
      </c>
      <c r="E32" s="12" t="s">
        <v>11</v>
      </c>
    </row>
    <row r="33" spans="1:5" x14ac:dyDescent="0.25">
      <c r="A33" s="7">
        <f t="shared" si="1"/>
        <v>7</v>
      </c>
      <c r="B33" s="113" t="s">
        <v>14</v>
      </c>
      <c r="C33" s="113"/>
      <c r="D33" s="10">
        <f>SUM(D30:D32)</f>
        <v>3858937.5018315786</v>
      </c>
      <c r="E33" s="9"/>
    </row>
    <row r="34" spans="1:5" x14ac:dyDescent="0.25">
      <c r="A34" s="7">
        <f t="shared" si="1"/>
        <v>8</v>
      </c>
      <c r="B34" s="113"/>
      <c r="C34" s="113"/>
      <c r="D34" s="113"/>
      <c r="E34" s="9"/>
    </row>
    <row r="35" spans="1:5" x14ac:dyDescent="0.25">
      <c r="A35" s="7">
        <f t="shared" si="1"/>
        <v>9</v>
      </c>
      <c r="B35" s="113" t="s">
        <v>15</v>
      </c>
      <c r="C35" s="113"/>
      <c r="D35" s="10">
        <f>'EV Adj'!N40*0.79</f>
        <v>-1848715.0379546739</v>
      </c>
      <c r="E35" s="9" t="s">
        <v>16</v>
      </c>
    </row>
    <row r="36" spans="1:5" x14ac:dyDescent="0.25">
      <c r="A36" s="7">
        <f t="shared" si="1"/>
        <v>10</v>
      </c>
      <c r="B36" s="113" t="s">
        <v>17</v>
      </c>
      <c r="C36" s="113"/>
      <c r="D36" s="13">
        <f>+D33*D27*0.21</f>
        <v>20583.57263476964</v>
      </c>
      <c r="E36" s="9" t="s">
        <v>18</v>
      </c>
    </row>
    <row r="37" spans="1:5" x14ac:dyDescent="0.25">
      <c r="A37" s="7">
        <f t="shared" si="1"/>
        <v>11</v>
      </c>
      <c r="B37" s="113" t="s">
        <v>19</v>
      </c>
      <c r="C37" s="113"/>
      <c r="D37" s="11">
        <f>-D33*D28</f>
        <v>-287104.95013626944</v>
      </c>
      <c r="E37" s="12" t="s">
        <v>20</v>
      </c>
    </row>
    <row r="38" spans="1:5" x14ac:dyDescent="0.25">
      <c r="A38" s="7">
        <f t="shared" si="1"/>
        <v>12</v>
      </c>
      <c r="B38" s="113" t="s">
        <v>21</v>
      </c>
      <c r="C38" s="113"/>
      <c r="D38" s="10">
        <f>-D35-D36-D37</f>
        <v>2115236.4154561739</v>
      </c>
      <c r="E38" s="15"/>
    </row>
    <row r="39" spans="1:5" ht="15.75" thickBot="1" x14ac:dyDescent="0.3">
      <c r="A39" s="7"/>
      <c r="B39" s="113"/>
      <c r="C39" s="113"/>
      <c r="D39" s="117"/>
      <c r="E39" s="9"/>
    </row>
    <row r="40" spans="1:5" ht="15.75" thickBot="1" x14ac:dyDescent="0.3">
      <c r="A40" s="7">
        <f>+A38+1</f>
        <v>13</v>
      </c>
      <c r="B40" s="113" t="s">
        <v>22</v>
      </c>
      <c r="C40" s="113"/>
      <c r="D40" s="14">
        <f>+D38/0.79/0.952348</f>
        <v>2811487.4499075166</v>
      </c>
      <c r="E40" s="9" t="s">
        <v>23</v>
      </c>
    </row>
    <row r="41" spans="1:5" ht="15.75" thickBot="1" x14ac:dyDescent="0.3">
      <c r="A41" s="16"/>
      <c r="B41" s="17"/>
      <c r="C41" s="17"/>
      <c r="D41" s="18"/>
      <c r="E41" s="124" t="s">
        <v>24</v>
      </c>
    </row>
    <row r="42" spans="1:5" x14ac:dyDescent="0.25">
      <c r="A42" s="1"/>
      <c r="E42" s="2"/>
    </row>
    <row r="43" spans="1:5" x14ac:dyDescent="0.25">
      <c r="A43" s="3" t="s">
        <v>26</v>
      </c>
      <c r="B43" s="4"/>
      <c r="C43" s="4"/>
      <c r="D43" s="5"/>
      <c r="E43" s="6"/>
    </row>
    <row r="44" spans="1:5" x14ac:dyDescent="0.25">
      <c r="A44" s="7">
        <v>1</v>
      </c>
      <c r="B44" s="113"/>
      <c r="C44" s="113"/>
      <c r="D44" s="114"/>
      <c r="E44" s="8" t="s">
        <v>5</v>
      </c>
    </row>
    <row r="45" spans="1:5" x14ac:dyDescent="0.25">
      <c r="A45" s="7">
        <v>2</v>
      </c>
      <c r="B45" s="113" t="s">
        <v>6</v>
      </c>
      <c r="C45" s="113"/>
      <c r="D45" s="115">
        <v>2.5399999999999999E-2</v>
      </c>
      <c r="E45" s="9" t="s">
        <v>7</v>
      </c>
    </row>
    <row r="46" spans="1:5" x14ac:dyDescent="0.25">
      <c r="A46" s="7">
        <f t="shared" ref="A46:A56" si="2">+A45+1</f>
        <v>3</v>
      </c>
      <c r="B46" s="113" t="s">
        <v>8</v>
      </c>
      <c r="C46" s="113"/>
      <c r="D46" s="115">
        <v>7.4899999999999994E-2</v>
      </c>
      <c r="E46" s="9" t="s">
        <v>9</v>
      </c>
    </row>
    <row r="47" spans="1:5" x14ac:dyDescent="0.25">
      <c r="A47" s="7"/>
      <c r="B47" s="113"/>
      <c r="C47" s="113"/>
      <c r="D47" s="115"/>
      <c r="E47" s="9"/>
    </row>
    <row r="48" spans="1:5" x14ac:dyDescent="0.25">
      <c r="A48" s="7">
        <f>+A46+1</f>
        <v>4</v>
      </c>
      <c r="B48" s="113" t="s">
        <v>10</v>
      </c>
      <c r="C48" s="113"/>
      <c r="D48" s="116">
        <f>'EV Adj'!P18</f>
        <v>7815569.6239626957</v>
      </c>
      <c r="E48" s="9" t="s">
        <v>11</v>
      </c>
    </row>
    <row r="49" spans="1:7" x14ac:dyDescent="0.25">
      <c r="A49" s="7">
        <f>+A48+1</f>
        <v>5</v>
      </c>
      <c r="B49" s="113" t="s">
        <v>12</v>
      </c>
      <c r="C49" s="113"/>
      <c r="D49" s="116">
        <f>'EV Adj'!P19</f>
        <v>-4884731.0149766868</v>
      </c>
      <c r="E49" s="9" t="s">
        <v>11</v>
      </c>
    </row>
    <row r="50" spans="1:7" x14ac:dyDescent="0.25">
      <c r="A50" s="7">
        <f t="shared" si="2"/>
        <v>6</v>
      </c>
      <c r="B50" s="113" t="s">
        <v>13</v>
      </c>
      <c r="C50" s="113"/>
      <c r="D50" s="11">
        <f>'EV Adj'!P20</f>
        <v>-615476.10788706492</v>
      </c>
      <c r="E50" s="12" t="s">
        <v>11</v>
      </c>
    </row>
    <row r="51" spans="1:7" x14ac:dyDescent="0.25">
      <c r="A51" s="7">
        <f t="shared" si="2"/>
        <v>7</v>
      </c>
      <c r="B51" s="113" t="s">
        <v>14</v>
      </c>
      <c r="C51" s="113"/>
      <c r="D51" s="10">
        <f>SUM(D48:D50)</f>
        <v>2315362.5010989439</v>
      </c>
      <c r="E51" s="9"/>
    </row>
    <row r="52" spans="1:7" x14ac:dyDescent="0.25">
      <c r="A52" s="7">
        <f t="shared" si="2"/>
        <v>8</v>
      </c>
      <c r="B52" s="113"/>
      <c r="C52" s="113"/>
      <c r="D52" s="113"/>
      <c r="E52" s="9"/>
    </row>
    <row r="53" spans="1:7" x14ac:dyDescent="0.25">
      <c r="A53" s="7">
        <f t="shared" si="2"/>
        <v>9</v>
      </c>
      <c r="B53" s="113" t="s">
        <v>15</v>
      </c>
      <c r="C53" s="113"/>
      <c r="D53" s="10">
        <f>'EV Adj'!P40*0.79</f>
        <v>-2093330.5186476689</v>
      </c>
      <c r="E53" s="9" t="s">
        <v>16</v>
      </c>
    </row>
    <row r="54" spans="1:7" x14ac:dyDescent="0.25">
      <c r="A54" s="7">
        <f t="shared" si="2"/>
        <v>10</v>
      </c>
      <c r="B54" s="113" t="s">
        <v>17</v>
      </c>
      <c r="C54" s="113"/>
      <c r="D54" s="13">
        <f>+D51*D45*0.21</f>
        <v>12350.143580861766</v>
      </c>
      <c r="E54" s="9" t="s">
        <v>18</v>
      </c>
    </row>
    <row r="55" spans="1:7" x14ac:dyDescent="0.25">
      <c r="A55" s="7">
        <f t="shared" si="2"/>
        <v>11</v>
      </c>
      <c r="B55" s="113" t="s">
        <v>19</v>
      </c>
      <c r="C55" s="113"/>
      <c r="D55" s="11">
        <f>-D51*D46</f>
        <v>-173420.6513323109</v>
      </c>
      <c r="E55" s="12" t="s">
        <v>20</v>
      </c>
    </row>
    <row r="56" spans="1:7" x14ac:dyDescent="0.25">
      <c r="A56" s="7">
        <f t="shared" si="2"/>
        <v>12</v>
      </c>
      <c r="B56" s="113" t="s">
        <v>21</v>
      </c>
      <c r="C56" s="113"/>
      <c r="D56" s="10">
        <f>-D53-D54-D55</f>
        <v>2254401.0263991179</v>
      </c>
      <c r="E56" s="15"/>
    </row>
    <row r="57" spans="1:7" ht="15.75" thickBot="1" x14ac:dyDescent="0.3">
      <c r="A57" s="7"/>
      <c r="B57" s="113"/>
      <c r="C57" s="113"/>
      <c r="D57" s="117"/>
      <c r="E57" s="9"/>
    </row>
    <row r="58" spans="1:7" ht="15.75" thickBot="1" x14ac:dyDescent="0.3">
      <c r="A58" s="7">
        <f>+A56+1</f>
        <v>13</v>
      </c>
      <c r="B58" s="113" t="s">
        <v>22</v>
      </c>
      <c r="C58" s="113"/>
      <c r="D58" s="14">
        <f>+D56/0.79/0.952348</f>
        <v>2996459.4720788398</v>
      </c>
      <c r="E58" s="9" t="s">
        <v>23</v>
      </c>
      <c r="G58" s="120"/>
    </row>
    <row r="59" spans="1:7" ht="15.75" thickBot="1" x14ac:dyDescent="0.3">
      <c r="A59" s="20"/>
      <c r="B59" s="21"/>
      <c r="C59" s="21"/>
      <c r="D59" s="22"/>
      <c r="E59" s="124" t="s">
        <v>24</v>
      </c>
    </row>
    <row r="60" spans="1:7" x14ac:dyDescent="0.25">
      <c r="G60" s="120"/>
    </row>
  </sheetData>
  <pageMargins left="0.7" right="0.7" top="0.75" bottom="0.75" header="0.3" footer="0.3"/>
  <pageSetup scale="78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"/>
  <sheetViews>
    <sheetView zoomScaleNormal="100" workbookViewId="0">
      <selection activeCell="E4" sqref="E4"/>
    </sheetView>
  </sheetViews>
  <sheetFormatPr defaultRowHeight="15" x14ac:dyDescent="0.25"/>
  <cols>
    <col min="1" max="1" width="4.7109375" customWidth="1"/>
    <col min="2" max="2" width="39.7109375" bestFit="1" customWidth="1"/>
    <col min="4" max="4" width="12.42578125" bestFit="1" customWidth="1"/>
    <col min="5" max="5" width="31.5703125" bestFit="1" customWidth="1"/>
    <col min="7" max="7" width="12.5703125" bestFit="1" customWidth="1"/>
  </cols>
  <sheetData>
    <row r="1" spans="1:5" x14ac:dyDescent="0.25">
      <c r="E1" s="136" t="s">
        <v>181</v>
      </c>
    </row>
    <row r="2" spans="1:5" x14ac:dyDescent="0.25">
      <c r="E2" s="136" t="s">
        <v>180</v>
      </c>
    </row>
    <row r="3" spans="1:5" x14ac:dyDescent="0.25">
      <c r="E3" s="136" t="s">
        <v>187</v>
      </c>
    </row>
    <row r="4" spans="1:5" ht="15.75" thickBot="1" x14ac:dyDescent="0.3"/>
    <row r="5" spans="1:5" x14ac:dyDescent="0.25">
      <c r="A5" s="110"/>
      <c r="B5" s="111"/>
      <c r="C5" s="111"/>
      <c r="D5" s="111"/>
      <c r="E5" s="112"/>
    </row>
    <row r="6" spans="1:5" x14ac:dyDescent="0.25">
      <c r="A6" s="1"/>
      <c r="E6" s="2"/>
    </row>
    <row r="7" spans="1:5" x14ac:dyDescent="0.25">
      <c r="A7" s="3" t="s">
        <v>4</v>
      </c>
      <c r="B7" s="4"/>
      <c r="C7" s="4"/>
      <c r="D7" s="5"/>
      <c r="E7" s="6"/>
    </row>
    <row r="8" spans="1:5" x14ac:dyDescent="0.25">
      <c r="A8" s="7">
        <v>1</v>
      </c>
      <c r="B8" s="113"/>
      <c r="C8" s="113"/>
      <c r="D8" s="114"/>
      <c r="E8" s="8" t="s">
        <v>5</v>
      </c>
    </row>
    <row r="9" spans="1:5" x14ac:dyDescent="0.25">
      <c r="A9" s="7">
        <v>2</v>
      </c>
      <c r="B9" s="113" t="s">
        <v>6</v>
      </c>
      <c r="C9" s="113"/>
      <c r="D9" s="115">
        <v>2.5399999999999999E-2</v>
      </c>
      <c r="E9" s="9" t="s">
        <v>7</v>
      </c>
    </row>
    <row r="10" spans="1:5" x14ac:dyDescent="0.25">
      <c r="A10" s="7">
        <f t="shared" ref="A10:A16" si="0">+A9+1</f>
        <v>3</v>
      </c>
      <c r="B10" s="113" t="s">
        <v>8</v>
      </c>
      <c r="C10" s="113"/>
      <c r="D10" s="115">
        <v>7.3899999999999993E-2</v>
      </c>
      <c r="E10" s="9" t="s">
        <v>9</v>
      </c>
    </row>
    <row r="11" spans="1:5" x14ac:dyDescent="0.25">
      <c r="A11" s="7">
        <f t="shared" si="0"/>
        <v>4</v>
      </c>
      <c r="B11" s="113" t="s">
        <v>14</v>
      </c>
      <c r="C11" s="113"/>
      <c r="D11" s="10">
        <f>'Prov Proforma SEF-21'!G25</f>
        <v>4734679.1900000004</v>
      </c>
      <c r="E11" s="9" t="s">
        <v>27</v>
      </c>
    </row>
    <row r="12" spans="1:5" x14ac:dyDescent="0.25">
      <c r="A12" s="7">
        <f t="shared" si="0"/>
        <v>5</v>
      </c>
      <c r="B12" s="113"/>
      <c r="C12" s="113"/>
      <c r="D12" s="113"/>
      <c r="E12" s="9"/>
    </row>
    <row r="13" spans="1:5" x14ac:dyDescent="0.25">
      <c r="A13" s="7">
        <f t="shared" si="0"/>
        <v>6</v>
      </c>
      <c r="B13" s="113" t="s">
        <v>15</v>
      </c>
      <c r="C13" s="113"/>
      <c r="D13" s="10">
        <f>-'Prov Proforma SEF-21'!H25*0.79</f>
        <v>-582546.75840000005</v>
      </c>
      <c r="E13" s="9" t="s">
        <v>28</v>
      </c>
    </row>
    <row r="14" spans="1:5" x14ac:dyDescent="0.25">
      <c r="A14" s="7">
        <f t="shared" si="0"/>
        <v>7</v>
      </c>
      <c r="B14" s="113" t="s">
        <v>17</v>
      </c>
      <c r="C14" s="113"/>
      <c r="D14" s="13">
        <f>+D11*D9*0.21</f>
        <v>25254.77879946</v>
      </c>
      <c r="E14" s="9" t="s">
        <v>29</v>
      </c>
    </row>
    <row r="15" spans="1:5" x14ac:dyDescent="0.25">
      <c r="A15" s="7">
        <f t="shared" si="0"/>
        <v>8</v>
      </c>
      <c r="B15" s="113" t="s">
        <v>19</v>
      </c>
      <c r="C15" s="113"/>
      <c r="D15" s="11">
        <f>-D11*D10</f>
        <v>-349892.79214099998</v>
      </c>
      <c r="E15" s="12" t="s">
        <v>30</v>
      </c>
    </row>
    <row r="16" spans="1:5" x14ac:dyDescent="0.25">
      <c r="A16" s="7">
        <f t="shared" si="0"/>
        <v>9</v>
      </c>
      <c r="B16" s="113" t="s">
        <v>21</v>
      </c>
      <c r="C16" s="113"/>
      <c r="D16" s="10">
        <f>-D13-D14-D15</f>
        <v>907184.77174153994</v>
      </c>
      <c r="E16" s="9"/>
    </row>
    <row r="17" spans="1:5" ht="15.75" thickBot="1" x14ac:dyDescent="0.3">
      <c r="A17" s="7"/>
      <c r="B17" s="113"/>
      <c r="C17" s="113"/>
      <c r="D17" s="117"/>
      <c r="E17" s="9"/>
    </row>
    <row r="18" spans="1:5" ht="15.75" thickBot="1" x14ac:dyDescent="0.3">
      <c r="A18" s="7">
        <f>+A16+1</f>
        <v>10</v>
      </c>
      <c r="B18" s="113" t="s">
        <v>22</v>
      </c>
      <c r="C18" s="113"/>
      <c r="D18" s="14">
        <f>+D16/0.79/0.952348</f>
        <v>1205793.6322680523</v>
      </c>
      <c r="E18" s="9" t="s">
        <v>31</v>
      </c>
    </row>
    <row r="19" spans="1:5" ht="15.75" thickBot="1" x14ac:dyDescent="0.3">
      <c r="A19" s="7"/>
      <c r="B19" s="113"/>
      <c r="C19" s="113"/>
      <c r="D19" s="117"/>
      <c r="E19" s="124" t="s">
        <v>24</v>
      </c>
    </row>
    <row r="20" spans="1:5" x14ac:dyDescent="0.25">
      <c r="A20" s="7"/>
      <c r="B20" s="113"/>
      <c r="C20" s="113"/>
      <c r="D20" s="117"/>
      <c r="E20" s="15"/>
    </row>
    <row r="21" spans="1:5" x14ac:dyDescent="0.25">
      <c r="A21" s="7"/>
      <c r="B21" s="113"/>
      <c r="C21" s="113"/>
      <c r="D21" s="117"/>
      <c r="E21" s="9"/>
    </row>
    <row r="22" spans="1:5" x14ac:dyDescent="0.25">
      <c r="A22" s="7"/>
      <c r="B22" s="113"/>
      <c r="C22" s="113"/>
      <c r="D22" s="13"/>
      <c r="E22" s="9"/>
    </row>
    <row r="23" spans="1:5" x14ac:dyDescent="0.25">
      <c r="A23" s="16"/>
      <c r="B23" s="17"/>
      <c r="C23" s="17"/>
      <c r="D23" s="18"/>
      <c r="E23" s="19"/>
    </row>
    <row r="24" spans="1:5" x14ac:dyDescent="0.25">
      <c r="A24" s="1"/>
      <c r="E24" s="2"/>
    </row>
    <row r="25" spans="1:5" x14ac:dyDescent="0.25">
      <c r="A25" s="3" t="s">
        <v>25</v>
      </c>
      <c r="B25" s="4"/>
      <c r="C25" s="4"/>
      <c r="D25" s="5"/>
      <c r="E25" s="6"/>
    </row>
    <row r="26" spans="1:5" x14ac:dyDescent="0.25">
      <c r="A26" s="7">
        <v>1</v>
      </c>
      <c r="B26" s="113"/>
      <c r="C26" s="113"/>
      <c r="D26" s="114"/>
      <c r="E26" s="8" t="s">
        <v>5</v>
      </c>
    </row>
    <row r="27" spans="1:5" x14ac:dyDescent="0.25">
      <c r="A27" s="7">
        <v>2</v>
      </c>
      <c r="B27" s="113" t="s">
        <v>6</v>
      </c>
      <c r="C27" s="113"/>
      <c r="D27" s="115">
        <v>2.5399999999999999E-2</v>
      </c>
      <c r="E27" s="9" t="s">
        <v>7</v>
      </c>
    </row>
    <row r="28" spans="1:5" x14ac:dyDescent="0.25">
      <c r="A28" s="7">
        <f t="shared" ref="A28:A34" si="1">+A27+1</f>
        <v>3</v>
      </c>
      <c r="B28" s="113" t="s">
        <v>8</v>
      </c>
      <c r="C28" s="113"/>
      <c r="D28" s="115">
        <v>7.4399999999999994E-2</v>
      </c>
      <c r="E28" s="9" t="s">
        <v>9</v>
      </c>
    </row>
    <row r="29" spans="1:5" x14ac:dyDescent="0.25">
      <c r="A29" s="7">
        <f t="shared" si="1"/>
        <v>4</v>
      </c>
      <c r="B29" s="113" t="s">
        <v>14</v>
      </c>
      <c r="C29" s="113"/>
      <c r="D29" s="10">
        <f>'Prov Proforma SEF-21'!I25</f>
        <v>14886572.870000001</v>
      </c>
      <c r="E29" s="9" t="s">
        <v>27</v>
      </c>
    </row>
    <row r="30" spans="1:5" x14ac:dyDescent="0.25">
      <c r="A30" s="7">
        <f t="shared" si="1"/>
        <v>5</v>
      </c>
      <c r="B30" s="113"/>
      <c r="C30" s="113"/>
      <c r="D30" s="113"/>
      <c r="E30" s="9"/>
    </row>
    <row r="31" spans="1:5" x14ac:dyDescent="0.25">
      <c r="A31" s="7">
        <f t="shared" si="1"/>
        <v>6</v>
      </c>
      <c r="B31" s="113" t="s">
        <v>15</v>
      </c>
      <c r="C31" s="113"/>
      <c r="D31" s="10">
        <f>-'Prov Proforma SEF-21'!J25*0.79</f>
        <v>-1970140.0464000001</v>
      </c>
      <c r="E31" s="9" t="s">
        <v>28</v>
      </c>
    </row>
    <row r="32" spans="1:5" x14ac:dyDescent="0.25">
      <c r="A32" s="7">
        <f t="shared" si="1"/>
        <v>7</v>
      </c>
      <c r="B32" s="113" t="s">
        <v>17</v>
      </c>
      <c r="C32" s="113"/>
      <c r="D32" s="13">
        <f>+D29*D27*0.21</f>
        <v>79404.979688580002</v>
      </c>
      <c r="E32" s="9" t="s">
        <v>29</v>
      </c>
    </row>
    <row r="33" spans="1:5" x14ac:dyDescent="0.25">
      <c r="A33" s="7">
        <f t="shared" si="1"/>
        <v>8</v>
      </c>
      <c r="B33" s="113" t="s">
        <v>19</v>
      </c>
      <c r="C33" s="113"/>
      <c r="D33" s="11">
        <f>-D29*D28</f>
        <v>-1107561.021528</v>
      </c>
      <c r="E33" s="12" t="s">
        <v>30</v>
      </c>
    </row>
    <row r="34" spans="1:5" x14ac:dyDescent="0.25">
      <c r="A34" s="7">
        <f t="shared" si="1"/>
        <v>9</v>
      </c>
      <c r="B34" s="113" t="s">
        <v>21</v>
      </c>
      <c r="C34" s="113"/>
      <c r="D34" s="10">
        <f>-D31-D32-D33</f>
        <v>2998296.0882394202</v>
      </c>
      <c r="E34" s="9"/>
    </row>
    <row r="35" spans="1:5" ht="15.75" thickBot="1" x14ac:dyDescent="0.3">
      <c r="A35" s="7"/>
      <c r="B35" s="113"/>
      <c r="C35" s="113"/>
      <c r="D35" s="117"/>
      <c r="E35" s="9"/>
    </row>
    <row r="36" spans="1:5" ht="15.75" thickBot="1" x14ac:dyDescent="0.3">
      <c r="A36" s="7">
        <f>+A34+1</f>
        <v>10</v>
      </c>
      <c r="B36" s="113" t="s">
        <v>22</v>
      </c>
      <c r="C36" s="113"/>
      <c r="D36" s="14">
        <f>+D34/0.79/0.952348</f>
        <v>3985214.9677434424</v>
      </c>
      <c r="E36" s="9" t="s">
        <v>31</v>
      </c>
    </row>
    <row r="37" spans="1:5" ht="15.75" thickBot="1" x14ac:dyDescent="0.3">
      <c r="A37" s="7"/>
      <c r="B37" s="113"/>
      <c r="C37" s="113"/>
      <c r="D37" s="117"/>
      <c r="E37" s="124" t="s">
        <v>24</v>
      </c>
    </row>
    <row r="38" spans="1:5" x14ac:dyDescent="0.25">
      <c r="A38" s="7"/>
      <c r="B38" s="113"/>
      <c r="C38" s="113"/>
      <c r="D38" s="117"/>
      <c r="E38" s="15"/>
    </row>
    <row r="39" spans="1:5" x14ac:dyDescent="0.25">
      <c r="A39" s="7"/>
      <c r="B39" s="113"/>
      <c r="C39" s="113"/>
      <c r="D39" s="117"/>
      <c r="E39" s="9"/>
    </row>
    <row r="40" spans="1:5" x14ac:dyDescent="0.25">
      <c r="A40" s="7"/>
      <c r="B40" s="113"/>
      <c r="C40" s="113"/>
      <c r="D40" s="13"/>
      <c r="E40" s="9"/>
    </row>
    <row r="41" spans="1:5" x14ac:dyDescent="0.25">
      <c r="A41" s="16"/>
      <c r="B41" s="17"/>
      <c r="C41" s="17"/>
      <c r="D41" s="18"/>
      <c r="E41" s="19"/>
    </row>
    <row r="42" spans="1:5" x14ac:dyDescent="0.25">
      <c r="A42" s="1"/>
      <c r="E42" s="2"/>
    </row>
    <row r="43" spans="1:5" x14ac:dyDescent="0.25">
      <c r="A43" s="3" t="s">
        <v>26</v>
      </c>
      <c r="B43" s="4"/>
      <c r="C43" s="4"/>
      <c r="D43" s="5"/>
      <c r="E43" s="6"/>
    </row>
    <row r="44" spans="1:5" x14ac:dyDescent="0.25">
      <c r="A44" s="7">
        <v>1</v>
      </c>
      <c r="B44" s="113"/>
      <c r="C44" s="113"/>
      <c r="D44" s="114"/>
      <c r="E44" s="8" t="s">
        <v>5</v>
      </c>
    </row>
    <row r="45" spans="1:5" x14ac:dyDescent="0.25">
      <c r="A45" s="7">
        <v>2</v>
      </c>
      <c r="B45" s="113" t="s">
        <v>6</v>
      </c>
      <c r="C45" s="113"/>
      <c r="D45" s="115">
        <v>2.5399999999999999E-2</v>
      </c>
      <c r="E45" s="9" t="s">
        <v>7</v>
      </c>
    </row>
    <row r="46" spans="1:5" x14ac:dyDescent="0.25">
      <c r="A46" s="7">
        <f t="shared" ref="A46:A52" si="2">+A45+1</f>
        <v>3</v>
      </c>
      <c r="B46" s="113" t="s">
        <v>8</v>
      </c>
      <c r="C46" s="113"/>
      <c r="D46" s="115">
        <v>7.4899999999999994E-2</v>
      </c>
      <c r="E46" s="9" t="s">
        <v>9</v>
      </c>
    </row>
    <row r="47" spans="1:5" x14ac:dyDescent="0.25">
      <c r="A47" s="7">
        <f t="shared" si="2"/>
        <v>4</v>
      </c>
      <c r="B47" s="113" t="s">
        <v>14</v>
      </c>
      <c r="C47" s="113"/>
      <c r="D47" s="10">
        <f>'Prov Proforma SEF-21'!K25</f>
        <v>24527981.09</v>
      </c>
      <c r="E47" s="9" t="s">
        <v>27</v>
      </c>
    </row>
    <row r="48" spans="1:5" x14ac:dyDescent="0.25">
      <c r="A48" s="7">
        <f t="shared" si="2"/>
        <v>5</v>
      </c>
      <c r="B48" s="113"/>
      <c r="C48" s="113"/>
      <c r="D48" s="113"/>
      <c r="E48" s="9"/>
    </row>
    <row r="49" spans="1:7" x14ac:dyDescent="0.25">
      <c r="A49" s="7">
        <f t="shared" si="2"/>
        <v>6</v>
      </c>
      <c r="B49" s="113" t="s">
        <v>15</v>
      </c>
      <c r="C49" s="113"/>
      <c r="D49" s="10">
        <f>-'Prov Proforma SEF-21'!L25*0.79</f>
        <v>-3560611.2594000003</v>
      </c>
      <c r="E49" s="9" t="s">
        <v>28</v>
      </c>
    </row>
    <row r="50" spans="1:7" x14ac:dyDescent="0.25">
      <c r="A50" s="7">
        <f t="shared" si="2"/>
        <v>7</v>
      </c>
      <c r="B50" s="113" t="s">
        <v>17</v>
      </c>
      <c r="C50" s="113"/>
      <c r="D50" s="13">
        <f>+D47*D45*0.21</f>
        <v>130832.25113406</v>
      </c>
      <c r="E50" s="9" t="s">
        <v>29</v>
      </c>
    </row>
    <row r="51" spans="1:7" x14ac:dyDescent="0.25">
      <c r="A51" s="7">
        <f t="shared" si="2"/>
        <v>8</v>
      </c>
      <c r="B51" s="113" t="s">
        <v>19</v>
      </c>
      <c r="C51" s="113"/>
      <c r="D51" s="11">
        <f>-D47*D46</f>
        <v>-1837145.7836409998</v>
      </c>
      <c r="E51" s="12" t="s">
        <v>30</v>
      </c>
    </row>
    <row r="52" spans="1:7" x14ac:dyDescent="0.25">
      <c r="A52" s="7">
        <f t="shared" si="2"/>
        <v>9</v>
      </c>
      <c r="B52" s="113" t="s">
        <v>21</v>
      </c>
      <c r="C52" s="113"/>
      <c r="D52" s="10">
        <f>-D49-D50-D51</f>
        <v>5266924.7919069398</v>
      </c>
      <c r="E52" s="9"/>
    </row>
    <row r="53" spans="1:7" ht="15.75" thickBot="1" x14ac:dyDescent="0.3">
      <c r="A53" s="7"/>
      <c r="B53" s="113"/>
      <c r="C53" s="113"/>
      <c r="D53" s="117"/>
      <c r="E53" s="9"/>
    </row>
    <row r="54" spans="1:7" ht="15.75" thickBot="1" x14ac:dyDescent="0.3">
      <c r="A54" s="7">
        <f>+A52+1</f>
        <v>10</v>
      </c>
      <c r="B54" s="113" t="s">
        <v>22</v>
      </c>
      <c r="C54" s="113"/>
      <c r="D54" s="14">
        <f>+D52/0.79/0.952348</f>
        <v>7000585.2981023099</v>
      </c>
      <c r="E54" s="9" t="s">
        <v>31</v>
      </c>
      <c r="G54" s="120"/>
    </row>
    <row r="55" spans="1:7" ht="15.75" thickBot="1" x14ac:dyDescent="0.3">
      <c r="A55" s="7"/>
      <c r="B55" s="113"/>
      <c r="C55" s="113"/>
      <c r="D55" s="117"/>
      <c r="E55" s="124" t="s">
        <v>24</v>
      </c>
    </row>
    <row r="56" spans="1:7" x14ac:dyDescent="0.25">
      <c r="A56" s="7"/>
      <c r="B56" s="113"/>
      <c r="C56" s="113"/>
      <c r="D56" s="117"/>
      <c r="E56" s="15"/>
    </row>
    <row r="57" spans="1:7" x14ac:dyDescent="0.25">
      <c r="A57" s="7"/>
      <c r="B57" s="113"/>
      <c r="C57" s="113"/>
      <c r="D57" s="117"/>
      <c r="E57" s="9"/>
    </row>
    <row r="58" spans="1:7" x14ac:dyDescent="0.25">
      <c r="A58" s="7"/>
      <c r="B58" s="113"/>
      <c r="C58" s="113"/>
      <c r="D58" s="13"/>
      <c r="E58" s="9"/>
    </row>
    <row r="59" spans="1:7" ht="15.75" thickBot="1" x14ac:dyDescent="0.3">
      <c r="A59" s="20"/>
      <c r="B59" s="21"/>
      <c r="C59" s="21"/>
      <c r="D59" s="22"/>
      <c r="E59" s="23"/>
    </row>
  </sheetData>
  <pageMargins left="0.7" right="0.7" top="0.75" bottom="0.75" header="0.3" footer="0.3"/>
  <pageSetup scale="78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9"/>
  <sheetViews>
    <sheetView topLeftCell="A11" zoomScaleNormal="100" workbookViewId="0">
      <selection activeCell="C51" sqref="C51"/>
    </sheetView>
  </sheetViews>
  <sheetFormatPr defaultRowHeight="15" x14ac:dyDescent="0.25"/>
  <cols>
    <col min="1" max="1" width="4.7109375" customWidth="1"/>
    <col min="2" max="2" width="39.7109375" bestFit="1" customWidth="1"/>
    <col min="4" max="4" width="12.42578125" bestFit="1" customWidth="1"/>
    <col min="5" max="5" width="31.5703125" bestFit="1" customWidth="1"/>
    <col min="6" max="6" width="13.28515625" bestFit="1" customWidth="1"/>
    <col min="7" max="7" width="12.5703125" bestFit="1" customWidth="1"/>
    <col min="8" max="8" width="19" bestFit="1" customWidth="1"/>
    <col min="9" max="10" width="14.28515625" bestFit="1" customWidth="1"/>
  </cols>
  <sheetData>
    <row r="1" spans="1:6" x14ac:dyDescent="0.25">
      <c r="E1" s="136" t="s">
        <v>181</v>
      </c>
    </row>
    <row r="2" spans="1:6" x14ac:dyDescent="0.25">
      <c r="E2" s="136" t="s">
        <v>180</v>
      </c>
    </row>
    <row r="3" spans="1:6" x14ac:dyDescent="0.25">
      <c r="E3" s="136" t="s">
        <v>186</v>
      </c>
    </row>
    <row r="4" spans="1:6" ht="15.75" thickBot="1" x14ac:dyDescent="0.3"/>
    <row r="5" spans="1:6" x14ac:dyDescent="0.25">
      <c r="A5" s="110"/>
      <c r="B5" s="111"/>
      <c r="C5" s="111"/>
      <c r="D5" s="111"/>
      <c r="E5" s="112"/>
    </row>
    <row r="6" spans="1:6" x14ac:dyDescent="0.25">
      <c r="A6" s="1"/>
      <c r="E6" s="2"/>
    </row>
    <row r="7" spans="1:6" x14ac:dyDescent="0.25">
      <c r="A7" s="3" t="s">
        <v>4</v>
      </c>
      <c r="B7" s="4"/>
      <c r="C7" s="4"/>
      <c r="D7" s="5"/>
      <c r="E7" s="6"/>
    </row>
    <row r="8" spans="1:6" x14ac:dyDescent="0.25">
      <c r="A8" s="7">
        <v>1</v>
      </c>
      <c r="B8" s="113"/>
      <c r="C8" s="113"/>
      <c r="D8" s="114"/>
      <c r="E8" s="8" t="s">
        <v>5</v>
      </c>
    </row>
    <row r="9" spans="1:6" x14ac:dyDescent="0.25">
      <c r="A9" s="7">
        <v>2</v>
      </c>
      <c r="B9" s="113" t="s">
        <v>6</v>
      </c>
      <c r="C9" s="113"/>
      <c r="D9" s="115">
        <v>2.5399999999999999E-2</v>
      </c>
      <c r="E9" s="9" t="s">
        <v>7</v>
      </c>
    </row>
    <row r="10" spans="1:6" x14ac:dyDescent="0.25">
      <c r="A10" s="7">
        <f t="shared" ref="A10:A16" si="0">+A9+1</f>
        <v>3</v>
      </c>
      <c r="B10" s="113" t="s">
        <v>8</v>
      </c>
      <c r="C10" s="113"/>
      <c r="D10" s="115">
        <v>7.3899999999999993E-2</v>
      </c>
      <c r="E10" s="9" t="s">
        <v>9</v>
      </c>
    </row>
    <row r="11" spans="1:6" x14ac:dyDescent="0.25">
      <c r="A11" s="7">
        <f t="shared" si="0"/>
        <v>4</v>
      </c>
      <c r="B11" s="113" t="s">
        <v>14</v>
      </c>
      <c r="C11" s="113"/>
      <c r="D11" s="10"/>
      <c r="E11" s="9" t="s">
        <v>27</v>
      </c>
    </row>
    <row r="12" spans="1:6" x14ac:dyDescent="0.25">
      <c r="A12" s="7">
        <f t="shared" si="0"/>
        <v>5</v>
      </c>
      <c r="B12" s="113"/>
      <c r="C12" s="113"/>
      <c r="D12" s="113"/>
      <c r="E12" s="9"/>
    </row>
    <row r="13" spans="1:6" x14ac:dyDescent="0.25">
      <c r="A13" s="7">
        <f t="shared" si="0"/>
        <v>6</v>
      </c>
      <c r="B13" s="113" t="s">
        <v>15</v>
      </c>
      <c r="C13" s="113"/>
      <c r="D13" s="10">
        <f>-'OpEx F'!C10*0.79</f>
        <v>-6372873.1200000001</v>
      </c>
      <c r="E13" s="9" t="s">
        <v>32</v>
      </c>
      <c r="F13" s="132"/>
    </row>
    <row r="14" spans="1:6" x14ac:dyDescent="0.25">
      <c r="A14" s="7">
        <f t="shared" si="0"/>
        <v>7</v>
      </c>
      <c r="B14" s="113" t="s">
        <v>17</v>
      </c>
      <c r="C14" s="113"/>
      <c r="D14" s="13">
        <f>+D11*D9*0.21</f>
        <v>0</v>
      </c>
      <c r="E14" s="9" t="s">
        <v>29</v>
      </c>
    </row>
    <row r="15" spans="1:6" x14ac:dyDescent="0.25">
      <c r="A15" s="7">
        <f t="shared" si="0"/>
        <v>8</v>
      </c>
      <c r="B15" s="113" t="s">
        <v>19</v>
      </c>
      <c r="C15" s="113"/>
      <c r="D15" s="11">
        <f>-D11*D10</f>
        <v>0</v>
      </c>
      <c r="E15" s="12" t="s">
        <v>30</v>
      </c>
    </row>
    <row r="16" spans="1:6" x14ac:dyDescent="0.25">
      <c r="A16" s="7">
        <f t="shared" si="0"/>
        <v>9</v>
      </c>
      <c r="B16" s="113" t="s">
        <v>21</v>
      </c>
      <c r="C16" s="113"/>
      <c r="D16" s="10">
        <f>-D13-D14-D15</f>
        <v>6372873.1200000001</v>
      </c>
      <c r="E16" s="9"/>
    </row>
    <row r="17" spans="1:10" ht="15.75" thickBot="1" x14ac:dyDescent="0.3">
      <c r="A17" s="7"/>
      <c r="B17" s="113"/>
      <c r="C17" s="113"/>
      <c r="D17" s="117"/>
      <c r="E17" s="9"/>
    </row>
    <row r="18" spans="1:10" ht="15.75" thickBot="1" x14ac:dyDescent="0.3">
      <c r="A18" s="7">
        <f>+A16+1</f>
        <v>10</v>
      </c>
      <c r="B18" s="113" t="s">
        <v>22</v>
      </c>
      <c r="C18" s="113"/>
      <c r="D18" s="14">
        <f>+D16/0.79/0.952348</f>
        <v>8470567.4816348646</v>
      </c>
      <c r="E18" s="9" t="s">
        <v>31</v>
      </c>
    </row>
    <row r="19" spans="1:10" ht="15.75" thickBot="1" x14ac:dyDescent="0.3">
      <c r="A19" s="7"/>
      <c r="B19" s="113"/>
      <c r="C19" s="113"/>
      <c r="D19" s="117"/>
      <c r="E19" s="124" t="s">
        <v>24</v>
      </c>
    </row>
    <row r="20" spans="1:10" x14ac:dyDescent="0.25">
      <c r="A20" s="7"/>
      <c r="B20" s="113"/>
      <c r="C20" s="113"/>
      <c r="D20" s="117"/>
      <c r="E20" s="15"/>
    </row>
    <row r="21" spans="1:10" x14ac:dyDescent="0.25">
      <c r="A21" s="7"/>
      <c r="B21" s="113"/>
      <c r="C21" s="113"/>
      <c r="D21" s="117"/>
      <c r="E21" s="9"/>
    </row>
    <row r="22" spans="1:10" x14ac:dyDescent="0.25">
      <c r="A22" s="7"/>
      <c r="B22" s="113"/>
      <c r="C22" s="113"/>
      <c r="D22" s="13"/>
      <c r="E22" s="9"/>
      <c r="I22" s="129"/>
      <c r="J22" s="131"/>
    </row>
    <row r="23" spans="1:10" x14ac:dyDescent="0.25">
      <c r="A23" s="16"/>
      <c r="B23" s="17"/>
      <c r="C23" s="17"/>
      <c r="D23" s="18"/>
      <c r="E23" s="19"/>
      <c r="I23" s="130"/>
    </row>
    <row r="24" spans="1:10" x14ac:dyDescent="0.25">
      <c r="A24" s="1"/>
      <c r="E24" s="2"/>
      <c r="I24" s="131"/>
      <c r="J24" s="131"/>
    </row>
    <row r="25" spans="1:10" x14ac:dyDescent="0.25">
      <c r="A25" s="3" t="s">
        <v>25</v>
      </c>
      <c r="B25" s="4"/>
      <c r="C25" s="4"/>
      <c r="D25" s="5"/>
      <c r="E25" s="6"/>
    </row>
    <row r="26" spans="1:10" x14ac:dyDescent="0.25">
      <c r="A26" s="7">
        <v>1</v>
      </c>
      <c r="B26" s="113"/>
      <c r="C26" s="113"/>
      <c r="D26" s="114"/>
      <c r="E26" s="8" t="s">
        <v>5</v>
      </c>
      <c r="I26" s="131"/>
      <c r="J26" s="131"/>
    </row>
    <row r="27" spans="1:10" x14ac:dyDescent="0.25">
      <c r="A27" s="7">
        <v>2</v>
      </c>
      <c r="B27" s="113" t="s">
        <v>6</v>
      </c>
      <c r="C27" s="113"/>
      <c r="D27" s="115">
        <v>2.5399999999999999E-2</v>
      </c>
      <c r="E27" s="9" t="s">
        <v>7</v>
      </c>
    </row>
    <row r="28" spans="1:10" x14ac:dyDescent="0.25">
      <c r="A28" s="7">
        <f t="shared" ref="A28:A34" si="1">+A27+1</f>
        <v>3</v>
      </c>
      <c r="B28" s="113" t="s">
        <v>8</v>
      </c>
      <c r="C28" s="113"/>
      <c r="D28" s="115">
        <v>7.4399999999999994E-2</v>
      </c>
      <c r="E28" s="9" t="s">
        <v>9</v>
      </c>
    </row>
    <row r="29" spans="1:10" x14ac:dyDescent="0.25">
      <c r="A29" s="7">
        <f t="shared" si="1"/>
        <v>4</v>
      </c>
      <c r="B29" s="113" t="s">
        <v>14</v>
      </c>
      <c r="C29" s="113"/>
      <c r="D29" s="10"/>
      <c r="E29" s="9" t="s">
        <v>27</v>
      </c>
      <c r="I29" s="129"/>
    </row>
    <row r="30" spans="1:10" x14ac:dyDescent="0.25">
      <c r="A30" s="7">
        <f t="shared" si="1"/>
        <v>5</v>
      </c>
      <c r="B30" s="113"/>
      <c r="C30" s="113"/>
      <c r="D30" s="113"/>
      <c r="E30" s="9"/>
    </row>
    <row r="31" spans="1:10" x14ac:dyDescent="0.25">
      <c r="A31" s="7">
        <f t="shared" si="1"/>
        <v>6</v>
      </c>
      <c r="B31" s="113" t="s">
        <v>15</v>
      </c>
      <c r="C31" s="113"/>
      <c r="D31" s="10">
        <f>-'OpEx F'!D10*0.79</f>
        <v>-8299948.5600000005</v>
      </c>
      <c r="E31" s="9" t="s">
        <v>32</v>
      </c>
      <c r="F31" s="132"/>
    </row>
    <row r="32" spans="1:10" x14ac:dyDescent="0.25">
      <c r="A32" s="7">
        <f t="shared" si="1"/>
        <v>7</v>
      </c>
      <c r="B32" s="113" t="s">
        <v>17</v>
      </c>
      <c r="C32" s="113"/>
      <c r="D32" s="13">
        <f>+D29*D27*0.21</f>
        <v>0</v>
      </c>
      <c r="E32" s="9" t="s">
        <v>29</v>
      </c>
    </row>
    <row r="33" spans="1:5" x14ac:dyDescent="0.25">
      <c r="A33" s="7">
        <f t="shared" si="1"/>
        <v>8</v>
      </c>
      <c r="B33" s="113" t="s">
        <v>19</v>
      </c>
      <c r="C33" s="113"/>
      <c r="D33" s="11">
        <f>-D29*D28</f>
        <v>0</v>
      </c>
      <c r="E33" s="12" t="s">
        <v>30</v>
      </c>
    </row>
    <row r="34" spans="1:5" x14ac:dyDescent="0.25">
      <c r="A34" s="7">
        <f t="shared" si="1"/>
        <v>9</v>
      </c>
      <c r="B34" s="113" t="s">
        <v>21</v>
      </c>
      <c r="C34" s="113"/>
      <c r="D34" s="10">
        <f>-D31-D32-D33</f>
        <v>8299948.5600000005</v>
      </c>
      <c r="E34" s="9"/>
    </row>
    <row r="35" spans="1:5" ht="15.75" thickBot="1" x14ac:dyDescent="0.3">
      <c r="A35" s="7"/>
      <c r="B35" s="113"/>
      <c r="C35" s="113"/>
      <c r="D35" s="117"/>
      <c r="E35" s="9"/>
    </row>
    <row r="36" spans="1:5" ht="15.75" thickBot="1" x14ac:dyDescent="0.3">
      <c r="A36" s="7">
        <f>+A34+1</f>
        <v>10</v>
      </c>
      <c r="B36" s="113" t="s">
        <v>22</v>
      </c>
      <c r="C36" s="113"/>
      <c r="D36" s="14">
        <f>+D34/0.79/0.952348</f>
        <v>11031958.90577814</v>
      </c>
      <c r="E36" s="9" t="s">
        <v>31</v>
      </c>
    </row>
    <row r="37" spans="1:5" ht="15.75" thickBot="1" x14ac:dyDescent="0.3">
      <c r="A37" s="7"/>
      <c r="B37" s="113"/>
      <c r="C37" s="113"/>
      <c r="D37" s="117"/>
      <c r="E37" s="124" t="s">
        <v>24</v>
      </c>
    </row>
    <row r="38" spans="1:5" x14ac:dyDescent="0.25">
      <c r="A38" s="7"/>
      <c r="B38" s="113"/>
      <c r="C38" s="113"/>
      <c r="D38" s="117"/>
      <c r="E38" s="15"/>
    </row>
    <row r="39" spans="1:5" x14ac:dyDescent="0.25">
      <c r="A39" s="7"/>
      <c r="B39" s="113"/>
      <c r="C39" s="113"/>
      <c r="D39" s="117"/>
      <c r="E39" s="9"/>
    </row>
    <row r="40" spans="1:5" x14ac:dyDescent="0.25">
      <c r="A40" s="7"/>
      <c r="B40" s="113"/>
      <c r="C40" s="113"/>
      <c r="D40" s="13"/>
      <c r="E40" s="9"/>
    </row>
    <row r="41" spans="1:5" x14ac:dyDescent="0.25">
      <c r="A41" s="16"/>
      <c r="B41" s="17"/>
      <c r="C41" s="17"/>
      <c r="D41" s="18"/>
      <c r="E41" s="19"/>
    </row>
    <row r="42" spans="1:5" x14ac:dyDescent="0.25">
      <c r="A42" s="1"/>
      <c r="E42" s="2"/>
    </row>
    <row r="43" spans="1:5" x14ac:dyDescent="0.25">
      <c r="A43" s="3" t="s">
        <v>26</v>
      </c>
      <c r="B43" s="4"/>
      <c r="C43" s="4"/>
      <c r="D43" s="5"/>
      <c r="E43" s="6"/>
    </row>
    <row r="44" spans="1:5" x14ac:dyDescent="0.25">
      <c r="A44" s="7">
        <v>1</v>
      </c>
      <c r="B44" s="113"/>
      <c r="C44" s="113"/>
      <c r="D44" s="114"/>
      <c r="E44" s="8" t="s">
        <v>5</v>
      </c>
    </row>
    <row r="45" spans="1:5" x14ac:dyDescent="0.25">
      <c r="A45" s="7">
        <v>2</v>
      </c>
      <c r="B45" s="113" t="s">
        <v>6</v>
      </c>
      <c r="C45" s="113"/>
      <c r="D45" s="115">
        <v>2.5399999999999999E-2</v>
      </c>
      <c r="E45" s="9" t="s">
        <v>7</v>
      </c>
    </row>
    <row r="46" spans="1:5" x14ac:dyDescent="0.25">
      <c r="A46" s="7">
        <f t="shared" ref="A46:A52" si="2">+A45+1</f>
        <v>3</v>
      </c>
      <c r="B46" s="113" t="s">
        <v>8</v>
      </c>
      <c r="C46" s="113"/>
      <c r="D46" s="115">
        <v>7.4899999999999994E-2</v>
      </c>
      <c r="E46" s="9" t="s">
        <v>9</v>
      </c>
    </row>
    <row r="47" spans="1:5" x14ac:dyDescent="0.25">
      <c r="A47" s="7">
        <f t="shared" si="2"/>
        <v>4</v>
      </c>
      <c r="B47" s="113" t="s">
        <v>14</v>
      </c>
      <c r="C47" s="113"/>
      <c r="D47" s="10"/>
      <c r="E47" s="9" t="s">
        <v>27</v>
      </c>
    </row>
    <row r="48" spans="1:5" x14ac:dyDescent="0.25">
      <c r="A48" s="7">
        <f t="shared" si="2"/>
        <v>5</v>
      </c>
      <c r="B48" s="113"/>
      <c r="C48" s="113"/>
      <c r="D48" s="113"/>
      <c r="E48" s="9"/>
    </row>
    <row r="49" spans="1:7" x14ac:dyDescent="0.25">
      <c r="A49" s="7">
        <f t="shared" si="2"/>
        <v>6</v>
      </c>
      <c r="B49" s="113" t="s">
        <v>15</v>
      </c>
      <c r="C49" s="113"/>
      <c r="D49" s="10">
        <f>-'OpEx F'!E10*0.79</f>
        <v>-7841355.9300000006</v>
      </c>
      <c r="E49" s="9" t="s">
        <v>32</v>
      </c>
      <c r="F49" s="132"/>
    </row>
    <row r="50" spans="1:7" x14ac:dyDescent="0.25">
      <c r="A50" s="7">
        <f t="shared" si="2"/>
        <v>7</v>
      </c>
      <c r="B50" s="113" t="s">
        <v>17</v>
      </c>
      <c r="C50" s="113"/>
      <c r="D50" s="13">
        <f>+D47*D45*0.21</f>
        <v>0</v>
      </c>
      <c r="E50" s="9" t="s">
        <v>29</v>
      </c>
    </row>
    <row r="51" spans="1:7" x14ac:dyDescent="0.25">
      <c r="A51" s="7">
        <f t="shared" si="2"/>
        <v>8</v>
      </c>
      <c r="B51" s="113" t="s">
        <v>19</v>
      </c>
      <c r="C51" s="113"/>
      <c r="D51" s="11">
        <f>-D47*D46</f>
        <v>0</v>
      </c>
      <c r="E51" s="12" t="s">
        <v>30</v>
      </c>
    </row>
    <row r="52" spans="1:7" x14ac:dyDescent="0.25">
      <c r="A52" s="7">
        <f t="shared" si="2"/>
        <v>9</v>
      </c>
      <c r="B52" s="113" t="s">
        <v>21</v>
      </c>
      <c r="C52" s="113"/>
      <c r="D52" s="10">
        <f>-D49-D50-D51</f>
        <v>7841355.9300000006</v>
      </c>
      <c r="E52" s="9"/>
    </row>
    <row r="53" spans="1:7" ht="15.75" thickBot="1" x14ac:dyDescent="0.3">
      <c r="A53" s="7"/>
      <c r="B53" s="113"/>
      <c r="C53" s="113"/>
      <c r="D53" s="117"/>
      <c r="E53" s="9"/>
    </row>
    <row r="54" spans="1:7" ht="15.75" thickBot="1" x14ac:dyDescent="0.3">
      <c r="A54" s="7">
        <f>+A52+1</f>
        <v>10</v>
      </c>
      <c r="B54" s="113" t="s">
        <v>22</v>
      </c>
      <c r="C54" s="113"/>
      <c r="D54" s="14">
        <f>+D52/0.79/0.952348</f>
        <v>10422415.96559241</v>
      </c>
      <c r="E54" s="9" t="s">
        <v>31</v>
      </c>
      <c r="G54" s="120"/>
    </row>
    <row r="55" spans="1:7" ht="15.75" thickBot="1" x14ac:dyDescent="0.3">
      <c r="A55" s="7"/>
      <c r="B55" s="113"/>
      <c r="C55" s="113"/>
      <c r="D55" s="117"/>
      <c r="E55" s="124" t="s">
        <v>24</v>
      </c>
    </row>
    <row r="56" spans="1:7" x14ac:dyDescent="0.25">
      <c r="A56" s="7"/>
      <c r="B56" s="113"/>
      <c r="C56" s="113"/>
      <c r="D56" s="117"/>
      <c r="E56" s="15"/>
    </row>
    <row r="57" spans="1:7" x14ac:dyDescent="0.25">
      <c r="A57" s="7"/>
      <c r="B57" s="113"/>
      <c r="C57" s="113"/>
      <c r="D57" s="117"/>
      <c r="E57" s="9"/>
    </row>
    <row r="58" spans="1:7" x14ac:dyDescent="0.25">
      <c r="A58" s="7"/>
      <c r="B58" s="113"/>
      <c r="C58" s="113"/>
      <c r="D58" s="13"/>
      <c r="E58" s="9"/>
    </row>
    <row r="59" spans="1:7" ht="15.75" thickBot="1" x14ac:dyDescent="0.3">
      <c r="A59" s="20"/>
      <c r="B59" s="21"/>
      <c r="C59" s="21"/>
      <c r="D59" s="22"/>
      <c r="E59" s="23"/>
    </row>
  </sheetData>
  <pageMargins left="0.7" right="0.7" top="0.75" bottom="0.75" header="0.3" footer="0.3"/>
  <pageSetup scale="78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zoomScaleNormal="100" workbookViewId="0">
      <selection activeCell="K4" sqref="K4"/>
    </sheetView>
  </sheetViews>
  <sheetFormatPr defaultRowHeight="15" x14ac:dyDescent="0.25"/>
  <cols>
    <col min="1" max="1" width="25.140625" customWidth="1"/>
    <col min="2" max="3" width="11.5703125" bestFit="1" customWidth="1"/>
    <col min="4" max="4" width="12.5703125" bestFit="1" customWidth="1"/>
    <col min="5" max="5" width="11.5703125" bestFit="1" customWidth="1"/>
    <col min="6" max="6" width="12.5703125" bestFit="1" customWidth="1"/>
    <col min="7" max="7" width="12" bestFit="1" customWidth="1"/>
    <col min="11" max="11" width="11.5703125" bestFit="1" customWidth="1"/>
  </cols>
  <sheetData>
    <row r="1" spans="1:11" x14ac:dyDescent="0.25">
      <c r="K1" s="136" t="s">
        <v>181</v>
      </c>
    </row>
    <row r="2" spans="1:11" x14ac:dyDescent="0.25">
      <c r="K2" s="136" t="s">
        <v>180</v>
      </c>
    </row>
    <row r="3" spans="1:11" x14ac:dyDescent="0.25">
      <c r="K3" s="136" t="s">
        <v>185</v>
      </c>
    </row>
    <row r="5" spans="1:11" ht="18.75" x14ac:dyDescent="0.3">
      <c r="A5" s="118" t="s">
        <v>33</v>
      </c>
    </row>
    <row r="7" spans="1:11" x14ac:dyDescent="0.25">
      <c r="A7" s="119" t="s">
        <v>34</v>
      </c>
      <c r="B7" s="119" t="s">
        <v>35</v>
      </c>
      <c r="C7" s="119" t="s">
        <v>36</v>
      </c>
      <c r="D7" s="119" t="s">
        <v>37</v>
      </c>
      <c r="E7" s="119" t="s">
        <v>38</v>
      </c>
      <c r="F7" s="119"/>
    </row>
    <row r="8" spans="1:11" ht="17.25" x14ac:dyDescent="0.25">
      <c r="A8" t="s">
        <v>172</v>
      </c>
      <c r="B8" s="120">
        <v>2099504</v>
      </c>
      <c r="C8" s="135">
        <v>1766928</v>
      </c>
      <c r="D8" s="135">
        <v>1706264</v>
      </c>
      <c r="E8" s="135">
        <v>1425767</v>
      </c>
      <c r="F8" s="120">
        <f>SUM(C8:E8)</f>
        <v>4898959</v>
      </c>
      <c r="K8" s="120"/>
    </row>
    <row r="9" spans="1:11" ht="17.25" x14ac:dyDescent="0.25">
      <c r="A9" t="s">
        <v>173</v>
      </c>
      <c r="B9" s="120">
        <v>0</v>
      </c>
      <c r="C9" s="120">
        <v>6300000</v>
      </c>
      <c r="D9" s="120">
        <v>8800000</v>
      </c>
      <c r="E9" s="120">
        <v>8500000</v>
      </c>
      <c r="F9" s="120">
        <f>SUM(C9:E9)</f>
        <v>23600000</v>
      </c>
    </row>
    <row r="10" spans="1:11" x14ac:dyDescent="0.25">
      <c r="A10" t="s">
        <v>171</v>
      </c>
      <c r="B10" s="120">
        <f>SUM(B8:B9)</f>
        <v>2099504</v>
      </c>
      <c r="C10" s="120">
        <f>SUM(C8:C9)</f>
        <v>8066928</v>
      </c>
      <c r="D10" s="120">
        <f>SUM(D8:D9)</f>
        <v>10506264</v>
      </c>
      <c r="E10" s="120">
        <f>SUM(E8:E9)</f>
        <v>9925767</v>
      </c>
      <c r="F10" s="120"/>
    </row>
    <row r="11" spans="1:11" x14ac:dyDescent="0.25">
      <c r="A11" s="133"/>
      <c r="B11" s="133"/>
      <c r="C11" s="133"/>
    </row>
    <row r="12" spans="1:11" x14ac:dyDescent="0.25">
      <c r="A12" s="133" t="s">
        <v>174</v>
      </c>
      <c r="B12" s="133"/>
      <c r="C12" s="133"/>
    </row>
    <row r="13" spans="1:11" x14ac:dyDescent="0.25">
      <c r="A13" s="133" t="s">
        <v>175</v>
      </c>
      <c r="B13" s="133"/>
      <c r="C13" s="133"/>
    </row>
    <row r="14" spans="1:11" x14ac:dyDescent="0.25">
      <c r="A14" s="133"/>
      <c r="B14" s="133"/>
      <c r="C14" s="133"/>
    </row>
    <row r="15" spans="1:11" x14ac:dyDescent="0.25">
      <c r="A15" s="133"/>
      <c r="B15" s="133"/>
      <c r="C15" s="133"/>
    </row>
    <row r="16" spans="1:11" x14ac:dyDescent="0.25">
      <c r="A16" s="133"/>
      <c r="B16" s="133"/>
      <c r="C16" s="133"/>
    </row>
  </sheetData>
  <pageMargins left="0.7" right="0.7" top="0.75" bottom="0.75" header="0.3" footer="0.3"/>
  <pageSetup scale="79" orientation="landscape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3"/>
  <sheetViews>
    <sheetView zoomScaleNormal="100" workbookViewId="0">
      <pane xSplit="1" ySplit="10" topLeftCell="B11" activePane="bottomRight" state="frozen"/>
      <selection pane="topRight"/>
      <selection pane="bottomLeft"/>
      <selection pane="bottomRight" activeCell="L4" sqref="L4"/>
    </sheetView>
  </sheetViews>
  <sheetFormatPr defaultColWidth="9.140625" defaultRowHeight="15" outlineLevelRow="1" outlineLevelCol="1" x14ac:dyDescent="0.25"/>
  <cols>
    <col min="1" max="1" width="45.7109375" style="26" customWidth="1"/>
    <col min="2" max="2" width="9.42578125" style="26" bestFit="1" customWidth="1"/>
    <col min="3" max="3" width="15.140625" style="26" bestFit="1" customWidth="1"/>
    <col min="4" max="4" width="11.5703125" style="26" bestFit="1" customWidth="1"/>
    <col min="5" max="5" width="16.28515625" style="26" bestFit="1" customWidth="1"/>
    <col min="6" max="6" width="12.5703125" style="26" bestFit="1" customWidth="1"/>
    <col min="7" max="7" width="16.28515625" style="26" bestFit="1" customWidth="1"/>
    <col min="8" max="8" width="12.5703125" style="26" bestFit="1" customWidth="1"/>
    <col min="9" max="9" width="16.28515625" style="26" bestFit="1" customWidth="1"/>
    <col min="10" max="10" width="12.5703125" style="26" bestFit="1" customWidth="1"/>
    <col min="11" max="11" width="16.28515625" style="26" bestFit="1" customWidth="1"/>
    <col min="12" max="12" width="13.7109375" style="26" bestFit="1" customWidth="1"/>
    <col min="13" max="13" width="9.140625" style="26" hidden="1" customWidth="1" outlineLevel="1"/>
    <col min="14" max="14" width="9.140625" style="26" collapsed="1"/>
    <col min="15" max="16384" width="9.140625" style="26"/>
  </cols>
  <sheetData>
    <row r="1" spans="1:13" x14ac:dyDescent="0.25">
      <c r="L1" s="136" t="s">
        <v>181</v>
      </c>
    </row>
    <row r="2" spans="1:13" x14ac:dyDescent="0.25">
      <c r="L2" s="136" t="s">
        <v>180</v>
      </c>
    </row>
    <row r="3" spans="1:13" x14ac:dyDescent="0.25">
      <c r="L3" s="136" t="s">
        <v>184</v>
      </c>
    </row>
    <row r="5" spans="1:13" x14ac:dyDescent="0.25">
      <c r="A5" s="24" t="s">
        <v>39</v>
      </c>
      <c r="B5" s="24"/>
      <c r="C5" s="25">
        <f>SUM(C50:C52)</f>
        <v>0</v>
      </c>
      <c r="D5" s="25"/>
      <c r="E5" s="25">
        <f t="shared" ref="E5:K5" si="0">SUM(E50:E52)</f>
        <v>0</v>
      </c>
      <c r="F5" s="25"/>
      <c r="G5" s="25">
        <f t="shared" si="0"/>
        <v>0</v>
      </c>
      <c r="H5" s="25"/>
      <c r="I5" s="25">
        <f t="shared" si="0"/>
        <v>0</v>
      </c>
      <c r="J5" s="25"/>
      <c r="K5" s="25">
        <f t="shared" si="0"/>
        <v>0</v>
      </c>
      <c r="L5" s="25"/>
    </row>
    <row r="6" spans="1:13" x14ac:dyDescent="0.25">
      <c r="A6" s="24" t="s">
        <v>40</v>
      </c>
      <c r="B6" s="24"/>
    </row>
    <row r="8" spans="1:13" hidden="1" outlineLevel="1" x14ac:dyDescent="0.25">
      <c r="A8" s="27" t="s">
        <v>41</v>
      </c>
      <c r="B8" s="27"/>
      <c r="C8" s="28">
        <v>4</v>
      </c>
      <c r="D8" s="28"/>
      <c r="E8" s="28">
        <v>5</v>
      </c>
      <c r="F8" s="28"/>
      <c r="G8" s="28">
        <v>6</v>
      </c>
      <c r="H8" s="28"/>
      <c r="I8" s="28">
        <v>7</v>
      </c>
      <c r="J8" s="28"/>
      <c r="K8" s="28">
        <v>8</v>
      </c>
      <c r="L8" s="28"/>
    </row>
    <row r="9" spans="1:13" outlineLevel="1" x14ac:dyDescent="0.25">
      <c r="A9" s="27"/>
      <c r="B9" s="27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3" x14ac:dyDescent="0.25">
      <c r="A10" s="30" t="s">
        <v>42</v>
      </c>
      <c r="B10" s="30" t="s">
        <v>43</v>
      </c>
      <c r="C10" s="31">
        <v>2021</v>
      </c>
      <c r="D10" s="31"/>
      <c r="E10" s="32">
        <v>2022</v>
      </c>
      <c r="F10" s="32"/>
      <c r="G10" s="31">
        <v>2023</v>
      </c>
      <c r="H10" s="31"/>
      <c r="I10" s="32">
        <v>2024</v>
      </c>
      <c r="J10" s="32"/>
      <c r="K10" s="31">
        <v>2025</v>
      </c>
      <c r="L10" s="31"/>
    </row>
    <row r="11" spans="1:13" x14ac:dyDescent="0.25">
      <c r="A11" s="33" t="s">
        <v>44</v>
      </c>
      <c r="B11" s="33"/>
      <c r="C11" s="34" t="s">
        <v>45</v>
      </c>
      <c r="D11" s="34" t="s">
        <v>46</v>
      </c>
      <c r="E11" s="29" t="s">
        <v>45</v>
      </c>
      <c r="F11" s="29" t="s">
        <v>46</v>
      </c>
      <c r="G11" s="34" t="s">
        <v>47</v>
      </c>
      <c r="H11" s="34" t="s">
        <v>46</v>
      </c>
      <c r="I11" s="29" t="s">
        <v>47</v>
      </c>
      <c r="J11" s="29" t="s">
        <v>46</v>
      </c>
      <c r="K11" s="34" t="s">
        <v>47</v>
      </c>
      <c r="L11" s="34" t="s">
        <v>46</v>
      </c>
    </row>
    <row r="12" spans="1:13" x14ac:dyDescent="0.25">
      <c r="A12" s="35" t="s">
        <v>48</v>
      </c>
      <c r="B12" s="35" t="s">
        <v>51</v>
      </c>
      <c r="C12" s="36">
        <v>-734205.86516600009</v>
      </c>
      <c r="D12" s="36">
        <v>-16282.407376000003</v>
      </c>
      <c r="E12" s="37">
        <v>26366906.675026</v>
      </c>
      <c r="F12" s="37">
        <v>1477395.389926</v>
      </c>
      <c r="G12" s="36">
        <v>27732116.066587999</v>
      </c>
      <c r="H12" s="36">
        <v>2087357.720584</v>
      </c>
      <c r="I12" s="37">
        <v>118669988.001388</v>
      </c>
      <c r="J12" s="37">
        <v>6846403.4205839997</v>
      </c>
      <c r="K12" s="36">
        <v>108230740.465652</v>
      </c>
      <c r="L12" s="36">
        <v>6846403.4205839997</v>
      </c>
      <c r="M12" s="35" t="s">
        <v>49</v>
      </c>
    </row>
    <row r="13" spans="1:13" x14ac:dyDescent="0.25">
      <c r="A13" s="35" t="s">
        <v>50</v>
      </c>
      <c r="B13" s="35" t="s">
        <v>51</v>
      </c>
      <c r="C13" s="38">
        <v>2278787.23</v>
      </c>
      <c r="D13" s="38">
        <v>20285.21</v>
      </c>
      <c r="E13" s="39">
        <v>5192500.45</v>
      </c>
      <c r="F13" s="39">
        <v>120960.25</v>
      </c>
      <c r="G13" s="38">
        <v>24429144.139999997</v>
      </c>
      <c r="H13" s="38">
        <v>762208.4800000001</v>
      </c>
      <c r="I13" s="39">
        <v>73158877.580000013</v>
      </c>
      <c r="J13" s="39">
        <v>2274153.7100000004</v>
      </c>
      <c r="K13" s="38">
        <v>140925369.28999999</v>
      </c>
      <c r="L13" s="38">
        <v>4427055.7299999986</v>
      </c>
    </row>
    <row r="14" spans="1:13" x14ac:dyDescent="0.25">
      <c r="A14" s="35" t="s">
        <v>52</v>
      </c>
      <c r="B14" s="35" t="s">
        <v>53</v>
      </c>
      <c r="C14" s="38">
        <v>7259150.9500000002</v>
      </c>
      <c r="D14" s="38">
        <v>166038.92999999996</v>
      </c>
      <c r="E14" s="39">
        <v>9610472.2600000016</v>
      </c>
      <c r="F14" s="39">
        <v>711850.11</v>
      </c>
      <c r="G14" s="38">
        <v>11263209.229999999</v>
      </c>
      <c r="H14" s="38">
        <v>897507.29</v>
      </c>
      <c r="I14" s="39">
        <v>21681803.360000007</v>
      </c>
      <c r="J14" s="39">
        <v>1728868.6</v>
      </c>
      <c r="K14" s="38">
        <v>35900013.870000005</v>
      </c>
      <c r="L14" s="38">
        <v>2909142.15</v>
      </c>
    </row>
    <row r="15" spans="1:13" x14ac:dyDescent="0.25">
      <c r="A15" s="35" t="s">
        <v>54</v>
      </c>
      <c r="B15" s="35" t="s">
        <v>55</v>
      </c>
      <c r="C15" s="38">
        <v>17294</v>
      </c>
      <c r="D15" s="38">
        <v>351.64</v>
      </c>
      <c r="E15" s="39">
        <v>1090015.8199999998</v>
      </c>
      <c r="F15" s="39">
        <v>26771.33</v>
      </c>
      <c r="G15" s="38">
        <v>2956916.1500000004</v>
      </c>
      <c r="H15" s="38">
        <v>157339.5</v>
      </c>
      <c r="I15" s="39">
        <v>13100293.880000001</v>
      </c>
      <c r="J15" s="39">
        <v>702636.48</v>
      </c>
      <c r="K15" s="38">
        <v>42159801.060000002</v>
      </c>
      <c r="L15" s="38">
        <v>2290061.7000000002</v>
      </c>
    </row>
    <row r="16" spans="1:13" x14ac:dyDescent="0.25">
      <c r="A16" s="35" t="s">
        <v>56</v>
      </c>
      <c r="B16" s="35" t="s">
        <v>57</v>
      </c>
      <c r="C16" s="38">
        <v>0</v>
      </c>
      <c r="D16" s="38">
        <v>0</v>
      </c>
      <c r="E16" s="39">
        <v>0</v>
      </c>
      <c r="F16" s="39">
        <v>0</v>
      </c>
      <c r="G16" s="38">
        <v>289311.71703000006</v>
      </c>
      <c r="H16" s="38">
        <v>109343.62026000001</v>
      </c>
      <c r="I16" s="39">
        <v>11023765.640831999</v>
      </c>
      <c r="J16" s="39">
        <v>2624246.807112</v>
      </c>
      <c r="K16" s="38">
        <v>8229903.7851240002</v>
      </c>
      <c r="L16" s="38">
        <v>2624246.807112</v>
      </c>
    </row>
    <row r="17" spans="1:13" x14ac:dyDescent="0.25">
      <c r="A17" s="35" t="s">
        <v>58</v>
      </c>
      <c r="B17" s="35" t="s">
        <v>51</v>
      </c>
      <c r="C17" s="38">
        <v>0</v>
      </c>
      <c r="D17" s="38">
        <v>0</v>
      </c>
      <c r="E17" s="39">
        <v>0</v>
      </c>
      <c r="F17" s="39">
        <v>0</v>
      </c>
      <c r="G17" s="38">
        <v>6953008.4300000006</v>
      </c>
      <c r="H17" s="38">
        <v>259672.98</v>
      </c>
      <c r="I17" s="39">
        <v>21644477.169999998</v>
      </c>
      <c r="J17" s="39">
        <v>822298.25999999989</v>
      </c>
      <c r="K17" s="38">
        <v>40304526.799999997</v>
      </c>
      <c r="L17" s="38">
        <v>1558038.9000000001</v>
      </c>
    </row>
    <row r="18" spans="1:13" x14ac:dyDescent="0.25">
      <c r="A18" s="35" t="s">
        <v>59</v>
      </c>
      <c r="B18" s="35" t="s">
        <v>51</v>
      </c>
      <c r="C18" s="38">
        <v>31344038.489999995</v>
      </c>
      <c r="D18" s="38">
        <v>249644.88999999996</v>
      </c>
      <c r="E18" s="39">
        <v>86886665.429999992</v>
      </c>
      <c r="F18" s="39">
        <v>1917213.2800000003</v>
      </c>
      <c r="G18" s="38">
        <v>114087416.38999999</v>
      </c>
      <c r="H18" s="38">
        <v>3861878.2399999993</v>
      </c>
      <c r="I18" s="39">
        <v>166137313.80999997</v>
      </c>
      <c r="J18" s="39">
        <v>5743225.2800000003</v>
      </c>
      <c r="K18" s="38">
        <v>215428952.59999996</v>
      </c>
      <c r="L18" s="38">
        <v>7599750.2699999837</v>
      </c>
    </row>
    <row r="19" spans="1:13" x14ac:dyDescent="0.25">
      <c r="A19" s="35" t="s">
        <v>60</v>
      </c>
      <c r="B19" s="35" t="s">
        <v>51</v>
      </c>
      <c r="C19" s="38">
        <v>0</v>
      </c>
      <c r="D19" s="38">
        <v>0</v>
      </c>
      <c r="E19" s="39">
        <v>2847735.78</v>
      </c>
      <c r="F19" s="39">
        <v>225688.98</v>
      </c>
      <c r="G19" s="38">
        <v>5870340.1900000004</v>
      </c>
      <c r="H19" s="38">
        <v>968107.02</v>
      </c>
      <c r="I19" s="39">
        <v>13073417.880000001</v>
      </c>
      <c r="J19" s="39">
        <v>2295023.04</v>
      </c>
      <c r="K19" s="38">
        <v>21465918.07</v>
      </c>
      <c r="L19" s="38">
        <v>4055217.9</v>
      </c>
    </row>
    <row r="20" spans="1:13" x14ac:dyDescent="0.25">
      <c r="A20" s="35" t="s">
        <v>61</v>
      </c>
      <c r="B20" s="35" t="s">
        <v>51</v>
      </c>
      <c r="C20" s="38">
        <v>46434013.82</v>
      </c>
      <c r="D20" s="38">
        <v>371179.81999999995</v>
      </c>
      <c r="E20" s="39">
        <v>182987620.34999993</v>
      </c>
      <c r="F20" s="39">
        <v>3835509.23</v>
      </c>
      <c r="G20" s="38">
        <v>274271097.56</v>
      </c>
      <c r="H20" s="38">
        <v>10717946.049999999</v>
      </c>
      <c r="I20" s="39">
        <v>476674563.13999999</v>
      </c>
      <c r="J20" s="39">
        <v>20232964.729999974</v>
      </c>
      <c r="K20" s="38">
        <v>682974784.16999984</v>
      </c>
      <c r="L20" s="38">
        <v>28179523.619999938</v>
      </c>
    </row>
    <row r="21" spans="1:13" x14ac:dyDescent="0.25">
      <c r="A21" s="35" t="s">
        <v>62</v>
      </c>
      <c r="B21" s="35" t="s">
        <v>57</v>
      </c>
      <c r="C21" s="38">
        <v>25893977.230000004</v>
      </c>
      <c r="D21" s="38">
        <v>688173.61</v>
      </c>
      <c r="E21" s="39">
        <v>21882995.110000003</v>
      </c>
      <c r="F21" s="39">
        <v>2691935.52</v>
      </c>
      <c r="G21" s="38">
        <v>19925987</v>
      </c>
      <c r="H21" s="38">
        <v>2691935.52</v>
      </c>
      <c r="I21" s="39">
        <v>16139024.310000002</v>
      </c>
      <c r="J21" s="39">
        <v>2691935.52</v>
      </c>
      <c r="K21" s="38">
        <v>13258651.960000003</v>
      </c>
      <c r="L21" s="38">
        <v>2691935.52</v>
      </c>
    </row>
    <row r="22" spans="1:13" x14ac:dyDescent="0.25">
      <c r="A22" s="35" t="s">
        <v>63</v>
      </c>
      <c r="B22" s="35" t="s">
        <v>57</v>
      </c>
      <c r="C22" s="38">
        <v>10329594.906455999</v>
      </c>
      <c r="D22" s="38">
        <v>202904.91016999999</v>
      </c>
      <c r="E22" s="39">
        <v>24756480.001224004</v>
      </c>
      <c r="F22" s="39">
        <v>3994438.8490079995</v>
      </c>
      <c r="G22" s="38">
        <v>30838822.255282</v>
      </c>
      <c r="H22" s="38">
        <v>7899944.6710399985</v>
      </c>
      <c r="I22" s="39">
        <v>41115336.843394004</v>
      </c>
      <c r="J22" s="39">
        <v>12192291.457594002</v>
      </c>
      <c r="K22" s="38">
        <v>48537971.504870012</v>
      </c>
      <c r="L22" s="38">
        <v>16623026.445117999</v>
      </c>
      <c r="M22" s="35" t="s">
        <v>64</v>
      </c>
    </row>
    <row r="23" spans="1:13" x14ac:dyDescent="0.25">
      <c r="A23" s="35" t="s">
        <v>65</v>
      </c>
      <c r="B23" s="35" t="s">
        <v>66</v>
      </c>
      <c r="C23" s="38">
        <v>11624514.800000003</v>
      </c>
      <c r="D23" s="38">
        <v>30265.1</v>
      </c>
      <c r="E23" s="39">
        <v>29214657.819999997</v>
      </c>
      <c r="F23" s="39">
        <v>609911.18000000017</v>
      </c>
      <c r="G23" s="38">
        <v>33101760.949999996</v>
      </c>
      <c r="H23" s="38">
        <v>1044706.56</v>
      </c>
      <c r="I23" s="39">
        <v>49051157.699999996</v>
      </c>
      <c r="J23" s="39">
        <v>1360279.4600000009</v>
      </c>
      <c r="K23" s="38">
        <v>58225798.149999999</v>
      </c>
      <c r="L23" s="38">
        <v>1704103.9100000011</v>
      </c>
    </row>
    <row r="24" spans="1:13" x14ac:dyDescent="0.25">
      <c r="A24" s="35" t="s">
        <v>67</v>
      </c>
      <c r="B24" s="35" t="s">
        <v>51</v>
      </c>
      <c r="C24" s="38">
        <v>0</v>
      </c>
      <c r="D24" s="38">
        <v>0</v>
      </c>
      <c r="E24" s="39">
        <v>938475.72</v>
      </c>
      <c r="F24" s="39">
        <v>16663.02</v>
      </c>
      <c r="G24" s="38">
        <v>2995583.5900000003</v>
      </c>
      <c r="H24" s="38">
        <v>109206.72</v>
      </c>
      <c r="I24" s="39">
        <v>9277677.8699999992</v>
      </c>
      <c r="J24" s="39">
        <v>342571.02</v>
      </c>
      <c r="K24" s="38">
        <v>17501335.41</v>
      </c>
      <c r="L24" s="38">
        <v>658983.66</v>
      </c>
    </row>
    <row r="25" spans="1:13" x14ac:dyDescent="0.25">
      <c r="A25" s="35" t="s">
        <v>68</v>
      </c>
      <c r="B25" s="35" t="s">
        <v>55</v>
      </c>
      <c r="C25" s="38">
        <v>0</v>
      </c>
      <c r="D25" s="38">
        <v>0</v>
      </c>
      <c r="E25" s="39">
        <v>0</v>
      </c>
      <c r="F25" s="39">
        <v>0</v>
      </c>
      <c r="G25" s="38">
        <v>4734679.1900000004</v>
      </c>
      <c r="H25" s="38">
        <v>737400.96</v>
      </c>
      <c r="I25" s="39">
        <v>14886572.870000001</v>
      </c>
      <c r="J25" s="39">
        <v>2493848.16</v>
      </c>
      <c r="K25" s="38">
        <v>24527981.09</v>
      </c>
      <c r="L25" s="38">
        <v>4507102.8600000003</v>
      </c>
    </row>
    <row r="26" spans="1:13" x14ac:dyDescent="0.25">
      <c r="A26" s="35" t="s">
        <v>69</v>
      </c>
      <c r="B26" s="35" t="s">
        <v>51</v>
      </c>
      <c r="C26" s="38">
        <v>0</v>
      </c>
      <c r="D26" s="38">
        <v>0</v>
      </c>
      <c r="E26" s="39">
        <v>0</v>
      </c>
      <c r="F26" s="39">
        <v>0</v>
      </c>
      <c r="G26" s="38">
        <v>6967134.6999999993</v>
      </c>
      <c r="H26" s="38">
        <v>194733.41999999998</v>
      </c>
      <c r="I26" s="39">
        <v>25234191.73</v>
      </c>
      <c r="J26" s="39">
        <v>714022.56</v>
      </c>
      <c r="K26" s="38">
        <v>47422654.950000003</v>
      </c>
      <c r="L26" s="38">
        <v>1363134.24</v>
      </c>
    </row>
    <row r="27" spans="1:13" x14ac:dyDescent="0.25">
      <c r="A27" s="33" t="s">
        <v>70</v>
      </c>
      <c r="B27" s="33"/>
      <c r="C27" s="40">
        <f t="shared" ref="C27:L27" si="1">SUM(C12:C26)</f>
        <v>134447165.56129</v>
      </c>
      <c r="D27" s="40">
        <f t="shared" si="1"/>
        <v>1712561.702794</v>
      </c>
      <c r="E27" s="41">
        <f t="shared" si="1"/>
        <v>391774525.41624993</v>
      </c>
      <c r="F27" s="41">
        <f t="shared" si="1"/>
        <v>15628337.138933999</v>
      </c>
      <c r="G27" s="40">
        <f t="shared" si="1"/>
        <v>566416527.55890012</v>
      </c>
      <c r="H27" s="40">
        <f t="shared" si="1"/>
        <v>32499288.751883999</v>
      </c>
      <c r="I27" s="41">
        <f t="shared" si="1"/>
        <v>1070868461.785614</v>
      </c>
      <c r="J27" s="41">
        <f t="shared" si="1"/>
        <v>63064768.505289987</v>
      </c>
      <c r="K27" s="40">
        <f t="shared" si="1"/>
        <v>1505094403.1756461</v>
      </c>
      <c r="L27" s="40">
        <f t="shared" si="1"/>
        <v>88037727.132813916</v>
      </c>
    </row>
    <row r="28" spans="1:13" x14ac:dyDescent="0.25">
      <c r="A28" s="24" t="s">
        <v>71</v>
      </c>
      <c r="B28" s="24"/>
      <c r="C28" s="42"/>
      <c r="D28" s="42"/>
      <c r="G28" s="42"/>
      <c r="H28" s="42"/>
      <c r="K28" s="42"/>
      <c r="L28" s="42"/>
    </row>
    <row r="29" spans="1:13" x14ac:dyDescent="0.25">
      <c r="A29" s="35" t="s">
        <v>72</v>
      </c>
      <c r="B29" s="35" t="s">
        <v>51</v>
      </c>
      <c r="C29" s="38">
        <v>-6772186.6300000018</v>
      </c>
      <c r="D29" s="38">
        <v>-47501.520000000004</v>
      </c>
      <c r="E29" s="39">
        <v>-23524187.470000003</v>
      </c>
      <c r="F29" s="39">
        <v>-497571.18</v>
      </c>
      <c r="G29" s="38">
        <v>-26167355.199999999</v>
      </c>
      <c r="H29" s="38">
        <v>-919635.23999999987</v>
      </c>
      <c r="I29" s="39">
        <v>-31291616.950000007</v>
      </c>
      <c r="J29" s="39">
        <v>-1133506.92</v>
      </c>
      <c r="K29" s="38">
        <v>-36268542.550000004</v>
      </c>
      <c r="L29" s="38">
        <v>-1350412.0200000012</v>
      </c>
    </row>
    <row r="30" spans="1:13" x14ac:dyDescent="0.25">
      <c r="A30" s="35" t="s">
        <v>73</v>
      </c>
      <c r="B30" s="35" t="s">
        <v>51</v>
      </c>
      <c r="C30" s="38">
        <v>24325428.030000001</v>
      </c>
      <c r="D30" s="38">
        <v>166296.64000000001</v>
      </c>
      <c r="E30" s="39">
        <v>30990512.199999996</v>
      </c>
      <c r="F30" s="39">
        <v>975182.48</v>
      </c>
      <c r="G30" s="38">
        <v>32417579.999999996</v>
      </c>
      <c r="H30" s="38">
        <v>1170824.6599999999</v>
      </c>
      <c r="I30" s="39">
        <v>36048567.560000002</v>
      </c>
      <c r="J30" s="39">
        <v>1343168.4100000001</v>
      </c>
      <c r="K30" s="38">
        <v>41491067.270000003</v>
      </c>
      <c r="L30" s="38">
        <v>1582940.4700000011</v>
      </c>
    </row>
    <row r="31" spans="1:13" x14ac:dyDescent="0.25">
      <c r="A31" s="35" t="s">
        <v>74</v>
      </c>
      <c r="B31" s="35" t="s">
        <v>51</v>
      </c>
      <c r="C31" s="38">
        <v>17565739.400000002</v>
      </c>
      <c r="D31" s="38">
        <v>148767.26999999999</v>
      </c>
      <c r="E31" s="39">
        <v>29974273.030000001</v>
      </c>
      <c r="F31" s="39">
        <v>792675.58</v>
      </c>
      <c r="G31" s="38">
        <v>34337033.829999998</v>
      </c>
      <c r="H31" s="38">
        <v>1177431.99</v>
      </c>
      <c r="I31" s="39">
        <v>42628722.100000009</v>
      </c>
      <c r="J31" s="39">
        <v>1532469.5100000005</v>
      </c>
      <c r="K31" s="38">
        <v>51559524.430000007</v>
      </c>
      <c r="L31" s="38">
        <v>1917491.579999997</v>
      </c>
    </row>
    <row r="32" spans="1:13" x14ac:dyDescent="0.25">
      <c r="A32" s="24" t="s">
        <v>75</v>
      </c>
      <c r="B32" s="24"/>
      <c r="C32" s="40">
        <f>SUM(C29:C31)</f>
        <v>35118980.799999997</v>
      </c>
      <c r="D32" s="40">
        <f>SUM(D29:D31)</f>
        <v>267562.39</v>
      </c>
      <c r="E32" s="41">
        <f t="shared" ref="E32:K32" si="2">SUM(E29:E31)</f>
        <v>37440597.75999999</v>
      </c>
      <c r="F32" s="41">
        <f>SUM(F29:F31)</f>
        <v>1270286.8799999999</v>
      </c>
      <c r="G32" s="40">
        <f t="shared" si="2"/>
        <v>40587258.629999995</v>
      </c>
      <c r="H32" s="40">
        <f>SUM(H29:H31)</f>
        <v>1428621.4100000001</v>
      </c>
      <c r="I32" s="41">
        <f t="shared" si="2"/>
        <v>47385672.710000008</v>
      </c>
      <c r="J32" s="41">
        <f>SUM(J29:J31)</f>
        <v>1742131.0000000007</v>
      </c>
      <c r="K32" s="40">
        <f t="shared" si="2"/>
        <v>56782049.150000006</v>
      </c>
      <c r="L32" s="40">
        <f>SUM(L29:L31)</f>
        <v>2150020.029999997</v>
      </c>
    </row>
    <row r="33" spans="1:12" x14ac:dyDescent="0.25">
      <c r="A33" s="24" t="s">
        <v>76</v>
      </c>
      <c r="B33" s="24"/>
      <c r="C33" s="43"/>
      <c r="D33" s="43"/>
      <c r="E33" s="44"/>
      <c r="F33" s="44"/>
      <c r="G33" s="43"/>
      <c r="H33" s="43"/>
      <c r="I33" s="44"/>
      <c r="J33" s="44"/>
      <c r="K33" s="43"/>
      <c r="L33" s="43"/>
    </row>
    <row r="34" spans="1:12" x14ac:dyDescent="0.25">
      <c r="A34" s="35" t="s">
        <v>77</v>
      </c>
      <c r="B34" s="35" t="s">
        <v>66</v>
      </c>
      <c r="C34" s="38">
        <v>0</v>
      </c>
      <c r="D34" s="38">
        <v>0</v>
      </c>
      <c r="E34" s="39">
        <v>7877398.2299999986</v>
      </c>
      <c r="F34" s="39">
        <v>8308.9</v>
      </c>
      <c r="G34" s="38">
        <v>14821641.9</v>
      </c>
      <c r="H34" s="38">
        <v>549581.3600000001</v>
      </c>
      <c r="I34" s="39">
        <v>26301990.299999997</v>
      </c>
      <c r="J34" s="39">
        <v>978189.3</v>
      </c>
      <c r="K34" s="38">
        <v>32754134.219999999</v>
      </c>
      <c r="L34" s="38">
        <v>1170899.3999999999</v>
      </c>
    </row>
    <row r="35" spans="1:12" x14ac:dyDescent="0.25">
      <c r="A35" s="35" t="s">
        <v>78</v>
      </c>
      <c r="B35" s="35" t="s">
        <v>79</v>
      </c>
      <c r="C35" s="38">
        <v>0</v>
      </c>
      <c r="D35" s="38">
        <v>0</v>
      </c>
      <c r="E35" s="39">
        <v>0</v>
      </c>
      <c r="F35" s="39">
        <v>0</v>
      </c>
      <c r="G35" s="38">
        <v>0</v>
      </c>
      <c r="H35" s="38">
        <v>0</v>
      </c>
      <c r="I35" s="39">
        <v>427686.59602200001</v>
      </c>
      <c r="J35" s="39">
        <v>0</v>
      </c>
      <c r="K35" s="38">
        <v>10264478.218806</v>
      </c>
      <c r="L35" s="38">
        <v>0</v>
      </c>
    </row>
    <row r="36" spans="1:12" x14ac:dyDescent="0.25">
      <c r="A36" s="35" t="s">
        <v>80</v>
      </c>
      <c r="B36" s="35" t="s">
        <v>81</v>
      </c>
      <c r="C36" s="38">
        <v>0</v>
      </c>
      <c r="D36" s="38">
        <v>0</v>
      </c>
      <c r="E36" s="39">
        <v>39803105.660000004</v>
      </c>
      <c r="F36" s="39">
        <v>38737.93</v>
      </c>
      <c r="G36" s="38">
        <v>39230942.760000005</v>
      </c>
      <c r="H36" s="38">
        <v>782265.60000000009</v>
      </c>
      <c r="I36" s="39">
        <v>111231208.17000002</v>
      </c>
      <c r="J36" s="39">
        <v>2493807.5100000002</v>
      </c>
      <c r="K36" s="38">
        <v>284659717.83999997</v>
      </c>
      <c r="L36" s="38">
        <v>6665814.4200000009</v>
      </c>
    </row>
    <row r="37" spans="1:12" x14ac:dyDescent="0.25">
      <c r="A37" s="35" t="s">
        <v>82</v>
      </c>
      <c r="B37" s="35" t="s">
        <v>83</v>
      </c>
      <c r="C37" s="38">
        <v>-38433.24</v>
      </c>
      <c r="D37" s="38">
        <v>-44.87</v>
      </c>
      <c r="E37" s="39">
        <v>-35375.889999999992</v>
      </c>
      <c r="F37" s="39">
        <v>-1075.21</v>
      </c>
      <c r="G37" s="38">
        <v>-34159.659999999996</v>
      </c>
      <c r="H37" s="38">
        <v>-2115.0700000000002</v>
      </c>
      <c r="I37" s="39">
        <v>220836.8</v>
      </c>
      <c r="J37" s="39">
        <v>14108.15</v>
      </c>
      <c r="K37" s="38">
        <v>7518451.5300000003</v>
      </c>
      <c r="L37" s="38">
        <v>450004</v>
      </c>
    </row>
    <row r="38" spans="1:12" x14ac:dyDescent="0.25">
      <c r="A38" s="35" t="s">
        <v>84</v>
      </c>
      <c r="B38" s="35" t="s">
        <v>83</v>
      </c>
      <c r="C38" s="38">
        <v>23141751.57</v>
      </c>
      <c r="D38" s="38">
        <v>83652.98</v>
      </c>
      <c r="E38" s="39">
        <v>11922186.569999998</v>
      </c>
      <c r="F38" s="39">
        <v>1597195.08</v>
      </c>
      <c r="G38" s="38">
        <v>11446137.6</v>
      </c>
      <c r="H38" s="38">
        <v>917765.76</v>
      </c>
      <c r="I38" s="39">
        <v>10501861.159999998</v>
      </c>
      <c r="J38" s="39">
        <v>917765.76</v>
      </c>
      <c r="K38" s="38">
        <v>9579394.7100000009</v>
      </c>
      <c r="L38" s="38">
        <v>917765.76</v>
      </c>
    </row>
    <row r="39" spans="1:12" x14ac:dyDescent="0.25">
      <c r="A39" s="35" t="s">
        <v>85</v>
      </c>
      <c r="B39" s="35" t="s">
        <v>86</v>
      </c>
      <c r="C39" s="38">
        <v>0</v>
      </c>
      <c r="D39" s="38">
        <v>0</v>
      </c>
      <c r="E39" s="39">
        <v>0</v>
      </c>
      <c r="F39" s="39">
        <v>0</v>
      </c>
      <c r="G39" s="38">
        <v>0</v>
      </c>
      <c r="H39" s="38">
        <v>0</v>
      </c>
      <c r="I39" s="39">
        <v>0</v>
      </c>
      <c r="J39" s="39">
        <v>0</v>
      </c>
      <c r="K39" s="38">
        <v>16581358.08</v>
      </c>
      <c r="L39" s="38">
        <v>298247.65999999997</v>
      </c>
    </row>
    <row r="40" spans="1:12" x14ac:dyDescent="0.25">
      <c r="A40" s="35" t="s">
        <v>87</v>
      </c>
      <c r="B40" s="35" t="s">
        <v>83</v>
      </c>
      <c r="C40" s="38">
        <v>0</v>
      </c>
      <c r="D40" s="38">
        <v>0</v>
      </c>
      <c r="E40" s="39">
        <v>14147916.66</v>
      </c>
      <c r="F40" s="39">
        <v>664313.1</v>
      </c>
      <c r="G40" s="38">
        <v>11301620.039999999</v>
      </c>
      <c r="H40" s="38">
        <v>1492167.54</v>
      </c>
      <c r="I40" s="39">
        <v>7937435.7499999991</v>
      </c>
      <c r="J40" s="39">
        <v>1246443.8400000001</v>
      </c>
      <c r="K40" s="38">
        <v>6778624.5099999988</v>
      </c>
      <c r="L40" s="38">
        <v>1246443.8400000001</v>
      </c>
    </row>
    <row r="41" spans="1:12" x14ac:dyDescent="0.25">
      <c r="A41" s="35" t="s">
        <v>88</v>
      </c>
      <c r="B41" s="35" t="s">
        <v>55</v>
      </c>
      <c r="C41" s="38">
        <v>0</v>
      </c>
      <c r="D41" s="38">
        <v>0</v>
      </c>
      <c r="E41" s="39">
        <v>0</v>
      </c>
      <c r="F41" s="39">
        <v>0</v>
      </c>
      <c r="G41" s="38">
        <v>6153880.2199999997</v>
      </c>
      <c r="H41" s="38">
        <v>342550.08</v>
      </c>
      <c r="I41" s="39">
        <v>18935732.629999999</v>
      </c>
      <c r="J41" s="39">
        <v>1098771.18</v>
      </c>
      <c r="K41" s="38">
        <v>30992537.16</v>
      </c>
      <c r="L41" s="38">
        <v>1893833.28</v>
      </c>
    </row>
    <row r="42" spans="1:12" x14ac:dyDescent="0.25">
      <c r="A42" s="35" t="s">
        <v>89</v>
      </c>
      <c r="B42" s="35" t="s">
        <v>66</v>
      </c>
      <c r="C42" s="38">
        <v>0</v>
      </c>
      <c r="D42" s="38">
        <v>0</v>
      </c>
      <c r="E42" s="39">
        <v>22726955.199999999</v>
      </c>
      <c r="F42" s="39">
        <v>27300.53</v>
      </c>
      <c r="G42" s="38">
        <v>26718767.880000003</v>
      </c>
      <c r="H42" s="38">
        <v>722230.56</v>
      </c>
      <c r="I42" s="39">
        <v>30036920.299999997</v>
      </c>
      <c r="J42" s="39">
        <v>840975.84000000008</v>
      </c>
      <c r="K42" s="38">
        <v>28806211.309999999</v>
      </c>
      <c r="L42" s="38">
        <v>840975.84000000008</v>
      </c>
    </row>
    <row r="43" spans="1:12" x14ac:dyDescent="0.25">
      <c r="A43" s="35" t="s">
        <v>90</v>
      </c>
      <c r="B43" s="35" t="s">
        <v>57</v>
      </c>
      <c r="C43" s="38">
        <v>0</v>
      </c>
      <c r="D43" s="38">
        <v>0</v>
      </c>
      <c r="E43" s="39">
        <v>0</v>
      </c>
      <c r="F43" s="39">
        <v>0</v>
      </c>
      <c r="G43" s="38">
        <v>0</v>
      </c>
      <c r="H43" s="38">
        <v>0</v>
      </c>
      <c r="I43" s="39">
        <v>3110126.0465940004</v>
      </c>
      <c r="J43" s="39">
        <v>330715.27818000002</v>
      </c>
      <c r="K43" s="38">
        <v>8750626.0239300001</v>
      </c>
      <c r="L43" s="38">
        <v>992145.91366799991</v>
      </c>
    </row>
    <row r="44" spans="1:12" x14ac:dyDescent="0.25">
      <c r="A44" s="35" t="s">
        <v>91</v>
      </c>
      <c r="B44" s="35" t="s">
        <v>66</v>
      </c>
      <c r="C44" s="38">
        <v>0</v>
      </c>
      <c r="D44" s="38">
        <v>0</v>
      </c>
      <c r="E44" s="39">
        <v>15772595.33</v>
      </c>
      <c r="F44" s="39">
        <v>16285.32</v>
      </c>
      <c r="G44" s="38">
        <v>20466224.73</v>
      </c>
      <c r="H44" s="38">
        <v>528091.31999999995</v>
      </c>
      <c r="I44" s="39">
        <v>24612961.690000001</v>
      </c>
      <c r="J44" s="39">
        <v>655763.16</v>
      </c>
      <c r="K44" s="38">
        <v>23627748.190000001</v>
      </c>
      <c r="L44" s="38">
        <v>655763.16</v>
      </c>
    </row>
    <row r="45" spans="1:12" x14ac:dyDescent="0.25">
      <c r="A45" s="35" t="s">
        <v>92</v>
      </c>
      <c r="B45" s="35" t="s">
        <v>57</v>
      </c>
      <c r="C45" s="38">
        <v>70.964628000000005</v>
      </c>
      <c r="D45" s="38">
        <v>6.600594000000001</v>
      </c>
      <c r="E45" s="39">
        <v>50.233091999999992</v>
      </c>
      <c r="F45" s="39">
        <v>19.782</v>
      </c>
      <c r="G45" s="38">
        <v>40.104707999999995</v>
      </c>
      <c r="H45" s="38">
        <v>19.782</v>
      </c>
      <c r="I45" s="39">
        <v>207328.74582000001</v>
      </c>
      <c r="J45" s="39">
        <v>62495.294399999992</v>
      </c>
      <c r="K45" s="38">
        <v>5635945.3828440001</v>
      </c>
      <c r="L45" s="38">
        <v>1684544.0436719998</v>
      </c>
    </row>
    <row r="46" spans="1:12" x14ac:dyDescent="0.25">
      <c r="A46" s="24" t="s">
        <v>93</v>
      </c>
      <c r="B46" s="24"/>
      <c r="C46" s="40">
        <f t="shared" ref="C46:L46" si="3">SUM(C34:C45)</f>
        <v>23103389.294628002</v>
      </c>
      <c r="D46" s="40">
        <f t="shared" si="3"/>
        <v>83614.710594000004</v>
      </c>
      <c r="E46" s="41">
        <f t="shared" si="3"/>
        <v>112214831.993092</v>
      </c>
      <c r="F46" s="41">
        <f t="shared" si="3"/>
        <v>2351085.432</v>
      </c>
      <c r="G46" s="40">
        <f t="shared" si="3"/>
        <v>130105095.57470801</v>
      </c>
      <c r="H46" s="40">
        <f t="shared" si="3"/>
        <v>5332556.932</v>
      </c>
      <c r="I46" s="41">
        <f t="shared" si="3"/>
        <v>233524088.188436</v>
      </c>
      <c r="J46" s="41">
        <f t="shared" si="3"/>
        <v>8639035.3125799987</v>
      </c>
      <c r="K46" s="40">
        <f t="shared" si="3"/>
        <v>465949227.17557991</v>
      </c>
      <c r="L46" s="40">
        <f t="shared" si="3"/>
        <v>16816437.317339998</v>
      </c>
    </row>
    <row r="47" spans="1:12" ht="15.75" thickBot="1" x14ac:dyDescent="0.3">
      <c r="A47" s="33" t="s">
        <v>94</v>
      </c>
      <c r="B47" s="33"/>
      <c r="C47" s="45">
        <f t="shared" ref="C47:L47" si="4">C27+C32+C46</f>
        <v>192669535.65591797</v>
      </c>
      <c r="D47" s="45">
        <f t="shared" si="4"/>
        <v>2063738.8033880002</v>
      </c>
      <c r="E47" s="46">
        <f t="shared" si="4"/>
        <v>541429955.16934192</v>
      </c>
      <c r="F47" s="46">
        <f t="shared" si="4"/>
        <v>19249709.450934</v>
      </c>
      <c r="G47" s="45">
        <f t="shared" si="4"/>
        <v>737108881.7636081</v>
      </c>
      <c r="H47" s="45">
        <f t="shared" si="4"/>
        <v>39260467.093883991</v>
      </c>
      <c r="I47" s="46">
        <f t="shared" si="4"/>
        <v>1351778222.6840501</v>
      </c>
      <c r="J47" s="46">
        <f t="shared" si="4"/>
        <v>73445934.817869991</v>
      </c>
      <c r="K47" s="45">
        <f t="shared" si="4"/>
        <v>2027825679.5012259</v>
      </c>
      <c r="L47" s="45">
        <f t="shared" si="4"/>
        <v>107004184.48015392</v>
      </c>
    </row>
    <row r="48" spans="1:12" ht="15.75" thickTop="1" x14ac:dyDescent="0.25">
      <c r="C48"/>
      <c r="D48"/>
    </row>
    <row r="50" spans="2:12" hidden="1" outlineLevel="1" x14ac:dyDescent="0.25">
      <c r="B50" s="47" t="s">
        <v>95</v>
      </c>
      <c r="C50" s="48">
        <v>0</v>
      </c>
      <c r="D50" s="48"/>
      <c r="E50" s="48">
        <v>0</v>
      </c>
      <c r="F50" s="48"/>
      <c r="G50" s="48">
        <v>0</v>
      </c>
      <c r="H50" s="48"/>
      <c r="I50" s="48">
        <v>0</v>
      </c>
      <c r="J50" s="48"/>
      <c r="K50" s="48">
        <v>0</v>
      </c>
      <c r="L50" s="48"/>
    </row>
    <row r="51" spans="2:12" hidden="1" outlineLevel="1" x14ac:dyDescent="0.25">
      <c r="B51" s="47" t="s">
        <v>96</v>
      </c>
      <c r="C51" s="48">
        <v>0</v>
      </c>
      <c r="D51" s="48"/>
      <c r="E51" s="48">
        <v>0</v>
      </c>
      <c r="F51" s="48"/>
      <c r="G51" s="48">
        <v>0</v>
      </c>
      <c r="H51" s="48"/>
      <c r="I51" s="48">
        <v>0</v>
      </c>
      <c r="J51" s="48"/>
      <c r="K51" s="48">
        <v>0</v>
      </c>
      <c r="L51" s="48"/>
    </row>
    <row r="52" spans="2:12" hidden="1" outlineLevel="1" x14ac:dyDescent="0.25">
      <c r="B52" s="47" t="s">
        <v>97</v>
      </c>
      <c r="C52" s="48">
        <v>0</v>
      </c>
      <c r="D52" s="48"/>
      <c r="E52" s="48">
        <v>0</v>
      </c>
      <c r="F52" s="48"/>
      <c r="G52" s="48">
        <v>0</v>
      </c>
      <c r="H52" s="48"/>
      <c r="I52" s="48">
        <v>0</v>
      </c>
      <c r="J52" s="48"/>
      <c r="K52" s="48">
        <v>0</v>
      </c>
      <c r="L52" s="48"/>
    </row>
    <row r="53" spans="2:12" collapsed="1" x14ac:dyDescent="0.25"/>
  </sheetData>
  <conditionalFormatting sqref="I5:L5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C5:H5">
    <cfRule type="cellIs" dxfId="1" priority="1" operator="notEqual">
      <formula>0</formula>
    </cfRule>
    <cfRule type="cellIs" dxfId="0" priority="2" operator="equal">
      <formula>0</formula>
    </cfRule>
  </conditionalFormatting>
  <printOptions horizontalCentered="1"/>
  <pageMargins left="0.2" right="0.2" top="0.75" bottom="0.25" header="0.3" footer="0.3"/>
  <pageSetup scale="65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0"/>
  <sheetViews>
    <sheetView zoomScaleNormal="100" workbookViewId="0">
      <pane xSplit="3" ySplit="15" topLeftCell="E16" activePane="bottomRight" state="frozen"/>
      <selection pane="topRight"/>
      <selection pane="bottomLeft"/>
      <selection pane="bottomRight" activeCell="P23" sqref="P23"/>
    </sheetView>
  </sheetViews>
  <sheetFormatPr defaultColWidth="9.140625" defaultRowHeight="15" x14ac:dyDescent="0.25"/>
  <cols>
    <col min="1" max="1" width="5" style="49" bestFit="1" customWidth="1"/>
    <col min="2" max="2" width="72.85546875" style="49" bestFit="1" customWidth="1"/>
    <col min="3" max="3" width="6.7109375" style="49" bestFit="1" customWidth="1"/>
    <col min="4" max="4" width="15" style="49" bestFit="1" customWidth="1"/>
    <col min="5" max="5" width="14.28515625" style="49" bestFit="1" customWidth="1"/>
    <col min="6" max="6" width="12.85546875" style="49" bestFit="1" customWidth="1"/>
    <col min="7" max="7" width="14.28515625" style="49" bestFit="1" customWidth="1"/>
    <col min="8" max="8" width="14.42578125" style="49" customWidth="1"/>
    <col min="9" max="9" width="14.28515625" style="49" bestFit="1" customWidth="1"/>
    <col min="10" max="10" width="13.140625" style="49" bestFit="1" customWidth="1"/>
    <col min="11" max="11" width="14.28515625" style="49" bestFit="1" customWidth="1"/>
    <col min="12" max="12" width="14" style="49" bestFit="1" customWidth="1"/>
    <col min="13" max="13" width="14.28515625" style="49" bestFit="1" customWidth="1"/>
    <col min="14" max="14" width="14" style="49" bestFit="1" customWidth="1"/>
    <col min="15" max="15" width="14.28515625" style="49" bestFit="1" customWidth="1"/>
    <col min="16" max="16" width="14" style="49" bestFit="1" customWidth="1"/>
    <col min="17" max="17" width="10.7109375" style="49" customWidth="1"/>
    <col min="18" max="18" width="13.7109375" style="49" customWidth="1"/>
    <col min="19" max="19" width="14.28515625" style="49" bestFit="1" customWidth="1"/>
    <col min="20" max="20" width="15.140625" style="49" bestFit="1" customWidth="1"/>
    <col min="21" max="21" width="15" style="49" bestFit="1" customWidth="1"/>
    <col min="22" max="16384" width="9.140625" style="49"/>
  </cols>
  <sheetData>
    <row r="1" spans="1:16" x14ac:dyDescent="0.25">
      <c r="P1" s="136" t="s">
        <v>181</v>
      </c>
    </row>
    <row r="2" spans="1:16" x14ac:dyDescent="0.25">
      <c r="A2" s="59"/>
      <c r="C2" s="59"/>
      <c r="D2" s="59"/>
      <c r="E2" s="59"/>
      <c r="F2" s="59"/>
      <c r="G2" s="59"/>
      <c r="H2" s="59"/>
      <c r="I2" s="59"/>
      <c r="J2" s="59"/>
      <c r="P2" s="136" t="s">
        <v>180</v>
      </c>
    </row>
    <row r="3" spans="1:16" x14ac:dyDescent="0.25">
      <c r="A3" s="59"/>
      <c r="C3" s="59"/>
      <c r="D3" s="59"/>
      <c r="E3" s="59"/>
      <c r="F3" s="59"/>
      <c r="G3" s="59"/>
      <c r="H3" s="59"/>
      <c r="I3" s="59"/>
      <c r="J3" s="59"/>
      <c r="P3" s="136" t="s">
        <v>183</v>
      </c>
    </row>
    <row r="4" spans="1:16" x14ac:dyDescent="0.25">
      <c r="A4" s="60"/>
      <c r="C4" s="60"/>
      <c r="D4" s="59"/>
      <c r="E4" s="59"/>
      <c r="F4" s="59"/>
      <c r="G4" s="59"/>
      <c r="H4" s="61"/>
      <c r="I4" s="61"/>
      <c r="J4" s="61"/>
    </row>
    <row r="5" spans="1:16" x14ac:dyDescent="0.25">
      <c r="A5" s="62" t="s">
        <v>98</v>
      </c>
      <c r="B5" s="63"/>
      <c r="C5" s="63"/>
      <c r="D5" s="63"/>
      <c r="E5" s="63"/>
      <c r="F5" s="63"/>
      <c r="G5" s="63"/>
      <c r="H5" s="63"/>
      <c r="I5" s="63"/>
      <c r="J5" s="63"/>
      <c r="K5"/>
      <c r="L5"/>
      <c r="M5"/>
      <c r="N5"/>
    </row>
    <row r="6" spans="1:16" x14ac:dyDescent="0.25">
      <c r="A6" s="63" t="s">
        <v>99</v>
      </c>
      <c r="B6" s="63"/>
      <c r="C6" s="63"/>
      <c r="D6" s="63"/>
      <c r="E6" s="63"/>
      <c r="F6" s="63"/>
      <c r="G6" s="63"/>
      <c r="H6" s="63"/>
      <c r="I6" s="63"/>
      <c r="J6" s="63"/>
      <c r="K6"/>
      <c r="L6"/>
      <c r="M6"/>
      <c r="N6"/>
    </row>
    <row r="7" spans="1:16" x14ac:dyDescent="0.25">
      <c r="A7" s="63" t="s">
        <v>100</v>
      </c>
      <c r="B7" s="63"/>
      <c r="C7" s="63"/>
      <c r="D7" s="63"/>
      <c r="E7" s="63"/>
      <c r="F7" s="63"/>
      <c r="G7" s="63"/>
      <c r="H7" s="63"/>
      <c r="I7" s="63"/>
      <c r="J7" s="63"/>
    </row>
    <row r="8" spans="1:16" x14ac:dyDescent="0.25">
      <c r="A8" s="63" t="s">
        <v>101</v>
      </c>
      <c r="B8" s="63"/>
      <c r="C8" s="63"/>
      <c r="D8" s="63"/>
      <c r="E8" s="63"/>
      <c r="F8" s="63"/>
      <c r="G8" s="63"/>
      <c r="H8" s="63"/>
      <c r="I8" s="63"/>
      <c r="J8" s="63"/>
    </row>
    <row r="9" spans="1:16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6" x14ac:dyDescent="0.25">
      <c r="A10" s="63"/>
      <c r="B10" s="63"/>
      <c r="C10" s="63"/>
      <c r="D10" s="64" t="s">
        <v>102</v>
      </c>
      <c r="E10" s="64" t="s">
        <v>103</v>
      </c>
      <c r="F10" s="64" t="s">
        <v>103</v>
      </c>
      <c r="G10" s="64" t="s">
        <v>104</v>
      </c>
      <c r="H10" s="64" t="s">
        <v>104</v>
      </c>
      <c r="I10" s="64" t="s">
        <v>105</v>
      </c>
      <c r="J10" s="64" t="s">
        <v>105</v>
      </c>
      <c r="K10" s="64" t="s">
        <v>106</v>
      </c>
      <c r="L10" s="64" t="s">
        <v>107</v>
      </c>
      <c r="M10" s="64" t="s">
        <v>108</v>
      </c>
      <c r="N10" s="64" t="s">
        <v>109</v>
      </c>
      <c r="O10" s="64" t="s">
        <v>110</v>
      </c>
      <c r="P10" s="64" t="s">
        <v>111</v>
      </c>
    </row>
    <row r="11" spans="1:16" x14ac:dyDescent="0.25">
      <c r="A11" s="63"/>
      <c r="B11" s="63"/>
      <c r="C11" s="63"/>
      <c r="D11" s="65"/>
      <c r="E11" s="66"/>
      <c r="F11" s="66"/>
      <c r="G11" s="67"/>
      <c r="H11" s="68" t="s">
        <v>112</v>
      </c>
      <c r="I11" s="69">
        <v>2022</v>
      </c>
      <c r="J11" s="70" t="s">
        <v>113</v>
      </c>
      <c r="K11" s="70">
        <v>2023</v>
      </c>
      <c r="L11" s="70" t="s">
        <v>113</v>
      </c>
      <c r="M11" s="70">
        <v>2024</v>
      </c>
      <c r="N11" s="70" t="s">
        <v>113</v>
      </c>
      <c r="O11" s="70">
        <v>2025</v>
      </c>
      <c r="P11" s="71" t="s">
        <v>113</v>
      </c>
    </row>
    <row r="12" spans="1:16" x14ac:dyDescent="0.25">
      <c r="A12" s="72"/>
      <c r="B12" s="72"/>
      <c r="C12" s="73"/>
      <c r="D12" s="74" t="s">
        <v>114</v>
      </c>
      <c r="E12" s="75"/>
      <c r="F12" s="76" t="s">
        <v>115</v>
      </c>
      <c r="G12" s="76" t="s">
        <v>116</v>
      </c>
      <c r="H12" s="77" t="s">
        <v>113</v>
      </c>
      <c r="I12" s="74" t="s">
        <v>117</v>
      </c>
      <c r="J12" s="76" t="s">
        <v>118</v>
      </c>
      <c r="K12" s="76" t="s">
        <v>119</v>
      </c>
      <c r="L12" s="76" t="s">
        <v>118</v>
      </c>
      <c r="M12" s="76" t="s">
        <v>120</v>
      </c>
      <c r="N12" s="76" t="s">
        <v>118</v>
      </c>
      <c r="O12" s="76" t="s">
        <v>121</v>
      </c>
      <c r="P12" s="77" t="s">
        <v>118</v>
      </c>
    </row>
    <row r="13" spans="1:16" x14ac:dyDescent="0.25">
      <c r="A13" s="64" t="s">
        <v>122</v>
      </c>
      <c r="B13" s="73"/>
      <c r="C13" s="78"/>
      <c r="D13" s="74" t="s">
        <v>123</v>
      </c>
      <c r="E13" s="76" t="s">
        <v>124</v>
      </c>
      <c r="F13" s="76" t="s">
        <v>125</v>
      </c>
      <c r="G13" s="76" t="s">
        <v>126</v>
      </c>
      <c r="H13" s="77" t="s">
        <v>125</v>
      </c>
      <c r="I13" s="74" t="s">
        <v>127</v>
      </c>
      <c r="J13" s="76" t="s">
        <v>128</v>
      </c>
      <c r="K13" s="76" t="s">
        <v>127</v>
      </c>
      <c r="L13" s="76" t="s">
        <v>129</v>
      </c>
      <c r="M13" s="76" t="s">
        <v>127</v>
      </c>
      <c r="N13" s="76" t="s">
        <v>129</v>
      </c>
      <c r="O13" s="76" t="s">
        <v>127</v>
      </c>
      <c r="P13" s="77" t="s">
        <v>129</v>
      </c>
    </row>
    <row r="14" spans="1:16" x14ac:dyDescent="0.25">
      <c r="A14" s="79" t="s">
        <v>130</v>
      </c>
      <c r="B14" s="80" t="s">
        <v>131</v>
      </c>
      <c r="C14" s="81" t="s">
        <v>132</v>
      </c>
      <c r="D14" s="82" t="s">
        <v>133</v>
      </c>
      <c r="E14" s="83" t="s">
        <v>134</v>
      </c>
      <c r="F14" s="83" t="s">
        <v>135</v>
      </c>
      <c r="G14" s="83" t="s">
        <v>134</v>
      </c>
      <c r="H14" s="84" t="s">
        <v>135</v>
      </c>
      <c r="I14" s="82" t="s">
        <v>134</v>
      </c>
      <c r="J14" s="83" t="s">
        <v>119</v>
      </c>
      <c r="K14" s="83" t="s">
        <v>134</v>
      </c>
      <c r="L14" s="83" t="s">
        <v>119</v>
      </c>
      <c r="M14" s="83" t="s">
        <v>134</v>
      </c>
      <c r="N14" s="83" t="s">
        <v>120</v>
      </c>
      <c r="O14" s="83" t="s">
        <v>134</v>
      </c>
      <c r="P14" s="84" t="s">
        <v>121</v>
      </c>
    </row>
    <row r="15" spans="1:16" x14ac:dyDescent="0.25">
      <c r="A15" s="85"/>
      <c r="B15" s="85"/>
      <c r="C15" s="85"/>
      <c r="D15" s="86" t="s">
        <v>136</v>
      </c>
      <c r="E15" s="86" t="s">
        <v>137</v>
      </c>
      <c r="F15" s="86" t="s">
        <v>138</v>
      </c>
      <c r="G15" s="86" t="s">
        <v>139</v>
      </c>
      <c r="H15" s="86" t="s">
        <v>140</v>
      </c>
      <c r="I15" s="86" t="s">
        <v>141</v>
      </c>
      <c r="J15" s="86" t="s">
        <v>142</v>
      </c>
      <c r="K15" s="86" t="s">
        <v>143</v>
      </c>
      <c r="L15" s="86" t="s">
        <v>144</v>
      </c>
      <c r="M15" s="86" t="s">
        <v>145</v>
      </c>
      <c r="N15" s="86" t="s">
        <v>146</v>
      </c>
      <c r="O15" s="86" t="s">
        <v>147</v>
      </c>
      <c r="P15" s="86" t="s">
        <v>148</v>
      </c>
    </row>
    <row r="16" spans="1:16" x14ac:dyDescent="0.25">
      <c r="A16" s="87">
        <f>ROW()</f>
        <v>16</v>
      </c>
      <c r="B16" s="88" t="s">
        <v>149</v>
      </c>
      <c r="C16" s="88"/>
      <c r="D16" s="89"/>
      <c r="E16" s="89"/>
      <c r="F16" s="89"/>
      <c r="G16" s="89"/>
      <c r="H16" s="89"/>
      <c r="I16" s="89"/>
      <c r="J16" s="89"/>
    </row>
    <row r="17" spans="1:20" x14ac:dyDescent="0.25">
      <c r="A17" s="87">
        <f>ROW()</f>
        <v>17</v>
      </c>
      <c r="B17" s="88" t="s">
        <v>150</v>
      </c>
      <c r="C17" s="90"/>
      <c r="D17" s="91"/>
      <c r="E17" s="91"/>
      <c r="F17" s="91"/>
      <c r="G17" s="92"/>
      <c r="H17" s="91"/>
      <c r="I17" s="91"/>
      <c r="J17" s="91"/>
      <c r="K17" s="91"/>
      <c r="L17" s="91"/>
      <c r="M17" s="91"/>
      <c r="N17" s="91"/>
      <c r="O17" s="91"/>
      <c r="P17" s="91"/>
    </row>
    <row r="18" spans="1:20" x14ac:dyDescent="0.25">
      <c r="A18" s="87">
        <f>ROW()</f>
        <v>18</v>
      </c>
      <c r="B18" s="90" t="s">
        <v>151</v>
      </c>
      <c r="C18" s="90"/>
      <c r="D18" s="89"/>
      <c r="E18" s="89"/>
      <c r="F18" s="89">
        <f>D18+E18</f>
        <v>0</v>
      </c>
      <c r="G18" s="89">
        <v>5610487.0913973758</v>
      </c>
      <c r="H18" s="89">
        <f>F18+G18</f>
        <v>5610487.0913973758</v>
      </c>
      <c r="I18" s="89">
        <v>2205082.5325653199</v>
      </c>
      <c r="J18" s="89">
        <f>H18+I18</f>
        <v>7815569.6239626957</v>
      </c>
      <c r="K18" s="89">
        <v>0</v>
      </c>
      <c r="L18" s="89">
        <f>J18+K18</f>
        <v>7815569.6239626957</v>
      </c>
      <c r="M18" s="89">
        <v>0</v>
      </c>
      <c r="N18" s="89">
        <f>L18+M18</f>
        <v>7815569.6239626957</v>
      </c>
      <c r="O18" s="89">
        <v>0</v>
      </c>
      <c r="P18" s="89">
        <f>N18+O18</f>
        <v>7815569.6239626957</v>
      </c>
    </row>
    <row r="19" spans="1:20" x14ac:dyDescent="0.25">
      <c r="A19" s="87">
        <f>ROW()</f>
        <v>19</v>
      </c>
      <c r="B19" s="90" t="s">
        <v>152</v>
      </c>
      <c r="C19" s="90"/>
      <c r="D19" s="91"/>
      <c r="E19" s="91"/>
      <c r="F19" s="91">
        <f t="shared" ref="F19:F20" si="0">D19+E19</f>
        <v>0</v>
      </c>
      <c r="G19" s="91"/>
      <c r="H19" s="91">
        <f t="shared" ref="H19:P20" si="1">F19+G19</f>
        <v>0</v>
      </c>
      <c r="I19" s="91"/>
      <c r="J19" s="91">
        <f t="shared" si="1"/>
        <v>0</v>
      </c>
      <c r="K19" s="91">
        <v>-976946.20299533708</v>
      </c>
      <c r="L19" s="91">
        <f t="shared" si="1"/>
        <v>-976946.20299533708</v>
      </c>
      <c r="M19" s="91">
        <v>-1953892.4059906751</v>
      </c>
      <c r="N19" s="91">
        <f t="shared" si="1"/>
        <v>-2930838.6089860122</v>
      </c>
      <c r="O19" s="91">
        <v>-1953892.4059906746</v>
      </c>
      <c r="P19" s="91">
        <f t="shared" si="1"/>
        <v>-4884731.0149766868</v>
      </c>
    </row>
    <row r="20" spans="1:20" x14ac:dyDescent="0.25">
      <c r="A20" s="87">
        <f>ROW()</f>
        <v>20</v>
      </c>
      <c r="B20" s="90" t="s">
        <v>153</v>
      </c>
      <c r="C20" s="90"/>
      <c r="D20" s="91"/>
      <c r="E20" s="91"/>
      <c r="F20" s="91">
        <f t="shared" si="0"/>
        <v>0</v>
      </c>
      <c r="G20" s="91">
        <v>-1178202.2891934488</v>
      </c>
      <c r="H20" s="91">
        <f t="shared" si="1"/>
        <v>-1178202.2891934488</v>
      </c>
      <c r="I20" s="91">
        <v>-463067.33183871815</v>
      </c>
      <c r="J20" s="91">
        <f t="shared" si="1"/>
        <v>-1641269.621032167</v>
      </c>
      <c r="K20" s="91">
        <v>205158.70262902044</v>
      </c>
      <c r="L20" s="91">
        <f t="shared" si="1"/>
        <v>-1436110.9184031466</v>
      </c>
      <c r="M20" s="91">
        <v>410317.40525804099</v>
      </c>
      <c r="N20" s="91">
        <f t="shared" si="1"/>
        <v>-1025793.5131451056</v>
      </c>
      <c r="O20" s="91">
        <v>410317.40525804064</v>
      </c>
      <c r="P20" s="91">
        <f t="shared" si="1"/>
        <v>-615476.10788706492</v>
      </c>
    </row>
    <row r="21" spans="1:20" x14ac:dyDescent="0.25">
      <c r="A21" s="87">
        <f>ROW()</f>
        <v>21</v>
      </c>
      <c r="B21" s="93" t="s">
        <v>154</v>
      </c>
      <c r="C21" s="90"/>
      <c r="D21" s="94">
        <f t="shared" ref="D21:P21" si="2">SUM(D18:D20)</f>
        <v>0</v>
      </c>
      <c r="E21" s="94">
        <f t="shared" si="2"/>
        <v>0</v>
      </c>
      <c r="F21" s="94">
        <f t="shared" si="2"/>
        <v>0</v>
      </c>
      <c r="G21" s="94">
        <f t="shared" si="2"/>
        <v>4432284.8022039272</v>
      </c>
      <c r="H21" s="94">
        <f t="shared" si="2"/>
        <v>4432284.8022039272</v>
      </c>
      <c r="I21" s="94">
        <f t="shared" si="2"/>
        <v>1742015.2007266018</v>
      </c>
      <c r="J21" s="94">
        <f t="shared" si="2"/>
        <v>6174300.0029305285</v>
      </c>
      <c r="K21" s="94">
        <f t="shared" si="2"/>
        <v>-771787.50036631664</v>
      </c>
      <c r="L21" s="94">
        <f t="shared" si="2"/>
        <v>5402512.5025642123</v>
      </c>
      <c r="M21" s="94">
        <f t="shared" si="2"/>
        <v>-1543575.0007326342</v>
      </c>
      <c r="N21" s="94">
        <f t="shared" si="2"/>
        <v>3858937.5018315786</v>
      </c>
      <c r="O21" s="94">
        <f t="shared" si="2"/>
        <v>-1543575.000732634</v>
      </c>
      <c r="P21" s="94">
        <f t="shared" si="2"/>
        <v>2315362.5010989439</v>
      </c>
    </row>
    <row r="22" spans="1:20" x14ac:dyDescent="0.25">
      <c r="A22" s="87">
        <f>ROW()</f>
        <v>22</v>
      </c>
      <c r="B22" s="95"/>
      <c r="C22" s="90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1:20" ht="15.75" thickBot="1" x14ac:dyDescent="0.3">
      <c r="A23" s="87">
        <f>ROW()</f>
        <v>23</v>
      </c>
      <c r="B23" s="95" t="s">
        <v>155</v>
      </c>
      <c r="C23" s="95"/>
      <c r="D23" s="96">
        <f>D21</f>
        <v>0</v>
      </c>
      <c r="E23" s="96">
        <f>E21</f>
        <v>0</v>
      </c>
      <c r="F23" s="96">
        <f>F21</f>
        <v>0</v>
      </c>
      <c r="G23" s="96">
        <f t="shared" ref="G23:P23" si="3">G21</f>
        <v>4432284.8022039272</v>
      </c>
      <c r="H23" s="96">
        <f t="shared" si="3"/>
        <v>4432284.8022039272</v>
      </c>
      <c r="I23" s="96">
        <f t="shared" si="3"/>
        <v>1742015.2007266018</v>
      </c>
      <c r="J23" s="96">
        <f t="shared" si="3"/>
        <v>6174300.0029305285</v>
      </c>
      <c r="K23" s="96">
        <f t="shared" si="3"/>
        <v>-771787.50036631664</v>
      </c>
      <c r="L23" s="96">
        <f t="shared" si="3"/>
        <v>5402512.5025642123</v>
      </c>
      <c r="M23" s="96">
        <f t="shared" si="3"/>
        <v>-1543575.0007326342</v>
      </c>
      <c r="N23" s="96">
        <f t="shared" si="3"/>
        <v>3858937.5018315786</v>
      </c>
      <c r="O23" s="96">
        <f t="shared" si="3"/>
        <v>-1543575.000732634</v>
      </c>
      <c r="P23" s="96">
        <f t="shared" si="3"/>
        <v>2315362.5010989439</v>
      </c>
    </row>
    <row r="24" spans="1:20" ht="16.5" thickTop="1" x14ac:dyDescent="0.25">
      <c r="A24" s="87">
        <f>ROW()</f>
        <v>24</v>
      </c>
      <c r="B24" s="97"/>
      <c r="C24" s="97"/>
      <c r="D24" s="98"/>
      <c r="E24" s="98"/>
      <c r="F24" s="98"/>
      <c r="G24" s="98"/>
      <c r="H24" s="99"/>
      <c r="I24" s="99"/>
      <c r="J24" s="99"/>
      <c r="K24" s="99"/>
      <c r="L24" s="109"/>
      <c r="M24" s="99"/>
      <c r="N24" s="109"/>
      <c r="O24" s="99"/>
      <c r="P24" s="109"/>
    </row>
    <row r="25" spans="1:20" ht="15.75" x14ac:dyDescent="0.25">
      <c r="A25" s="87">
        <f>ROW()</f>
        <v>25</v>
      </c>
      <c r="B25" s="88" t="s">
        <v>156</v>
      </c>
      <c r="C25" s="97"/>
      <c r="D25" s="98"/>
      <c r="E25" s="98"/>
      <c r="F25" s="98"/>
      <c r="G25" s="98"/>
      <c r="H25" s="99"/>
      <c r="I25" s="99"/>
      <c r="J25" s="99"/>
      <c r="K25" s="99"/>
      <c r="L25" s="99"/>
      <c r="M25" s="99"/>
      <c r="N25" s="99"/>
      <c r="O25" s="99"/>
      <c r="P25" s="99"/>
    </row>
    <row r="26" spans="1:20" ht="15.75" x14ac:dyDescent="0.25">
      <c r="A26" s="87">
        <f>ROW()</f>
        <v>26</v>
      </c>
      <c r="B26" s="90" t="s">
        <v>157</v>
      </c>
      <c r="C26" s="97"/>
      <c r="D26" s="89">
        <v>58170.11</v>
      </c>
      <c r="E26" s="89"/>
      <c r="F26" s="89">
        <f>SUM(D26:E26)</f>
        <v>58170.11</v>
      </c>
      <c r="G26" s="89">
        <f>-F26</f>
        <v>-58170.11</v>
      </c>
      <c r="H26" s="89">
        <f>F26+G26</f>
        <v>0</v>
      </c>
      <c r="I26" s="89"/>
      <c r="J26" s="89">
        <f>H26+I26</f>
        <v>0</v>
      </c>
      <c r="K26" s="89"/>
      <c r="L26" s="89">
        <f>J26+K26</f>
        <v>0</v>
      </c>
      <c r="M26" s="89"/>
      <c r="N26" s="89">
        <f>L26+M26</f>
        <v>0</v>
      </c>
      <c r="O26" s="89"/>
      <c r="P26" s="89">
        <f>N26+O26</f>
        <v>0</v>
      </c>
    </row>
    <row r="27" spans="1:20" ht="15.75" x14ac:dyDescent="0.25">
      <c r="A27" s="87">
        <f>ROW()</f>
        <v>27</v>
      </c>
      <c r="B27" s="93" t="s">
        <v>158</v>
      </c>
      <c r="C27" s="97"/>
      <c r="D27" s="100">
        <f>SUM(D26)</f>
        <v>58170.11</v>
      </c>
      <c r="E27" s="100">
        <f t="shared" ref="E27:P27" si="4">SUM(E26)</f>
        <v>0</v>
      </c>
      <c r="F27" s="100">
        <f t="shared" si="4"/>
        <v>58170.11</v>
      </c>
      <c r="G27" s="100">
        <f t="shared" si="4"/>
        <v>-58170.11</v>
      </c>
      <c r="H27" s="100">
        <f t="shared" si="4"/>
        <v>0</v>
      </c>
      <c r="I27" s="100">
        <f t="shared" si="4"/>
        <v>0</v>
      </c>
      <c r="J27" s="100">
        <f t="shared" si="4"/>
        <v>0</v>
      </c>
      <c r="K27" s="100">
        <f t="shared" si="4"/>
        <v>0</v>
      </c>
      <c r="L27" s="100">
        <f t="shared" si="4"/>
        <v>0</v>
      </c>
      <c r="M27" s="100">
        <f t="shared" si="4"/>
        <v>0</v>
      </c>
      <c r="N27" s="100">
        <f t="shared" si="4"/>
        <v>0</v>
      </c>
      <c r="O27" s="100">
        <f t="shared" si="4"/>
        <v>0</v>
      </c>
      <c r="P27" s="100">
        <f t="shared" si="4"/>
        <v>0</v>
      </c>
    </row>
    <row r="28" spans="1:20" ht="15.75" x14ac:dyDescent="0.25">
      <c r="A28" s="87">
        <f>ROW()</f>
        <v>28</v>
      </c>
      <c r="B28" s="97"/>
      <c r="C28" s="97"/>
      <c r="D28" s="101"/>
      <c r="E28" s="101"/>
      <c r="F28" s="101"/>
      <c r="G28" s="101"/>
      <c r="H28" s="102"/>
      <c r="I28" s="102"/>
      <c r="J28" s="102"/>
      <c r="K28" s="102"/>
      <c r="L28" s="102"/>
      <c r="M28" s="102"/>
      <c r="N28" s="102"/>
      <c r="O28" s="102"/>
      <c r="P28" s="102"/>
    </row>
    <row r="29" spans="1:20" ht="15.75" x14ac:dyDescent="0.25">
      <c r="A29" s="87">
        <f>ROW()</f>
        <v>29</v>
      </c>
      <c r="C29" s="97"/>
      <c r="D29" s="98"/>
      <c r="E29" s="98"/>
      <c r="F29" s="98"/>
      <c r="G29" s="98"/>
      <c r="H29" s="99"/>
      <c r="I29" s="99"/>
      <c r="J29" s="99"/>
      <c r="K29" s="99"/>
      <c r="L29" s="99"/>
      <c r="M29" s="99"/>
      <c r="N29" s="99"/>
      <c r="O29" s="99"/>
      <c r="P29" s="99"/>
      <c r="R29"/>
      <c r="S29"/>
      <c r="T29"/>
    </row>
    <row r="30" spans="1:20" x14ac:dyDescent="0.25">
      <c r="A30" s="87">
        <f>ROW()</f>
        <v>30</v>
      </c>
      <c r="B30" s="88" t="s">
        <v>159</v>
      </c>
      <c r="C30" s="88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R30"/>
      <c r="S30"/>
      <c r="T30"/>
    </row>
    <row r="31" spans="1:20" x14ac:dyDescent="0.25">
      <c r="A31" s="87">
        <f>ROW()</f>
        <v>31</v>
      </c>
      <c r="B31" s="90" t="s">
        <v>160</v>
      </c>
      <c r="C31" s="88"/>
      <c r="D31" s="89">
        <v>-1837799.24</v>
      </c>
      <c r="E31" s="89"/>
      <c r="F31" s="89">
        <f>SUM(D31:E31)</f>
        <v>-1837799.24</v>
      </c>
      <c r="G31" s="89">
        <f>-F31</f>
        <v>1837799.24</v>
      </c>
      <c r="H31" s="89">
        <f>SUM(F31:G31)</f>
        <v>0</v>
      </c>
      <c r="I31" s="89"/>
      <c r="J31" s="89">
        <f>SUM(H31:I31)</f>
        <v>0</v>
      </c>
      <c r="K31" s="89"/>
      <c r="L31" s="89">
        <f>SUM(J31:K31)</f>
        <v>0</v>
      </c>
      <c r="M31" s="89"/>
      <c r="N31" s="89">
        <f>SUM(L31:M31)</f>
        <v>0</v>
      </c>
      <c r="O31" s="89"/>
      <c r="P31" s="89">
        <f>SUM(N31:O31)</f>
        <v>0</v>
      </c>
      <c r="R31"/>
      <c r="S31"/>
      <c r="T31"/>
    </row>
    <row r="32" spans="1:20" x14ac:dyDescent="0.25">
      <c r="A32" s="87">
        <f>ROW()</f>
        <v>32</v>
      </c>
      <c r="B32" s="90" t="s">
        <v>161</v>
      </c>
      <c r="C32" s="93"/>
      <c r="D32" s="91"/>
      <c r="E32" s="104"/>
      <c r="F32" s="91">
        <f t="shared" ref="F32:H35" si="5">E32-D32</f>
        <v>0</v>
      </c>
      <c r="G32" s="104"/>
      <c r="H32" s="91">
        <f t="shared" si="5"/>
        <v>0</v>
      </c>
      <c r="I32" s="104"/>
      <c r="J32" s="91">
        <f>H32+I32</f>
        <v>0</v>
      </c>
      <c r="K32" s="91">
        <f>L32-J32</f>
        <v>1953892.4059906744</v>
      </c>
      <c r="L32" s="104">
        <v>1953892.4059906744</v>
      </c>
      <c r="M32" s="91">
        <f>N32-L32</f>
        <v>0</v>
      </c>
      <c r="N32" s="104">
        <v>1953892.4059906744</v>
      </c>
      <c r="O32" s="91">
        <f>P32-N32</f>
        <v>0</v>
      </c>
      <c r="P32" s="104">
        <v>1953892.4059906744</v>
      </c>
    </row>
    <row r="33" spans="1:16" x14ac:dyDescent="0.25">
      <c r="A33" s="87">
        <f>ROW()</f>
        <v>33</v>
      </c>
      <c r="B33" s="90" t="s">
        <v>162</v>
      </c>
      <c r="C33" s="93"/>
      <c r="D33" s="91"/>
      <c r="E33" s="104"/>
      <c r="F33" s="91">
        <f t="shared" si="5"/>
        <v>0</v>
      </c>
      <c r="G33" s="104"/>
      <c r="H33" s="91">
        <f t="shared" si="5"/>
        <v>0</v>
      </c>
      <c r="I33" s="104"/>
      <c r="J33" s="91">
        <f>H33+I33</f>
        <v>0</v>
      </c>
      <c r="K33" s="91">
        <f>L33-J33</f>
        <v>38743.117094653593</v>
      </c>
      <c r="L33" s="104">
        <v>38743.117094653593</v>
      </c>
      <c r="M33" s="91">
        <f>N33-L33</f>
        <v>0</v>
      </c>
      <c r="N33" s="104">
        <v>38743.117094653593</v>
      </c>
      <c r="O33" s="91">
        <f>P33-N33</f>
        <v>0</v>
      </c>
      <c r="P33" s="104">
        <v>38743.117094653593</v>
      </c>
    </row>
    <row r="34" spans="1:16" x14ac:dyDescent="0.25">
      <c r="A34" s="87">
        <f>ROW()</f>
        <v>34</v>
      </c>
      <c r="B34" s="90" t="s">
        <v>163</v>
      </c>
      <c r="C34" s="93"/>
      <c r="D34" s="91"/>
      <c r="E34" s="104"/>
      <c r="F34" s="91">
        <f t="shared" si="5"/>
        <v>0</v>
      </c>
      <c r="G34" s="104"/>
      <c r="H34" s="91">
        <f t="shared" si="5"/>
        <v>0</v>
      </c>
      <c r="I34" s="104"/>
      <c r="J34" s="91">
        <f>H34+I34</f>
        <v>0</v>
      </c>
      <c r="K34" s="91">
        <f>L34-J34</f>
        <v>49425.169902946385</v>
      </c>
      <c r="L34" s="104">
        <v>49425.169902946385</v>
      </c>
      <c r="M34" s="91">
        <f>N34-L34</f>
        <v>178659.22804067837</v>
      </c>
      <c r="N34" s="104">
        <v>228084.39794362476</v>
      </c>
      <c r="O34" s="91">
        <f>P34-N34</f>
        <v>309639.8489784752</v>
      </c>
      <c r="P34" s="104">
        <v>537724.24692209996</v>
      </c>
    </row>
    <row r="35" spans="1:16" x14ac:dyDescent="0.25">
      <c r="A35" s="87">
        <f>ROW()</f>
        <v>35</v>
      </c>
      <c r="B35" s="90" t="s">
        <v>164</v>
      </c>
      <c r="C35" s="93"/>
      <c r="D35" s="91"/>
      <c r="E35" s="104"/>
      <c r="F35" s="91">
        <f t="shared" si="5"/>
        <v>0</v>
      </c>
      <c r="G35" s="104"/>
      <c r="H35" s="91">
        <f t="shared" si="5"/>
        <v>0</v>
      </c>
      <c r="I35" s="104"/>
      <c r="J35" s="91">
        <f>H35+I35</f>
        <v>0</v>
      </c>
      <c r="K35" s="91">
        <f>L35-J35</f>
        <v>119425.69663519075</v>
      </c>
      <c r="L35" s="104">
        <v>119425.69663519075</v>
      </c>
      <c r="M35" s="91">
        <f>N35-L35</f>
        <v>0</v>
      </c>
      <c r="N35" s="104">
        <v>119425.69663519075</v>
      </c>
      <c r="O35" s="91">
        <f>P35-N35</f>
        <v>0</v>
      </c>
      <c r="P35" s="104">
        <v>119425.69663519075</v>
      </c>
    </row>
    <row r="36" spans="1:16" x14ac:dyDescent="0.25">
      <c r="A36" s="87">
        <f>ROW()</f>
        <v>36</v>
      </c>
      <c r="B36" s="93" t="s">
        <v>165</v>
      </c>
      <c r="C36" s="93"/>
      <c r="D36" s="100">
        <f>SUM(D31:D35)</f>
        <v>-1837799.24</v>
      </c>
      <c r="E36" s="100">
        <f t="shared" ref="E36:P36" si="6">SUM(E31:E35)</f>
        <v>0</v>
      </c>
      <c r="F36" s="100">
        <f t="shared" si="6"/>
        <v>-1837799.24</v>
      </c>
      <c r="G36" s="100">
        <f t="shared" si="6"/>
        <v>1837799.24</v>
      </c>
      <c r="H36" s="100">
        <f t="shared" si="6"/>
        <v>0</v>
      </c>
      <c r="I36" s="100">
        <f t="shared" si="6"/>
        <v>0</v>
      </c>
      <c r="J36" s="100">
        <f t="shared" si="6"/>
        <v>0</v>
      </c>
      <c r="K36" s="100">
        <f t="shared" si="6"/>
        <v>2161486.389623465</v>
      </c>
      <c r="L36" s="100">
        <f t="shared" si="6"/>
        <v>2161486.389623465</v>
      </c>
      <c r="M36" s="100">
        <f t="shared" si="6"/>
        <v>178659.22804067837</v>
      </c>
      <c r="N36" s="100">
        <f t="shared" si="6"/>
        <v>2340145.6176641439</v>
      </c>
      <c r="O36" s="100">
        <f t="shared" si="6"/>
        <v>309639.8489784752</v>
      </c>
      <c r="P36" s="100">
        <f t="shared" si="6"/>
        <v>2649785.4666426186</v>
      </c>
    </row>
    <row r="37" spans="1:16" ht="15.75" x14ac:dyDescent="0.25">
      <c r="A37" s="87">
        <f>ROW()</f>
        <v>37</v>
      </c>
      <c r="B37" s="59"/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</row>
    <row r="38" spans="1:16" x14ac:dyDescent="0.25">
      <c r="A38" s="87">
        <f>ROW()</f>
        <v>38</v>
      </c>
      <c r="B38" s="95" t="s">
        <v>166</v>
      </c>
      <c r="C38" s="95"/>
      <c r="D38" s="91">
        <f>D36</f>
        <v>-1837799.24</v>
      </c>
      <c r="E38" s="91">
        <f t="shared" ref="E38:P38" si="7">E36</f>
        <v>0</v>
      </c>
      <c r="F38" s="91">
        <f t="shared" si="7"/>
        <v>-1837799.24</v>
      </c>
      <c r="G38" s="91">
        <f t="shared" si="7"/>
        <v>1837799.24</v>
      </c>
      <c r="H38" s="91">
        <f t="shared" si="7"/>
        <v>0</v>
      </c>
      <c r="I38" s="91">
        <f t="shared" si="7"/>
        <v>0</v>
      </c>
      <c r="J38" s="91">
        <f t="shared" si="7"/>
        <v>0</v>
      </c>
      <c r="K38" s="91">
        <f t="shared" si="7"/>
        <v>2161486.389623465</v>
      </c>
      <c r="L38" s="91">
        <f t="shared" si="7"/>
        <v>2161486.389623465</v>
      </c>
      <c r="M38" s="91">
        <f t="shared" si="7"/>
        <v>178659.22804067837</v>
      </c>
      <c r="N38" s="91">
        <f t="shared" si="7"/>
        <v>2340145.6176641439</v>
      </c>
      <c r="O38" s="91">
        <f t="shared" si="7"/>
        <v>309639.8489784752</v>
      </c>
      <c r="P38" s="91">
        <f t="shared" si="7"/>
        <v>2649785.4666426186</v>
      </c>
    </row>
    <row r="39" spans="1:16" x14ac:dyDescent="0.25">
      <c r="A39" s="87">
        <f>ROW()</f>
        <v>39</v>
      </c>
      <c r="B39" s="95"/>
      <c r="C39" s="95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</row>
    <row r="40" spans="1:16" x14ac:dyDescent="0.25">
      <c r="A40" s="87">
        <f>ROW()</f>
        <v>40</v>
      </c>
      <c r="B40" s="95" t="s">
        <v>167</v>
      </c>
      <c r="C40" s="95"/>
      <c r="D40" s="91">
        <f>D27-D36</f>
        <v>1895969.35</v>
      </c>
      <c r="E40" s="91">
        <f t="shared" ref="E40:P40" si="8">E27-E36</f>
        <v>0</v>
      </c>
      <c r="F40" s="91">
        <f t="shared" si="8"/>
        <v>1895969.35</v>
      </c>
      <c r="G40" s="91">
        <f t="shared" si="8"/>
        <v>-1895969.35</v>
      </c>
      <c r="H40" s="91">
        <f t="shared" si="8"/>
        <v>0</v>
      </c>
      <c r="I40" s="91">
        <f t="shared" si="8"/>
        <v>0</v>
      </c>
      <c r="J40" s="91">
        <f t="shared" si="8"/>
        <v>0</v>
      </c>
      <c r="K40" s="91">
        <f t="shared" si="8"/>
        <v>-2161486.389623465</v>
      </c>
      <c r="L40" s="91">
        <f t="shared" si="8"/>
        <v>-2161486.389623465</v>
      </c>
      <c r="M40" s="91">
        <f t="shared" si="8"/>
        <v>-178659.22804067837</v>
      </c>
      <c r="N40" s="91">
        <f t="shared" si="8"/>
        <v>-2340145.6176641439</v>
      </c>
      <c r="O40" s="91">
        <f t="shared" si="8"/>
        <v>-309639.8489784752</v>
      </c>
      <c r="P40" s="91">
        <f t="shared" si="8"/>
        <v>-2649785.4666426186</v>
      </c>
    </row>
    <row r="41" spans="1:16" x14ac:dyDescent="0.25">
      <c r="A41" s="87">
        <f>ROW()</f>
        <v>41</v>
      </c>
      <c r="B41" s="95"/>
      <c r="C41" s="95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</row>
    <row r="42" spans="1:16" x14ac:dyDescent="0.25">
      <c r="A42" s="87">
        <f>ROW()</f>
        <v>42</v>
      </c>
      <c r="B42" s="95" t="s">
        <v>168</v>
      </c>
      <c r="C42" s="92">
        <v>0.21</v>
      </c>
      <c r="D42" s="107">
        <f>D40*$C42</f>
        <v>398153.56349999999</v>
      </c>
      <c r="E42" s="107">
        <f t="shared" ref="E42:P42" si="9">E40*$C42</f>
        <v>0</v>
      </c>
      <c r="F42" s="107">
        <f t="shared" si="9"/>
        <v>398153.56349999999</v>
      </c>
      <c r="G42" s="107">
        <f t="shared" si="9"/>
        <v>-398153.56349999999</v>
      </c>
      <c r="H42" s="107">
        <f t="shared" si="9"/>
        <v>0</v>
      </c>
      <c r="I42" s="107">
        <f t="shared" si="9"/>
        <v>0</v>
      </c>
      <c r="J42" s="107">
        <f t="shared" si="9"/>
        <v>0</v>
      </c>
      <c r="K42" s="107">
        <f t="shared" si="9"/>
        <v>-453912.14182092762</v>
      </c>
      <c r="L42" s="107">
        <f t="shared" si="9"/>
        <v>-453912.14182092762</v>
      </c>
      <c r="M42" s="107">
        <f t="shared" si="9"/>
        <v>-37518.437888542459</v>
      </c>
      <c r="N42" s="107">
        <f t="shared" si="9"/>
        <v>-491430.57970947021</v>
      </c>
      <c r="O42" s="107">
        <f t="shared" si="9"/>
        <v>-65024.368285479788</v>
      </c>
      <c r="P42" s="107">
        <f t="shared" si="9"/>
        <v>-556454.94799494988</v>
      </c>
    </row>
    <row r="43" spans="1:16" ht="15.75" thickBot="1" x14ac:dyDescent="0.3">
      <c r="A43" s="87">
        <f>ROW()</f>
        <v>43</v>
      </c>
      <c r="B43" s="95" t="s">
        <v>169</v>
      </c>
      <c r="C43" s="95"/>
      <c r="D43" s="108">
        <f>D40-D42</f>
        <v>1497815.7865000002</v>
      </c>
      <c r="E43" s="108">
        <f t="shared" ref="E43:P43" si="10">E40-E42</f>
        <v>0</v>
      </c>
      <c r="F43" s="108">
        <f t="shared" si="10"/>
        <v>1497815.7865000002</v>
      </c>
      <c r="G43" s="108">
        <f t="shared" si="10"/>
        <v>-1497815.7865000002</v>
      </c>
      <c r="H43" s="108">
        <f t="shared" si="10"/>
        <v>0</v>
      </c>
      <c r="I43" s="108">
        <f t="shared" si="10"/>
        <v>0</v>
      </c>
      <c r="J43" s="108">
        <f t="shared" si="10"/>
        <v>0</v>
      </c>
      <c r="K43" s="108">
        <f t="shared" si="10"/>
        <v>-1707574.2478025374</v>
      </c>
      <c r="L43" s="108">
        <f t="shared" si="10"/>
        <v>-1707574.2478025374</v>
      </c>
      <c r="M43" s="108">
        <f t="shared" si="10"/>
        <v>-141140.79015213592</v>
      </c>
      <c r="N43" s="108">
        <f t="shared" si="10"/>
        <v>-1848715.0379546736</v>
      </c>
      <c r="O43" s="108">
        <f t="shared" si="10"/>
        <v>-244615.48069299542</v>
      </c>
      <c r="P43" s="108">
        <f t="shared" si="10"/>
        <v>-2093330.5186476689</v>
      </c>
    </row>
    <row r="44" spans="1:16" ht="15.75" thickTop="1" x14ac:dyDescent="0.25">
      <c r="A44" s="87"/>
      <c r="D44" s="99"/>
      <c r="E44" s="99"/>
      <c r="F44" s="99"/>
      <c r="G44" s="99"/>
      <c r="I44" s="99"/>
      <c r="J44" s="99"/>
      <c r="P44" s="99"/>
    </row>
    <row r="45" spans="1:16" x14ac:dyDescent="0.25">
      <c r="I45"/>
      <c r="J45"/>
      <c r="K45"/>
      <c r="L45"/>
      <c r="M45"/>
      <c r="N45"/>
      <c r="O45"/>
      <c r="P45"/>
    </row>
    <row r="46" spans="1:16" x14ac:dyDescent="0.25">
      <c r="I46"/>
      <c r="J46"/>
      <c r="K46"/>
      <c r="L46"/>
      <c r="M46"/>
      <c r="N46"/>
      <c r="O46"/>
      <c r="P46"/>
    </row>
    <row r="47" spans="1:16" x14ac:dyDescent="0.25">
      <c r="I47"/>
      <c r="J47"/>
      <c r="K47"/>
      <c r="L47"/>
      <c r="M47"/>
      <c r="N47"/>
      <c r="O47"/>
      <c r="P47"/>
    </row>
    <row r="48" spans="1:16" x14ac:dyDescent="0.25">
      <c r="I48"/>
      <c r="J48"/>
      <c r="K48"/>
      <c r="L48"/>
      <c r="M48"/>
      <c r="N48"/>
      <c r="O48"/>
      <c r="P48"/>
    </row>
    <row r="49" spans="9:16" x14ac:dyDescent="0.25">
      <c r="I49"/>
      <c r="J49"/>
      <c r="K49"/>
      <c r="L49"/>
      <c r="M49"/>
      <c r="N49"/>
      <c r="O49"/>
      <c r="P49"/>
    </row>
    <row r="50" spans="9:16" x14ac:dyDescent="0.25">
      <c r="I50"/>
      <c r="J50"/>
      <c r="K50"/>
      <c r="L50"/>
      <c r="M50"/>
      <c r="N50"/>
      <c r="O50"/>
      <c r="P50"/>
    </row>
  </sheetData>
  <pageMargins left="0.7" right="0.7" top="0.75" bottom="0.75" header="0.3" footer="0.3"/>
  <pageSetup scale="92" fitToWidth="0" fitToHeight="0" orientation="portrait" r:id="rId1"/>
  <colBreaks count="1" manualBreakCount="1">
    <brk id="9" max="4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Date1 xmlns="dc463f71-b30c-4ab2-9473-d307f9d35888">2022-07-28T19:25:32+00:00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6719682-1ADD-4D70-A764-80CB3EF1D1C8}"/>
</file>

<file path=customXml/itemProps2.xml><?xml version="1.0" encoding="utf-8"?>
<ds:datastoreItem xmlns:ds="http://schemas.openxmlformats.org/officeDocument/2006/customXml" ds:itemID="{BB2F5EE6-AF5E-49A7-A4AE-FF1C75F8C5E7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sharepoint/v3/field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24f70c62-691b-492e-ba59-9d389529a97e"/>
    <ds:schemaRef ds:uri="http://schemas.openxmlformats.org/package/2006/metadata/core-properties"/>
    <ds:schemaRef ds:uri="a0689114-bdb9-4146-803a-240f5368dce0"/>
  </ds:schemaRefs>
</ds:datastoreItem>
</file>

<file path=customXml/itemProps3.xml><?xml version="1.0" encoding="utf-8"?>
<ds:datastoreItem xmlns:ds="http://schemas.openxmlformats.org/officeDocument/2006/customXml" ds:itemID="{4FEC8845-8170-4E13-B8D7-CFCA06FEA95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F875B2-368E-44B6-BD03-00404A9EB2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Summary Table</vt:lpstr>
      <vt:lpstr>Rev Req - Deferral</vt:lpstr>
      <vt:lpstr>Rev Req - TEP Cap</vt:lpstr>
      <vt:lpstr>Rev Req - TEP OpEx</vt:lpstr>
      <vt:lpstr>OpEx F</vt:lpstr>
      <vt:lpstr>Prov Proforma SEF-21</vt:lpstr>
      <vt:lpstr>EV Adj</vt:lpstr>
      <vt:lpstr>'OpEx F'!Print_Area</vt:lpstr>
      <vt:lpstr>'Prov Proforma SEF-21'!Print_Area</vt:lpstr>
      <vt:lpstr>'Summary Table'!Print_Area</vt:lpstr>
      <vt:lpstr>'Prov Proforma SEF-21'!Print_Titles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220066-67-Staff-Rector-Exh.ASR-3</dc:title>
  <dc:creator>Rector, Andrew (UTC)</dc:creator>
  <dc:description/>
  <cp:lastModifiedBy>Rector, Andrew (UTC)</cp:lastModifiedBy>
  <dcterms:created xsi:type="dcterms:W3CDTF">2022-05-10T21:22:22Z</dcterms:created>
  <dcterms:modified xsi:type="dcterms:W3CDTF">2022-07-08T23:05:59Z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