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120" windowWidth="11280" windowHeight="622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Detail!$A$1:$P$38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Detail!$A$1:$P$102</definedName>
    <definedName name="_xlnm.Print_Area" localSheetId="0">Summary!$A$1:$L$17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 iterate="1"/>
</workbook>
</file>

<file path=xl/calcChain.xml><?xml version="1.0" encoding="utf-8"?>
<calcChain xmlns="http://schemas.openxmlformats.org/spreadsheetml/2006/main">
  <c r="B36" i="3"/>
  <c r="D36"/>
  <c r="I37"/>
  <c r="B37" s="1"/>
  <c r="J36"/>
  <c r="L36" s="1"/>
  <c r="M36" s="1"/>
  <c r="E36"/>
  <c r="A4" i="2"/>
  <c r="N36" i="3" l="1"/>
  <c r="O36" s="1"/>
  <c r="F36"/>
  <c r="K26"/>
  <c r="K37" s="1"/>
  <c r="J26"/>
  <c r="J25"/>
  <c r="J35"/>
  <c r="D26" l="1"/>
  <c r="E26"/>
  <c r="L35"/>
  <c r="M35" s="1"/>
  <c r="E35"/>
  <c r="D35"/>
  <c r="E25"/>
  <c r="D25"/>
  <c r="L26"/>
  <c r="M26" s="1"/>
  <c r="L25"/>
  <c r="M25" s="1"/>
  <c r="J27"/>
  <c r="L27" s="1"/>
  <c r="M27" s="1"/>
  <c r="E27"/>
  <c r="D27"/>
  <c r="F25" l="1"/>
  <c r="F26"/>
  <c r="N35"/>
  <c r="O35" s="1"/>
  <c r="F27"/>
  <c r="N25"/>
  <c r="O25" s="1"/>
  <c r="F35"/>
  <c r="N26"/>
  <c r="O26" s="1"/>
  <c r="N27"/>
  <c r="O27" s="1"/>
  <c r="J24"/>
  <c r="E24" l="1"/>
  <c r="D24"/>
  <c r="L24"/>
  <c r="M24" s="1"/>
  <c r="F24"/>
  <c r="N24" l="1"/>
  <c r="O24" s="1"/>
  <c r="J23"/>
  <c r="J34"/>
  <c r="D65"/>
  <c r="D64"/>
  <c r="D63"/>
  <c r="J33" l="1"/>
  <c r="J22"/>
  <c r="L23"/>
  <c r="M23" s="1"/>
  <c r="L34"/>
  <c r="M34" s="1"/>
  <c r="E65"/>
  <c r="E64"/>
  <c r="E63"/>
  <c r="J30"/>
  <c r="D84"/>
  <c r="E84"/>
  <c r="I84"/>
  <c r="J84"/>
  <c r="D83"/>
  <c r="F83" s="1"/>
  <c r="E83"/>
  <c r="I83"/>
  <c r="I85" s="1"/>
  <c r="C12" i="2" s="1"/>
  <c r="J83" i="3"/>
  <c r="D77"/>
  <c r="F77" s="1"/>
  <c r="E77"/>
  <c r="J77"/>
  <c r="L77" s="1"/>
  <c r="M77" s="1"/>
  <c r="D76"/>
  <c r="E76"/>
  <c r="J76"/>
  <c r="L76" s="1"/>
  <c r="D75"/>
  <c r="E75"/>
  <c r="F75" s="1"/>
  <c r="J75"/>
  <c r="L75" s="1"/>
  <c r="M75" s="1"/>
  <c r="D74"/>
  <c r="F74" s="1"/>
  <c r="E74"/>
  <c r="J74"/>
  <c r="K74"/>
  <c r="D96"/>
  <c r="E96"/>
  <c r="I96"/>
  <c r="J96"/>
  <c r="D95"/>
  <c r="F95" s="1"/>
  <c r="E95"/>
  <c r="J95"/>
  <c r="K95"/>
  <c r="D94"/>
  <c r="E94"/>
  <c r="J94"/>
  <c r="K94"/>
  <c r="D93"/>
  <c r="F93" s="1"/>
  <c r="E93"/>
  <c r="J93"/>
  <c r="J97" s="1"/>
  <c r="D13" i="2" s="1"/>
  <c r="K93" i="3"/>
  <c r="D92"/>
  <c r="E92"/>
  <c r="L92"/>
  <c r="M92" s="1"/>
  <c r="D91"/>
  <c r="E91"/>
  <c r="F91" s="1"/>
  <c r="J91"/>
  <c r="K91"/>
  <c r="D90"/>
  <c r="E90"/>
  <c r="J90"/>
  <c r="K90"/>
  <c r="D89"/>
  <c r="E89"/>
  <c r="F89" s="1"/>
  <c r="J89"/>
  <c r="K89"/>
  <c r="D88"/>
  <c r="E88"/>
  <c r="J88"/>
  <c r="K88"/>
  <c r="D87"/>
  <c r="E87"/>
  <c r="F87" s="1"/>
  <c r="J87"/>
  <c r="K87"/>
  <c r="K97" s="1"/>
  <c r="E13" i="2" s="1"/>
  <c r="D82" i="3"/>
  <c r="E82"/>
  <c r="J82"/>
  <c r="K82"/>
  <c r="D81"/>
  <c r="E81"/>
  <c r="F81" s="1"/>
  <c r="J81"/>
  <c r="K81"/>
  <c r="D80"/>
  <c r="E80"/>
  <c r="J80"/>
  <c r="K80"/>
  <c r="D79"/>
  <c r="E79"/>
  <c r="F79" s="1"/>
  <c r="J79"/>
  <c r="K79"/>
  <c r="D78"/>
  <c r="E78"/>
  <c r="J78"/>
  <c r="K78"/>
  <c r="D68"/>
  <c r="E68"/>
  <c r="F68" s="1"/>
  <c r="J68"/>
  <c r="L68" s="1"/>
  <c r="L65"/>
  <c r="M65" s="1"/>
  <c r="N65" s="1"/>
  <c r="O65" s="1"/>
  <c r="L64"/>
  <c r="M64" s="1"/>
  <c r="N64" s="1"/>
  <c r="O64" s="1"/>
  <c r="L63"/>
  <c r="M63" s="1"/>
  <c r="N63" s="1"/>
  <c r="O63" s="1"/>
  <c r="D62"/>
  <c r="E62"/>
  <c r="F62" s="1"/>
  <c r="K62"/>
  <c r="L62" s="1"/>
  <c r="M62" s="1"/>
  <c r="D61"/>
  <c r="F61" s="1"/>
  <c r="E61"/>
  <c r="L61"/>
  <c r="M61" s="1"/>
  <c r="D60"/>
  <c r="E60"/>
  <c r="F60" s="1"/>
  <c r="L60"/>
  <c r="M60" s="1"/>
  <c r="D59"/>
  <c r="F59" s="1"/>
  <c r="E59"/>
  <c r="K59"/>
  <c r="L59" s="1"/>
  <c r="D58"/>
  <c r="E58"/>
  <c r="F58" s="1"/>
  <c r="K58"/>
  <c r="L58" s="1"/>
  <c r="M58" s="1"/>
  <c r="D57"/>
  <c r="E57"/>
  <c r="L57"/>
  <c r="M57" s="1"/>
  <c r="D56"/>
  <c r="E56"/>
  <c r="F56" s="1"/>
  <c r="L56"/>
  <c r="M56" s="1"/>
  <c r="D53"/>
  <c r="E53"/>
  <c r="J53"/>
  <c r="L53" s="1"/>
  <c r="M53" s="1"/>
  <c r="D52"/>
  <c r="E52"/>
  <c r="F52" s="1"/>
  <c r="J52"/>
  <c r="L52" s="1"/>
  <c r="D51"/>
  <c r="E51"/>
  <c r="J51"/>
  <c r="L51" s="1"/>
  <c r="M51" s="1"/>
  <c r="N51" s="1"/>
  <c r="O51" s="1"/>
  <c r="D50"/>
  <c r="E50"/>
  <c r="F50" s="1"/>
  <c r="J50"/>
  <c r="K50"/>
  <c r="K54" s="1"/>
  <c r="D49"/>
  <c r="E49"/>
  <c r="J49"/>
  <c r="L49" s="1"/>
  <c r="M49" s="1"/>
  <c r="D48"/>
  <c r="F48" s="1"/>
  <c r="E48"/>
  <c r="J48"/>
  <c r="L48" s="1"/>
  <c r="M48" s="1"/>
  <c r="D47"/>
  <c r="E47"/>
  <c r="J47"/>
  <c r="L47" s="1"/>
  <c r="M47" s="1"/>
  <c r="D46"/>
  <c r="F46" s="1"/>
  <c r="E46"/>
  <c r="J46"/>
  <c r="L46" s="1"/>
  <c r="M46" s="1"/>
  <c r="D45"/>
  <c r="E45"/>
  <c r="J45"/>
  <c r="L45" s="1"/>
  <c r="M45" s="1"/>
  <c r="D42"/>
  <c r="E42"/>
  <c r="J42"/>
  <c r="L42" s="1"/>
  <c r="M42" s="1"/>
  <c r="D41"/>
  <c r="E41"/>
  <c r="J41"/>
  <c r="L41" s="1"/>
  <c r="M41" s="1"/>
  <c r="D40"/>
  <c r="E40"/>
  <c r="J40"/>
  <c r="L40" s="1"/>
  <c r="M40" s="1"/>
  <c r="D39"/>
  <c r="E39"/>
  <c r="J39"/>
  <c r="L39" s="1"/>
  <c r="M39" s="1"/>
  <c r="D34"/>
  <c r="E34"/>
  <c r="D23"/>
  <c r="E23"/>
  <c r="L33"/>
  <c r="M33" s="1"/>
  <c r="D33"/>
  <c r="E33"/>
  <c r="L22"/>
  <c r="M22" s="1"/>
  <c r="D22"/>
  <c r="E22"/>
  <c r="D32"/>
  <c r="E32"/>
  <c r="J32"/>
  <c r="L32" s="1"/>
  <c r="M32" s="1"/>
  <c r="D31"/>
  <c r="E31"/>
  <c r="J31"/>
  <c r="L31" s="1"/>
  <c r="M31" s="1"/>
  <c r="L30"/>
  <c r="M30" s="1"/>
  <c r="D30"/>
  <c r="E30"/>
  <c r="D29"/>
  <c r="E29"/>
  <c r="J29"/>
  <c r="D28"/>
  <c r="E28"/>
  <c r="J28"/>
  <c r="L28" s="1"/>
  <c r="M28" s="1"/>
  <c r="D21"/>
  <c r="E21"/>
  <c r="J21"/>
  <c r="L21" s="1"/>
  <c r="D20"/>
  <c r="E20"/>
  <c r="J20"/>
  <c r="J37" s="1"/>
  <c r="D13"/>
  <c r="E13"/>
  <c r="D14"/>
  <c r="E14"/>
  <c r="D15"/>
  <c r="E15"/>
  <c r="D16"/>
  <c r="E16"/>
  <c r="D17"/>
  <c r="E17"/>
  <c r="A4"/>
  <c r="G36" s="1"/>
  <c r="A12"/>
  <c r="A13" s="1"/>
  <c r="A14" s="1"/>
  <c r="L13"/>
  <c r="M13" s="1"/>
  <c r="L14"/>
  <c r="M14" s="1"/>
  <c r="L15"/>
  <c r="M15" s="1"/>
  <c r="L16"/>
  <c r="M16" s="1"/>
  <c r="L17"/>
  <c r="M17" s="1"/>
  <c r="N75"/>
  <c r="F76"/>
  <c r="F78"/>
  <c r="F80"/>
  <c r="F82"/>
  <c r="F84"/>
  <c r="F88"/>
  <c r="F90"/>
  <c r="F92"/>
  <c r="F94"/>
  <c r="F96"/>
  <c r="I43"/>
  <c r="B43" s="1"/>
  <c r="I54"/>
  <c r="B54" s="1"/>
  <c r="I66"/>
  <c r="B66" s="1"/>
  <c r="I69"/>
  <c r="B69" s="1"/>
  <c r="I97"/>
  <c r="C13" i="2" s="1"/>
  <c r="K18" i="3"/>
  <c r="K43"/>
  <c r="K69"/>
  <c r="K85"/>
  <c r="E12" i="2" s="1"/>
  <c r="J85" i="3"/>
  <c r="D12" i="2" s="1"/>
  <c r="J18" i="3"/>
  <c r="J66"/>
  <c r="J69"/>
  <c r="F65"/>
  <c r="F64"/>
  <c r="F63"/>
  <c r="A2"/>
  <c r="A1"/>
  <c r="A10" i="2"/>
  <c r="A11" s="1"/>
  <c r="L9"/>
  <c r="P11" i="3"/>
  <c r="L11" i="2" l="1"/>
  <c r="A12"/>
  <c r="L10"/>
  <c r="L95" i="3"/>
  <c r="M95" s="1"/>
  <c r="L74"/>
  <c r="M74" s="1"/>
  <c r="N74" s="1"/>
  <c r="L83"/>
  <c r="M83" s="1"/>
  <c r="F39"/>
  <c r="F41"/>
  <c r="F32"/>
  <c r="G27"/>
  <c r="G26"/>
  <c r="G35"/>
  <c r="G25"/>
  <c r="L20"/>
  <c r="G68"/>
  <c r="G69" s="1"/>
  <c r="M21"/>
  <c r="N21" s="1"/>
  <c r="O21" s="1"/>
  <c r="L84"/>
  <c r="M84" s="1"/>
  <c r="L29"/>
  <c r="M29" s="1"/>
  <c r="N29" s="1"/>
  <c r="O29" s="1"/>
  <c r="F97"/>
  <c r="J13" i="2" s="1"/>
  <c r="F20" i="3"/>
  <c r="G76"/>
  <c r="F69"/>
  <c r="F21"/>
  <c r="F28"/>
  <c r="F29"/>
  <c r="F30"/>
  <c r="N31"/>
  <c r="O31" s="1"/>
  <c r="F31"/>
  <c r="F22"/>
  <c r="F33"/>
  <c r="F23"/>
  <c r="F34"/>
  <c r="L89"/>
  <c r="M89" s="1"/>
  <c r="P12"/>
  <c r="A15"/>
  <c r="G48"/>
  <c r="G89"/>
  <c r="G30"/>
  <c r="K66"/>
  <c r="N62"/>
  <c r="O62" s="1"/>
  <c r="L81"/>
  <c r="M81" s="1"/>
  <c r="L87"/>
  <c r="M87" s="1"/>
  <c r="L88"/>
  <c r="L93"/>
  <c r="M93" s="1"/>
  <c r="L94"/>
  <c r="M94" s="1"/>
  <c r="G58"/>
  <c r="G32"/>
  <c r="J43"/>
  <c r="K71"/>
  <c r="E10" i="2" s="1"/>
  <c r="N16" i="3"/>
  <c r="O16" s="1"/>
  <c r="N14"/>
  <c r="O14" s="1"/>
  <c r="F40"/>
  <c r="N41"/>
  <c r="O41" s="1"/>
  <c r="F42"/>
  <c r="F45"/>
  <c r="N46"/>
  <c r="O46" s="1"/>
  <c r="F47"/>
  <c r="N48"/>
  <c r="O48" s="1"/>
  <c r="F49"/>
  <c r="L50"/>
  <c r="M50" s="1"/>
  <c r="N50" s="1"/>
  <c r="O50" s="1"/>
  <c r="F51"/>
  <c r="F53"/>
  <c r="N56"/>
  <c r="O56" s="1"/>
  <c r="F57"/>
  <c r="F66" s="1"/>
  <c r="N58"/>
  <c r="O58" s="1"/>
  <c r="L79"/>
  <c r="M79" s="1"/>
  <c r="L80"/>
  <c r="M80" s="1"/>
  <c r="N80" s="1"/>
  <c r="O80" s="1"/>
  <c r="L91"/>
  <c r="M91" s="1"/>
  <c r="N81"/>
  <c r="O81" s="1"/>
  <c r="N95"/>
  <c r="O95" s="1"/>
  <c r="N94"/>
  <c r="O94" s="1"/>
  <c r="G80"/>
  <c r="G42"/>
  <c r="G52"/>
  <c r="G62"/>
  <c r="G93"/>
  <c r="G21"/>
  <c r="J54"/>
  <c r="N17"/>
  <c r="O17" s="1"/>
  <c r="N15"/>
  <c r="O15" s="1"/>
  <c r="N13"/>
  <c r="O13" s="1"/>
  <c r="N93"/>
  <c r="O93" s="1"/>
  <c r="N28"/>
  <c r="O28" s="1"/>
  <c r="N40"/>
  <c r="O40" s="1"/>
  <c r="N42"/>
  <c r="O42" s="1"/>
  <c r="N45"/>
  <c r="O45" s="1"/>
  <c r="N47"/>
  <c r="O47" s="1"/>
  <c r="N49"/>
  <c r="O49" s="1"/>
  <c r="N53"/>
  <c r="O53" s="1"/>
  <c r="L78"/>
  <c r="M78" s="1"/>
  <c r="L82"/>
  <c r="M82" s="1"/>
  <c r="L90"/>
  <c r="M90" s="1"/>
  <c r="L96"/>
  <c r="M96" s="1"/>
  <c r="J71"/>
  <c r="D10" i="2" s="1"/>
  <c r="F54" i="3"/>
  <c r="F85"/>
  <c r="J12" i="2" s="1"/>
  <c r="G81" i="3"/>
  <c r="G24"/>
  <c r="N96"/>
  <c r="O96" s="1"/>
  <c r="N90"/>
  <c r="O90" s="1"/>
  <c r="M88"/>
  <c r="N30"/>
  <c r="O30" s="1"/>
  <c r="G77"/>
  <c r="G23"/>
  <c r="K99"/>
  <c r="G40"/>
  <c r="G46"/>
  <c r="G50"/>
  <c r="G56"/>
  <c r="G60"/>
  <c r="G64"/>
  <c r="G83"/>
  <c r="G95"/>
  <c r="G91"/>
  <c r="J99"/>
  <c r="F43"/>
  <c r="G28"/>
  <c r="G22"/>
  <c r="G79"/>
  <c r="O75"/>
  <c r="N22"/>
  <c r="O22" s="1"/>
  <c r="N33"/>
  <c r="O33" s="1"/>
  <c r="N23"/>
  <c r="O23" s="1"/>
  <c r="N34"/>
  <c r="O34" s="1"/>
  <c r="N57"/>
  <c r="O57" s="1"/>
  <c r="N60"/>
  <c r="O60" s="1"/>
  <c r="N61"/>
  <c r="O61" s="1"/>
  <c r="N91"/>
  <c r="O91" s="1"/>
  <c r="N89"/>
  <c r="O89" s="1"/>
  <c r="N87"/>
  <c r="O87" s="1"/>
  <c r="E14" i="2"/>
  <c r="C14"/>
  <c r="J14" s="1"/>
  <c r="O74" i="3"/>
  <c r="L43"/>
  <c r="L54"/>
  <c r="M52"/>
  <c r="N52" s="1"/>
  <c r="O52" s="1"/>
  <c r="O54" s="1"/>
  <c r="N54" s="1"/>
  <c r="N32"/>
  <c r="O32" s="1"/>
  <c r="D14" i="2"/>
  <c r="N39" i="3"/>
  <c r="O39" s="1"/>
  <c r="I18"/>
  <c r="L66"/>
  <c r="M59"/>
  <c r="N59" s="1"/>
  <c r="O59" s="1"/>
  <c r="M68"/>
  <c r="N68" s="1"/>
  <c r="O68" s="1"/>
  <c r="O69" s="1"/>
  <c r="N69" s="1"/>
  <c r="L69"/>
  <c r="L85"/>
  <c r="M76"/>
  <c r="N92"/>
  <c r="O92" s="1"/>
  <c r="I99"/>
  <c r="F99" s="1"/>
  <c r="G75"/>
  <c r="G78"/>
  <c r="G82"/>
  <c r="G34"/>
  <c r="G41"/>
  <c r="G39"/>
  <c r="G45"/>
  <c r="G47"/>
  <c r="G49"/>
  <c r="G51"/>
  <c r="G53"/>
  <c r="G57"/>
  <c r="G59"/>
  <c r="G61"/>
  <c r="G63"/>
  <c r="G65"/>
  <c r="G84"/>
  <c r="G96"/>
  <c r="G94"/>
  <c r="G92"/>
  <c r="G90"/>
  <c r="G88"/>
  <c r="G87"/>
  <c r="G29"/>
  <c r="G20"/>
  <c r="G31"/>
  <c r="G33"/>
  <c r="G74"/>
  <c r="A13" i="2" l="1"/>
  <c r="L12"/>
  <c r="O18" i="3"/>
  <c r="N18" s="1"/>
  <c r="F37"/>
  <c r="L37"/>
  <c r="G37"/>
  <c r="E16" i="2"/>
  <c r="K101" i="3"/>
  <c r="N88"/>
  <c r="O88" s="1"/>
  <c r="O97" s="1"/>
  <c r="O66"/>
  <c r="N66" s="1"/>
  <c r="N83"/>
  <c r="O83" s="1"/>
  <c r="N77"/>
  <c r="O77" s="1"/>
  <c r="M20"/>
  <c r="N20" s="1"/>
  <c r="O20" s="1"/>
  <c r="O37" s="1"/>
  <c r="N82"/>
  <c r="O82" s="1"/>
  <c r="L97"/>
  <c r="F13" i="2" s="1"/>
  <c r="N79" i="3"/>
  <c r="O79" s="1"/>
  <c r="N78"/>
  <c r="O78" s="1"/>
  <c r="D16" i="2"/>
  <c r="J101" i="3"/>
  <c r="L18"/>
  <c r="L71" s="1"/>
  <c r="F10" i="2" s="1"/>
  <c r="N76" i="3"/>
  <c r="O76" s="1"/>
  <c r="B97"/>
  <c r="H13" i="2" s="1"/>
  <c r="G97" i="3"/>
  <c r="K13" i="2" s="1"/>
  <c r="F12"/>
  <c r="F14" s="1"/>
  <c r="L99" i="3"/>
  <c r="I71"/>
  <c r="B18"/>
  <c r="G43"/>
  <c r="G54"/>
  <c r="O43"/>
  <c r="G85"/>
  <c r="G66"/>
  <c r="L13" i="2" l="1"/>
  <c r="A14"/>
  <c r="N37" i="3"/>
  <c r="L101"/>
  <c r="F18"/>
  <c r="F71" s="1"/>
  <c r="J10" i="2" s="1"/>
  <c r="F16"/>
  <c r="N97" i="3"/>
  <c r="G13" i="2"/>
  <c r="I13" s="1"/>
  <c r="P13" i="3"/>
  <c r="G18"/>
  <c r="G71" s="1"/>
  <c r="N43"/>
  <c r="O71"/>
  <c r="B71"/>
  <c r="C10" i="2"/>
  <c r="I101" i="3"/>
  <c r="K12" i="2"/>
  <c r="K14" s="1"/>
  <c r="G99" i="3"/>
  <c r="A15" i="2" l="1"/>
  <c r="L14"/>
  <c r="B85" i="3"/>
  <c r="N84"/>
  <c r="O84" s="1"/>
  <c r="O85" s="1"/>
  <c r="N85" s="1"/>
  <c r="F101"/>
  <c r="C16" i="2"/>
  <c r="J16" s="1"/>
  <c r="G10"/>
  <c r="I10" s="1"/>
  <c r="N71" i="3"/>
  <c r="H10" i="2"/>
  <c r="P14" i="3"/>
  <c r="K10" i="2"/>
  <c r="G101" i="3"/>
  <c r="L15" i="2" l="1"/>
  <c r="A16"/>
  <c r="K16"/>
  <c r="H12"/>
  <c r="H14" s="1"/>
  <c r="H16" s="1"/>
  <c r="B99" i="3"/>
  <c r="B101" s="1"/>
  <c r="O99"/>
  <c r="G12" i="2"/>
  <c r="I12" s="1"/>
  <c r="G14"/>
  <c r="I14" s="1"/>
  <c r="P15" i="3"/>
  <c r="A16"/>
  <c r="L16" i="2" l="1"/>
  <c r="A17"/>
  <c r="L17" s="1"/>
  <c r="N99" i="3"/>
  <c r="O101"/>
  <c r="N101" s="1"/>
  <c r="G16" i="2"/>
  <c r="I16" s="1"/>
  <c r="A17" i="3"/>
  <c r="P16"/>
  <c r="P17" l="1"/>
  <c r="A18"/>
  <c r="A19" l="1"/>
  <c r="A20" s="1"/>
  <c r="P18"/>
  <c r="P20" l="1"/>
  <c r="A21"/>
  <c r="P19"/>
  <c r="A22" l="1"/>
  <c r="A23" s="1"/>
  <c r="A24" s="1"/>
  <c r="A25" s="1"/>
  <c r="A26" s="1"/>
  <c r="P21"/>
  <c r="P22" l="1"/>
  <c r="P23" l="1"/>
  <c r="P24" l="1"/>
  <c r="P25" l="1"/>
  <c r="A27" l="1"/>
  <c r="P26"/>
  <c r="A28" l="1"/>
  <c r="P27"/>
  <c r="P28" l="1"/>
  <c r="A29"/>
  <c r="P29" l="1"/>
  <c r="A30"/>
  <c r="P30" l="1"/>
  <c r="A31"/>
  <c r="A32" l="1"/>
  <c r="A33" s="1"/>
  <c r="P31"/>
  <c r="A34" l="1"/>
  <c r="P33"/>
  <c r="P32"/>
  <c r="A35" l="1"/>
  <c r="A36" s="1"/>
  <c r="P34"/>
  <c r="A37" l="1"/>
  <c r="P36"/>
  <c r="P35"/>
  <c r="A38" l="1"/>
  <c r="A39" s="1"/>
  <c r="A40" s="1"/>
  <c r="A41" s="1"/>
  <c r="A42" s="1"/>
  <c r="P37"/>
  <c r="P38" l="1"/>
  <c r="P39" l="1"/>
  <c r="P40" l="1"/>
  <c r="P41" l="1"/>
  <c r="A43" l="1"/>
  <c r="P42"/>
  <c r="A44" l="1"/>
  <c r="A45" s="1"/>
  <c r="A46" s="1"/>
  <c r="P43"/>
  <c r="P44" l="1"/>
  <c r="P45" l="1"/>
  <c r="P46" l="1"/>
  <c r="A47"/>
  <c r="A48" l="1"/>
  <c r="P47"/>
  <c r="P48" l="1"/>
  <c r="A49"/>
  <c r="A50" l="1"/>
  <c r="P49"/>
  <c r="P50" l="1"/>
  <c r="A51"/>
  <c r="A52" l="1"/>
  <c r="P51"/>
  <c r="A53" l="1"/>
  <c r="P52"/>
  <c r="P53" l="1"/>
  <c r="A54"/>
  <c r="P54" l="1"/>
  <c r="A55"/>
  <c r="P55" l="1"/>
  <c r="A56"/>
  <c r="A57" l="1"/>
  <c r="P56"/>
  <c r="P57" l="1"/>
  <c r="A58"/>
  <c r="P58" l="1"/>
  <c r="A59"/>
  <c r="A60" l="1"/>
  <c r="P59"/>
  <c r="A61" l="1"/>
  <c r="P60"/>
  <c r="A62" l="1"/>
  <c r="P61"/>
  <c r="A63" l="1"/>
  <c r="P62"/>
  <c r="A64" l="1"/>
  <c r="P63"/>
  <c r="P64" l="1"/>
  <c r="A65"/>
  <c r="P65" l="1"/>
  <c r="A66"/>
  <c r="A67" l="1"/>
  <c r="P66"/>
  <c r="P67" l="1"/>
  <c r="A68"/>
  <c r="A69" l="1"/>
  <c r="P68"/>
  <c r="P69" l="1"/>
  <c r="A70"/>
  <c r="A71" l="1"/>
  <c r="P70"/>
  <c r="A72" l="1"/>
  <c r="P71"/>
  <c r="A73" l="1"/>
  <c r="A74" s="1"/>
  <c r="A75" s="1"/>
  <c r="A76" s="1"/>
  <c r="A77" s="1"/>
  <c r="P72"/>
  <c r="P73" l="1"/>
  <c r="P74" l="1"/>
  <c r="P75" l="1"/>
  <c r="A78" l="1"/>
  <c r="A79" s="1"/>
  <c r="A80" s="1"/>
  <c r="P76"/>
  <c r="P77" l="1"/>
  <c r="P78" l="1"/>
  <c r="P79" l="1"/>
  <c r="P80" l="1"/>
  <c r="A81"/>
  <c r="P81" l="1"/>
  <c r="A82"/>
  <c r="A83" l="1"/>
  <c r="P82"/>
  <c r="A84" l="1"/>
  <c r="P83"/>
  <c r="A85" l="1"/>
  <c r="P84"/>
  <c r="A86" l="1"/>
  <c r="P85"/>
  <c r="P86" l="1"/>
  <c r="A87"/>
  <c r="P87" l="1"/>
  <c r="A88"/>
  <c r="P88" l="1"/>
  <c r="A89"/>
  <c r="A90" l="1"/>
  <c r="P89"/>
  <c r="A91" l="1"/>
  <c r="P90"/>
  <c r="P91" l="1"/>
  <c r="A92"/>
  <c r="A93" l="1"/>
  <c r="P92"/>
  <c r="P93" l="1"/>
  <c r="A94"/>
  <c r="A95" l="1"/>
  <c r="P94"/>
  <c r="P95" l="1"/>
  <c r="A96"/>
  <c r="P96" l="1"/>
  <c r="A97"/>
  <c r="A98" s="1"/>
  <c r="A99" s="1"/>
  <c r="P97" l="1"/>
  <c r="P98"/>
  <c r="P99" l="1"/>
  <c r="A100"/>
  <c r="P100" l="1"/>
  <c r="A101"/>
  <c r="A102" l="1"/>
  <c r="P102" s="1"/>
  <c r="P101"/>
</calcChain>
</file>

<file path=xl/sharedStrings.xml><?xml version="1.0" encoding="utf-8"?>
<sst xmlns="http://schemas.openxmlformats.org/spreadsheetml/2006/main" count="162" uniqueCount="122">
  <si>
    <t>PACIFICORP</t>
  </si>
  <si>
    <t>Electric Operations</t>
  </si>
  <si>
    <t>AMOUNT</t>
  </si>
  <si>
    <t>LINE</t>
  </si>
  <si>
    <t>CURRENTLY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</si>
  <si>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</si>
  <si>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</si>
  <si>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</si>
  <si>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</si>
  <si>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</si>
  <si>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</si>
  <si>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</si>
  <si>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</si>
  <si>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</si>
  <si>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</si>
  <si>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</si>
  <si>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</si>
  <si>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</si>
  <si>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</si>
  <si>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</si>
  <si>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</si>
  <si>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</si>
  <si>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</si>
  <si>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</si>
  <si>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</si>
  <si>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</si>
  <si>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</si>
  <si>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</si>
  <si>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</si>
  <si>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</si>
  <si>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</si>
  <si>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</si>
  <si>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</si>
  <si>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</si>
  <si>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</si>
  <si>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</si>
  <si>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</si>
  <si>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</si>
  <si>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</si>
  <si>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</si>
  <si>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</si>
  <si>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</si>
  <si>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</si>
  <si>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</si>
  <si>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Converse 88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</si>
  <si>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</si>
  <si>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</si>
  <si>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</si>
  <si>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</si>
  <si>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</si>
  <si>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</si>
  <si>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</si>
  <si>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</si>
  <si>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</si>
  <si>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</si>
  <si>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</si>
  <si>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</si>
  <si>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</si>
  <si>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</si>
  <si>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</si>
  <si>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</si>
  <si>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</si>
  <si>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</si>
  <si>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</si>
  <si>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</si>
  <si>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</si>
  <si>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</si>
  <si>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</si>
  <si>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</si>
  <si>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</si>
  <si>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</si>
  <si>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</si>
  <si>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</si>
  <si>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</si>
  <si>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</si>
  <si>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</si>
  <si>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</si>
  <si>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</si>
  <si>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</si>
  <si>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</si>
  <si>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</si>
  <si>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</si>
  <si>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</si>
  <si>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</si>
  <si>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</si>
  <si>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</si>
  <si>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</si>
  <si>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</si>
  <si>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</si>
  <si>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Forsyth 86 due Dec 2016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</si>
  <si>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</si>
  <si>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</si>
  <si>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</si>
  <si>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</si>
  <si>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</si>
  <si>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</si>
  <si>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</si>
  <si>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</si>
  <si>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</si>
  <si>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</si>
  <si>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>YTM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</si>
  <si>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</si>
  <si>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</si>
  <si>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</si>
  <si>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</si>
  <si>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</si>
  <si>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</si>
  <si>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</si>
  <si>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</si>
  <si>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</si>
  <si>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</si>
  <si>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</si>
  <si>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</si>
  <si>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</si>
  <si>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</si>
  <si>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</si>
  <si>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</si>
  <si>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</si>
  <si>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</si>
  <si>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>Pro Forma Cost of Long-Term Debt Summary</t>
  </si>
  <si>
    <t>Pro Forma Cost of Long-Term Debt Detail</t>
  </si>
  <si>
    <t xml:space="preserve">  Pro-Forma Issuance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</si>
</sst>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21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G Times (WN)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56"/>
      </top>
      <bottom/>
      <diagonal/>
    </border>
    <border>
      <left/>
      <right style="thin">
        <color indexed="12"/>
      </right>
      <top style="thin">
        <color indexed="56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7" fillId="0" borderId="0" xfId="0" applyFont="1"/>
    <xf numFmtId="167" fontId="8" fillId="0" borderId="0" xfId="0" applyNumberFormat="1" applyFont="1" applyBorder="1" applyAlignment="1" applyProtection="1">
      <alignment horizontal="center"/>
    </xf>
    <xf numFmtId="6" fontId="8" fillId="0" borderId="0" xfId="0" applyFont="1" applyBorder="1"/>
    <xf numFmtId="6" fontId="7" fillId="0" borderId="0" xfId="0" applyFont="1" applyBorder="1" applyAlignment="1">
      <alignment horizontal="center"/>
    </xf>
    <xf numFmtId="6" fontId="7" fillId="0" borderId="0" xfId="0" applyFont="1" applyBorder="1"/>
    <xf numFmtId="6" fontId="10" fillId="0" borderId="0" xfId="0" applyFont="1" applyFill="1" applyBorder="1" applyAlignment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center"/>
    </xf>
    <xf numFmtId="6" fontId="11" fillId="0" borderId="0" xfId="0" applyFont="1" applyFill="1" applyBorder="1"/>
    <xf numFmtId="5" fontId="7" fillId="0" borderId="0" xfId="0" applyNumberFormat="1" applyFont="1" applyBorder="1"/>
    <xf numFmtId="5" fontId="7" fillId="0" borderId="0" xfId="0" applyNumberFormat="1" applyFont="1" applyFill="1" applyBorder="1" applyProtection="1"/>
    <xf numFmtId="168" fontId="7" fillId="0" borderId="0" xfId="0" applyNumberFormat="1" applyFont="1" applyBorder="1" applyProtection="1"/>
    <xf numFmtId="5" fontId="7" fillId="0" borderId="0" xfId="0" applyNumberFormat="1" applyFont="1" applyBorder="1" applyProtection="1"/>
    <xf numFmtId="168" fontId="7" fillId="0" borderId="0" xfId="0" applyNumberFormat="1" applyFont="1" applyBorder="1" applyAlignment="1" applyProtection="1">
      <alignment horizontal="center"/>
    </xf>
    <xf numFmtId="5" fontId="9" fillId="0" borderId="0" xfId="0" applyNumberFormat="1" applyFont="1" applyFill="1" applyBorder="1" applyAlignment="1" applyProtection="1">
      <alignment horizontal="right"/>
    </xf>
    <xf numFmtId="168" fontId="8" fillId="0" borderId="0" xfId="2" applyNumberFormat="1" applyFont="1" applyBorder="1" applyAlignment="1">
      <alignment horizontal="center"/>
    </xf>
    <xf numFmtId="5" fontId="8" fillId="0" borderId="0" xfId="0" applyNumberFormat="1" applyFont="1" applyBorder="1" applyProtection="1"/>
    <xf numFmtId="168" fontId="8" fillId="0" borderId="0" xfId="2" applyNumberFormat="1" applyFont="1" applyBorder="1"/>
    <xf numFmtId="6" fontId="7" fillId="0" borderId="0" xfId="0" applyFont="1" applyAlignment="1">
      <alignment horizontal="center"/>
    </xf>
    <xf numFmtId="6" fontId="7" fillId="0" borderId="3" xfId="0" quotePrefix="1" applyFont="1" applyBorder="1" applyAlignment="1">
      <alignment horizontal="center"/>
    </xf>
    <xf numFmtId="6" fontId="7" fillId="0" borderId="1" xfId="0" applyFont="1" applyBorder="1"/>
    <xf numFmtId="6" fontId="7" fillId="0" borderId="1" xfId="0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7" fillId="0" borderId="0" xfId="0" applyFont="1" applyBorder="1" applyProtection="1">
      <protection locked="0"/>
    </xf>
    <xf numFmtId="6" fontId="7" fillId="0" borderId="0" xfId="0" applyFont="1" applyFill="1" applyBorder="1"/>
    <xf numFmtId="6" fontId="8" fillId="0" borderId="0" xfId="0" applyFont="1" applyFill="1" applyBorder="1"/>
    <xf numFmtId="6" fontId="10" fillId="0" borderId="0" xfId="0" applyFont="1" applyFill="1" applyBorder="1"/>
    <xf numFmtId="6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6" fontId="7" fillId="0" borderId="0" xfId="0" applyFont="1" applyFill="1"/>
    <xf numFmtId="6" fontId="0" fillId="0" borderId="0" xfId="0" applyBorder="1" applyAlignment="1">
      <alignment horizontal="center"/>
    </xf>
    <xf numFmtId="168" fontId="8" fillId="0" borderId="0" xfId="2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166" fontId="7" fillId="0" borderId="1" xfId="0" applyNumberFormat="1" applyFont="1" applyBorder="1" applyAlignment="1" applyProtection="1">
      <alignment horizontal="center"/>
    </xf>
    <xf numFmtId="167" fontId="7" fillId="0" borderId="1" xfId="0" applyNumberFormat="1" applyFont="1" applyBorder="1" applyAlignment="1" applyProtection="1">
      <alignment horizontal="center"/>
    </xf>
    <xf numFmtId="6" fontId="11" fillId="0" borderId="1" xfId="0" applyFont="1" applyFill="1" applyBorder="1"/>
    <xf numFmtId="5" fontId="7" fillId="0" borderId="1" xfId="0" applyNumberFormat="1" applyFont="1" applyBorder="1"/>
    <xf numFmtId="5" fontId="7" fillId="0" borderId="1" xfId="0" applyNumberFormat="1" applyFont="1" applyFill="1" applyBorder="1" applyProtection="1"/>
    <xf numFmtId="168" fontId="7" fillId="0" borderId="1" xfId="0" applyNumberFormat="1" applyFont="1" applyBorder="1" applyProtection="1"/>
    <xf numFmtId="5" fontId="7" fillId="0" borderId="1" xfId="0" applyNumberFormat="1" applyFont="1" applyBorder="1" applyProtection="1"/>
    <xf numFmtId="6" fontId="12" fillId="0" borderId="0" xfId="0" applyFont="1" applyBorder="1" applyAlignment="1">
      <alignment horizontal="center"/>
    </xf>
    <xf numFmtId="6" fontId="12" fillId="0" borderId="4" xfId="0" applyFont="1" applyBorder="1" applyAlignment="1">
      <alignment horizontal="center"/>
    </xf>
    <xf numFmtId="6" fontId="12" fillId="0" borderId="0" xfId="0" applyFont="1" applyBorder="1"/>
    <xf numFmtId="6" fontId="12" fillId="0" borderId="1" xfId="0" applyFont="1" applyBorder="1"/>
    <xf numFmtId="6" fontId="13" fillId="0" borderId="0" xfId="0" applyFont="1" applyBorder="1"/>
    <xf numFmtId="6" fontId="12" fillId="0" borderId="5" xfId="0" applyFont="1" applyBorder="1"/>
    <xf numFmtId="6" fontId="6" fillId="0" borderId="0" xfId="0" applyFont="1"/>
    <xf numFmtId="6" fontId="6" fillId="0" borderId="0" xfId="0" applyFont="1" applyBorder="1"/>
    <xf numFmtId="168" fontId="6" fillId="0" borderId="0" xfId="2" applyNumberFormat="1" applyFont="1" applyBorder="1"/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8" fontId="0" fillId="0" borderId="1" xfId="2" applyNumberFormat="1" applyFont="1" applyBorder="1"/>
    <xf numFmtId="43" fontId="0" fillId="0" borderId="0" xfId="1" applyNumberFormat="1" applyFont="1"/>
    <xf numFmtId="6" fontId="6" fillId="0" borderId="0" xfId="0" applyNumberFormat="1" applyFont="1" applyBorder="1"/>
    <xf numFmtId="6" fontId="8" fillId="0" borderId="0" xfId="0" applyNumberFormat="1" applyFont="1" applyFill="1" applyBorder="1"/>
    <xf numFmtId="168" fontId="6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70" fontId="6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8" fillId="0" borderId="0" xfId="0" applyNumberFormat="1" applyFont="1" applyBorder="1" applyAlignment="1" applyProtection="1">
      <alignment horizontal="right"/>
    </xf>
    <xf numFmtId="5" fontId="7" fillId="0" borderId="0" xfId="0" applyNumberFormat="1" applyFont="1" applyBorder="1" applyAlignment="1" applyProtection="1">
      <alignment horizontal="right"/>
      <protection locked="0"/>
    </xf>
    <xf numFmtId="6" fontId="14" fillId="0" borderId="0" xfId="0" applyFont="1" applyFill="1" applyBorder="1" applyAlignment="1">
      <alignment horizontal="center"/>
    </xf>
    <xf numFmtId="6" fontId="14" fillId="0" borderId="0" xfId="0" applyFont="1" applyFill="1" applyBorder="1"/>
    <xf numFmtId="6" fontId="13" fillId="0" borderId="0" xfId="0" applyFont="1"/>
    <xf numFmtId="6" fontId="13" fillId="0" borderId="4" xfId="0" applyFont="1" applyBorder="1"/>
    <xf numFmtId="6" fontId="12" fillId="0" borderId="0" xfId="0" applyFont="1" applyBorder="1" applyProtection="1"/>
    <xf numFmtId="168" fontId="12" fillId="0" borderId="0" xfId="2" applyNumberFormat="1" applyFont="1" applyBorder="1"/>
    <xf numFmtId="6" fontId="13" fillId="0" borderId="0" xfId="0" applyFont="1" applyBorder="1" applyAlignment="1">
      <alignment horizontal="center"/>
    </xf>
    <xf numFmtId="6" fontId="13" fillId="0" borderId="5" xfId="0" applyFont="1" applyBorder="1"/>
    <xf numFmtId="164" fontId="15" fillId="0" borderId="0" xfId="0" applyNumberFormat="1" applyFont="1" applyBorder="1" applyAlignment="1" applyProtection="1">
      <alignment horizontal="center"/>
      <protection locked="0"/>
    </xf>
    <xf numFmtId="6" fontId="13" fillId="0" borderId="0" xfId="0" applyFont="1" applyBorder="1" applyProtection="1"/>
    <xf numFmtId="164" fontId="15" fillId="0" borderId="0" xfId="0" applyNumberFormat="1" applyFont="1" applyBorder="1" applyProtection="1">
      <protection locked="0"/>
    </xf>
    <xf numFmtId="43" fontId="12" fillId="0" borderId="0" xfId="1" applyFont="1" applyBorder="1" applyAlignment="1">
      <alignment horizontal="center"/>
    </xf>
    <xf numFmtId="6" fontId="12" fillId="0" borderId="4" xfId="0" applyFont="1" applyBorder="1" applyAlignment="1" applyProtection="1">
      <alignment horizontal="center"/>
    </xf>
    <xf numFmtId="6" fontId="12" fillId="0" borderId="5" xfId="0" applyFont="1" applyBorder="1" applyAlignment="1" applyProtection="1">
      <alignment horizontal="center"/>
    </xf>
    <xf numFmtId="6" fontId="12" fillId="0" borderId="2" xfId="0" applyFont="1" applyBorder="1" applyAlignment="1">
      <alignment horizontal="center"/>
    </xf>
    <xf numFmtId="6" fontId="12" fillId="0" borderId="9" xfId="0" applyFont="1" applyBorder="1" applyAlignment="1">
      <alignment horizontal="center"/>
    </xf>
    <xf numFmtId="170" fontId="6" fillId="0" borderId="0" xfId="1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6" fontId="0" fillId="0" borderId="1" xfId="0" applyBorder="1" applyAlignment="1">
      <alignment horizontal="center"/>
    </xf>
    <xf numFmtId="6" fontId="12" fillId="0" borderId="6" xfId="0" applyFont="1" applyBorder="1" applyAlignment="1" applyProtection="1">
      <alignment horizontal="center"/>
    </xf>
    <xf numFmtId="6" fontId="7" fillId="2" borderId="0" xfId="0" applyFont="1" applyFill="1"/>
    <xf numFmtId="171" fontId="7" fillId="0" borderId="0" xfId="0" applyNumberFormat="1" applyFont="1" applyBorder="1"/>
    <xf numFmtId="6" fontId="7" fillId="0" borderId="0" xfId="0" applyNumberFormat="1" applyFont="1" applyBorder="1" applyProtection="1"/>
    <xf numFmtId="6" fontId="8" fillId="0" borderId="0" xfId="0" applyNumberFormat="1" applyFont="1" applyBorder="1" applyProtection="1"/>
    <xf numFmtId="6" fontId="7" fillId="0" borderId="0" xfId="0" applyNumberFormat="1" applyFont="1" applyFill="1" applyBorder="1"/>
    <xf numFmtId="6" fontId="13" fillId="0" borderId="4" xfId="0" applyNumberFormat="1" applyFont="1" applyBorder="1"/>
    <xf numFmtId="168" fontId="0" fillId="0" borderId="0" xfId="0" applyNumberFormat="1"/>
    <xf numFmtId="6" fontId="7" fillId="0" borderId="14" xfId="0" applyFont="1" applyBorder="1"/>
    <xf numFmtId="37" fontId="6" fillId="0" borderId="0" xfId="0" applyNumberFormat="1" applyFont="1" applyBorder="1"/>
    <xf numFmtId="37" fontId="0" fillId="0" borderId="0" xfId="0" applyNumberFormat="1" applyBorder="1"/>
    <xf numFmtId="37" fontId="0" fillId="0" borderId="2" xfId="0" applyNumberFormat="1" applyBorder="1"/>
    <xf numFmtId="167" fontId="17" fillId="0" borderId="5" xfId="0" applyNumberFormat="1" applyFont="1" applyBorder="1" applyAlignment="1" applyProtection="1">
      <alignment horizontal="center"/>
      <protection locked="0"/>
    </xf>
    <xf numFmtId="167" fontId="17" fillId="0" borderId="7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/>
    <xf numFmtId="37" fontId="8" fillId="0" borderId="0" xfId="0" applyNumberFormat="1" applyFont="1" applyFill="1" applyBorder="1"/>
    <xf numFmtId="37" fontId="3" fillId="0" borderId="0" xfId="0" applyNumberFormat="1" applyFont="1" applyFill="1" applyBorder="1" applyProtection="1"/>
    <xf numFmtId="5" fontId="17" fillId="0" borderId="0" xfId="0" applyNumberFormat="1" applyFont="1" applyBorder="1" applyProtection="1">
      <protection locked="0"/>
    </xf>
    <xf numFmtId="6" fontId="18" fillId="0" borderId="0" xfId="0" applyNumberFormat="1" applyFont="1" applyBorder="1" applyProtection="1">
      <protection locked="0"/>
    </xf>
    <xf numFmtId="167" fontId="17" fillId="0" borderId="5" xfId="0" applyNumberFormat="1" applyFont="1" applyBorder="1" applyProtection="1">
      <protection locked="0"/>
    </xf>
    <xf numFmtId="167" fontId="17" fillId="0" borderId="7" xfId="0" applyNumberFormat="1" applyFont="1" applyBorder="1" applyProtection="1">
      <protection locked="0"/>
    </xf>
    <xf numFmtId="6" fontId="19" fillId="3" borderId="0" xfId="0" applyFont="1" applyFill="1" applyBorder="1"/>
    <xf numFmtId="167" fontId="17" fillId="0" borderId="4" xfId="0" applyNumberFormat="1" applyFont="1" applyBorder="1" applyAlignment="1" applyProtection="1">
      <alignment horizontal="center"/>
      <protection locked="0"/>
    </xf>
    <xf numFmtId="167" fontId="17" fillId="0" borderId="4" xfId="0" applyNumberFormat="1" applyFont="1" applyFill="1" applyBorder="1" applyAlignment="1" applyProtection="1">
      <alignment horizontal="center"/>
      <protection locked="0"/>
    </xf>
    <xf numFmtId="167" fontId="17" fillId="0" borderId="6" xfId="0" applyNumberFormat="1" applyFont="1" applyFill="1" applyBorder="1" applyAlignment="1" applyProtection="1">
      <alignment horizontal="center"/>
      <protection locked="0"/>
    </xf>
    <xf numFmtId="6" fontId="16" fillId="3" borderId="8" xfId="0" applyFont="1" applyFill="1" applyBorder="1" applyAlignment="1">
      <alignment horizontal="center"/>
    </xf>
    <xf numFmtId="6" fontId="16" fillId="3" borderId="10" xfId="0" applyFont="1" applyFill="1" applyBorder="1" applyAlignment="1">
      <alignment horizontal="center"/>
    </xf>
    <xf numFmtId="6" fontId="16" fillId="3" borderId="11" xfId="0" applyFont="1" applyFill="1" applyBorder="1" applyAlignment="1">
      <alignment horizontal="center"/>
    </xf>
    <xf numFmtId="6" fontId="16" fillId="3" borderId="4" xfId="0" applyFont="1" applyFill="1" applyBorder="1" applyAlignment="1">
      <alignment horizontal="center"/>
    </xf>
    <xf numFmtId="6" fontId="16" fillId="3" borderId="0" xfId="0" applyFont="1" applyFill="1" applyBorder="1" applyAlignment="1">
      <alignment horizontal="center"/>
    </xf>
    <xf numFmtId="6" fontId="16" fillId="3" borderId="5" xfId="0" applyFont="1" applyFill="1" applyBorder="1" applyAlignment="1">
      <alignment horizontal="center"/>
    </xf>
    <xf numFmtId="172" fontId="16" fillId="3" borderId="4" xfId="0" applyNumberFormat="1" applyFont="1" applyFill="1" applyBorder="1" applyAlignment="1" applyProtection="1">
      <alignment horizontal="center"/>
      <protection locked="0"/>
    </xf>
    <xf numFmtId="172" fontId="16" fillId="3" borderId="0" xfId="0" applyNumberFormat="1" applyFont="1" applyFill="1" applyBorder="1" applyAlignment="1" applyProtection="1">
      <alignment horizontal="center"/>
      <protection locked="0"/>
    </xf>
    <xf numFmtId="172" fontId="16" fillId="3" borderId="5" xfId="0" applyNumberFormat="1" applyFont="1" applyFill="1" applyBorder="1" applyAlignment="1" applyProtection="1">
      <alignment horizontal="center"/>
      <protection locked="0"/>
    </xf>
    <xf numFmtId="6" fontId="12" fillId="0" borderId="12" xfId="0" applyFont="1" applyBorder="1" applyAlignment="1">
      <alignment horizontal="center"/>
    </xf>
    <xf numFmtId="6" fontId="16" fillId="4" borderId="8" xfId="0" applyFont="1" applyFill="1" applyBorder="1" applyAlignment="1">
      <alignment horizontal="center"/>
    </xf>
    <xf numFmtId="6" fontId="16" fillId="4" borderId="10" xfId="0" applyFont="1" applyFill="1" applyBorder="1" applyAlignment="1">
      <alignment horizontal="center"/>
    </xf>
    <xf numFmtId="6" fontId="16" fillId="4" borderId="11" xfId="0" applyFont="1" applyFill="1" applyBorder="1" applyAlignment="1">
      <alignment horizontal="center"/>
    </xf>
    <xf numFmtId="6" fontId="16" fillId="4" borderId="4" xfId="0" applyFont="1" applyFill="1" applyBorder="1" applyAlignment="1">
      <alignment horizontal="center"/>
    </xf>
    <xf numFmtId="6" fontId="16" fillId="4" borderId="0" xfId="0" applyFont="1" applyFill="1" applyBorder="1" applyAlignment="1">
      <alignment horizontal="center"/>
    </xf>
    <xf numFmtId="6" fontId="16" fillId="4" borderId="5" xfId="0" applyFont="1" applyFill="1" applyBorder="1" applyAlignment="1">
      <alignment horizontal="center"/>
    </xf>
    <xf numFmtId="172" fontId="16" fillId="4" borderId="4" xfId="0" applyNumberFormat="1" applyFont="1" applyFill="1" applyBorder="1" applyAlignment="1" applyProtection="1">
      <alignment horizontal="center"/>
      <protection locked="0"/>
    </xf>
    <xf numFmtId="172" fontId="16" fillId="4" borderId="0" xfId="0" applyNumberFormat="1" applyFont="1" applyFill="1" applyBorder="1" applyAlignment="1" applyProtection="1">
      <alignment horizontal="center"/>
      <protection locked="0"/>
    </xf>
    <xf numFmtId="172" fontId="16" fillId="4" borderId="5" xfId="0" applyNumberFormat="1" applyFont="1" applyFill="1" applyBorder="1" applyAlignment="1" applyProtection="1">
      <alignment horizontal="center"/>
      <protection locked="0"/>
    </xf>
    <xf numFmtId="167" fontId="17" fillId="0" borderId="6" xfId="0" applyNumberFormat="1" applyFont="1" applyBorder="1" applyAlignment="1" applyProtection="1">
      <alignment horizontal="center"/>
      <protection locked="0"/>
    </xf>
    <xf numFmtId="6" fontId="20" fillId="0" borderId="4" xfId="0" applyFont="1" applyBorder="1" applyAlignment="1">
      <alignment horizontal="center"/>
    </xf>
    <xf numFmtId="6" fontId="17" fillId="0" borderId="1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2">
    <pageSetUpPr fitToPage="1"/>
  </sheetPr>
  <dimension ref="A1:L27"/>
  <sheetViews>
    <sheetView tabSelected="1" defaultGridColor="0" colorId="22" zoomScale="85" workbookViewId="0">
      <selection activeCell="G27" sqref="G27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10" bestFit="1" customWidth="1"/>
    <col min="9" max="9" width="8.140625" customWidth="1"/>
    <col min="10" max="10" width="6" bestFit="1" customWidth="1"/>
    <col min="11" max="11" width="6" style="10" bestFit="1" customWidth="1"/>
    <col min="12" max="12" width="5.5703125" style="7" bestFit="1" customWidth="1"/>
    <col min="164" max="164" width="30.7109375" customWidth="1"/>
  </cols>
  <sheetData>
    <row r="1" spans="1:12" s="106" customFormat="1" ht="15.75" customHeight="1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</row>
    <row r="2" spans="1:12" s="106" customFormat="1" ht="15.75" customHeight="1">
      <c r="A2" s="133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</row>
    <row r="3" spans="1:12" s="106" customFormat="1" ht="15.75" customHeight="1">
      <c r="A3" s="133" t="s">
        <v>119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5"/>
    </row>
    <row r="4" spans="1:12" s="106" customFormat="1" ht="15.75">
      <c r="A4" s="136">
        <f>DATE(2013,6,30)</f>
        <v>41455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</row>
    <row r="5" spans="1:12" s="88" customFormat="1" ht="11.25">
      <c r="A5" s="111"/>
      <c r="B5" s="90"/>
      <c r="C5" s="91"/>
      <c r="D5" s="61"/>
      <c r="E5" s="61"/>
      <c r="F5" s="61"/>
      <c r="G5" s="61"/>
      <c r="H5" s="92"/>
      <c r="I5" s="61"/>
      <c r="J5" s="61"/>
      <c r="K5" s="92"/>
      <c r="L5" s="93"/>
    </row>
    <row r="6" spans="1:12" s="88" customFormat="1" ht="11.25">
      <c r="A6" s="89"/>
      <c r="B6" s="61"/>
      <c r="C6" s="57" t="s">
        <v>2</v>
      </c>
      <c r="D6" s="57"/>
      <c r="E6" s="57"/>
      <c r="F6" s="57"/>
      <c r="G6" s="57"/>
      <c r="H6" s="94"/>
      <c r="I6" s="95"/>
      <c r="J6" s="96"/>
      <c r="K6" s="97"/>
      <c r="L6" s="93"/>
    </row>
    <row r="7" spans="1:12" s="88" customFormat="1" ht="11.25">
      <c r="A7" s="98" t="s">
        <v>3</v>
      </c>
      <c r="B7" s="61"/>
      <c r="C7" s="57" t="s">
        <v>4</v>
      </c>
      <c r="D7" s="57" t="s">
        <v>5</v>
      </c>
      <c r="E7" s="57" t="s">
        <v>6</v>
      </c>
      <c r="F7" s="57" t="s">
        <v>7</v>
      </c>
      <c r="G7" s="57" t="s">
        <v>8</v>
      </c>
      <c r="H7" s="57" t="s">
        <v>20</v>
      </c>
      <c r="I7" s="57" t="s">
        <v>97</v>
      </c>
      <c r="J7" s="57" t="s">
        <v>99</v>
      </c>
      <c r="K7" s="97"/>
      <c r="L7" s="99" t="s">
        <v>3</v>
      </c>
    </row>
    <row r="8" spans="1:12" s="88" customFormat="1" ht="11.25">
      <c r="A8" s="105" t="s">
        <v>9</v>
      </c>
      <c r="B8" s="100" t="s">
        <v>10</v>
      </c>
      <c r="C8" s="100" t="s">
        <v>11</v>
      </c>
      <c r="D8" s="100" t="s">
        <v>12</v>
      </c>
      <c r="E8" s="100" t="s">
        <v>12</v>
      </c>
      <c r="F8" s="100" t="s">
        <v>13</v>
      </c>
      <c r="G8" s="100" t="s">
        <v>14</v>
      </c>
      <c r="H8" s="100" t="s">
        <v>24</v>
      </c>
      <c r="I8" s="100" t="s">
        <v>98</v>
      </c>
      <c r="J8" s="100" t="s">
        <v>30</v>
      </c>
      <c r="K8" s="100" t="s">
        <v>100</v>
      </c>
      <c r="L8" s="101" t="s">
        <v>9</v>
      </c>
    </row>
    <row r="9" spans="1:12">
      <c r="A9" s="127">
        <v>1</v>
      </c>
      <c r="B9" s="7"/>
      <c r="C9" s="7"/>
      <c r="D9" s="7"/>
      <c r="E9" s="7"/>
      <c r="F9" s="7"/>
      <c r="G9" s="7"/>
      <c r="H9" s="44"/>
      <c r="I9" s="7"/>
      <c r="J9" s="7"/>
      <c r="K9" s="44"/>
      <c r="L9" s="117">
        <f>A9</f>
        <v>1</v>
      </c>
    </row>
    <row r="10" spans="1:12" s="63" customFormat="1">
      <c r="A10" s="127">
        <f>A9+1</f>
        <v>2</v>
      </c>
      <c r="B10" s="66" t="s">
        <v>51</v>
      </c>
      <c r="C10" s="64">
        <f>Detail!I71</f>
        <v>6455534000</v>
      </c>
      <c r="D10" s="114">
        <f>Detail!J71</f>
        <v>-66571478.310000002</v>
      </c>
      <c r="E10" s="114">
        <f>Detail!K71</f>
        <v>-35244530.440000005</v>
      </c>
      <c r="F10" s="71">
        <f>Detail!L71</f>
        <v>6353717991.25</v>
      </c>
      <c r="G10" s="64">
        <f>Detail!O71</f>
        <v>367191673.91000003</v>
      </c>
      <c r="H10" s="73">
        <f>Detail!B71</f>
        <v>5.5382371040102955E-2</v>
      </c>
      <c r="I10" s="65">
        <f>G10/C10</f>
        <v>5.6880139413718528E-2</v>
      </c>
      <c r="J10" s="79">
        <f>Detail!F71</f>
        <v>23.476850389138992</v>
      </c>
      <c r="K10" s="102">
        <f>Detail!G71</f>
        <v>17.206880619360415</v>
      </c>
      <c r="L10" s="117">
        <f t="shared" ref="L10:L17" si="0">A10</f>
        <v>2</v>
      </c>
    </row>
    <row r="11" spans="1:12">
      <c r="A11" s="127">
        <f t="shared" ref="A11:A17" si="1">A10+1</f>
        <v>3</v>
      </c>
      <c r="B11" s="4"/>
      <c r="C11" s="7"/>
      <c r="D11" s="7"/>
      <c r="E11" s="7"/>
      <c r="F11" s="7"/>
      <c r="G11" s="7"/>
      <c r="H11" s="74"/>
      <c r="I11" s="67"/>
      <c r="J11" s="80"/>
      <c r="K11" s="103"/>
      <c r="L11" s="117">
        <f t="shared" si="0"/>
        <v>3</v>
      </c>
    </row>
    <row r="12" spans="1:12">
      <c r="A12" s="127">
        <f t="shared" si="1"/>
        <v>4</v>
      </c>
      <c r="B12" s="3" t="s">
        <v>107</v>
      </c>
      <c r="C12" s="7">
        <f>Detail!I85</f>
        <v>288615000</v>
      </c>
      <c r="D12" s="115">
        <f>Detail!J85</f>
        <v>-6620701.71</v>
      </c>
      <c r="E12" s="115">
        <f>Detail!K85</f>
        <v>-5398894</v>
      </c>
      <c r="F12" s="77">
        <f>Detail!L85</f>
        <v>276595404.29000002</v>
      </c>
      <c r="G12" s="7">
        <f>Detail!O85</f>
        <v>6103290.9500000002</v>
      </c>
      <c r="H12" s="74">
        <f>Detail!B85</f>
        <v>1.9164190147947957E-2</v>
      </c>
      <c r="I12" s="68">
        <f>G12/C12</f>
        <v>2.1146825182336331E-2</v>
      </c>
      <c r="J12" s="81">
        <f>Detail!F85</f>
        <v>28.940593293256882</v>
      </c>
      <c r="K12" s="81">
        <f>Detail!G85</f>
        <v>8.6667823051469952</v>
      </c>
      <c r="L12" s="117">
        <f t="shared" si="0"/>
        <v>4</v>
      </c>
    </row>
    <row r="13" spans="1:12">
      <c r="A13" s="127">
        <f t="shared" si="1"/>
        <v>5</v>
      </c>
      <c r="B13" s="3" t="s">
        <v>16</v>
      </c>
      <c r="C13" s="11">
        <f>Detail!I97</f>
        <v>325225000</v>
      </c>
      <c r="D13" s="116">
        <f>Detail!J97</f>
        <v>-3559218.52</v>
      </c>
      <c r="E13" s="116">
        <f>Detail!K97</f>
        <v>-7621229.1399999997</v>
      </c>
      <c r="F13" s="78">
        <f>Detail!L97</f>
        <v>314044552.33999997</v>
      </c>
      <c r="G13" s="11">
        <f>Detail!O97</f>
        <v>6477965.3999999994</v>
      </c>
      <c r="H13" s="75">
        <f>Detail!B97</f>
        <v>1.8248385150280572E-2</v>
      </c>
      <c r="I13" s="12">
        <f>G13/C13</f>
        <v>1.991841156122684E-2</v>
      </c>
      <c r="J13" s="82">
        <f>Detail!F97</f>
        <v>27.559078330386654</v>
      </c>
      <c r="K13" s="82">
        <f>Detail!G97</f>
        <v>4.2532005620040829</v>
      </c>
      <c r="L13" s="117">
        <f t="shared" si="0"/>
        <v>5</v>
      </c>
    </row>
    <row r="14" spans="1:12" s="63" customFormat="1">
      <c r="A14" s="127">
        <f t="shared" si="1"/>
        <v>6</v>
      </c>
      <c r="B14" s="6" t="s">
        <v>96</v>
      </c>
      <c r="C14" s="64">
        <f>SUM(C12:C13)</f>
        <v>613840000</v>
      </c>
      <c r="D14" s="114">
        <f>SUM(D12:D13)</f>
        <v>-10179920.23</v>
      </c>
      <c r="E14" s="114">
        <f>SUM(E12:E13)</f>
        <v>-13020123.140000001</v>
      </c>
      <c r="F14" s="71">
        <f>SUM(F12:F13)</f>
        <v>590639956.63</v>
      </c>
      <c r="G14" s="64">
        <f>SUM(G12:G13)</f>
        <v>12581256.35</v>
      </c>
      <c r="H14" s="73">
        <f>SUMPRODUCT(H12:H13,$C12:$C13)/$C14</f>
        <v>1.867897790963443E-2</v>
      </c>
      <c r="I14" s="65">
        <f>G14/C14</f>
        <v>2.0495986494852077E-2</v>
      </c>
      <c r="J14" s="79">
        <f>SUMPRODUCT(J12:J13,$C12:$C13)/$C14</f>
        <v>28.208638380251102</v>
      </c>
      <c r="K14" s="102">
        <f>SUMPRODUCT(K12:K13,$C12:$C13)/$C14</f>
        <v>6.3283763322327928</v>
      </c>
      <c r="L14" s="117">
        <f t="shared" si="0"/>
        <v>6</v>
      </c>
    </row>
    <row r="15" spans="1:12">
      <c r="A15" s="127">
        <f t="shared" si="1"/>
        <v>7</v>
      </c>
      <c r="B15" s="3"/>
      <c r="C15" s="7"/>
      <c r="D15" s="7"/>
      <c r="E15" s="7"/>
      <c r="F15" s="7"/>
      <c r="G15" s="7"/>
      <c r="H15" s="74"/>
      <c r="I15" s="67"/>
      <c r="J15" s="83"/>
      <c r="K15" s="81"/>
      <c r="L15" s="117">
        <f t="shared" si="0"/>
        <v>7</v>
      </c>
    </row>
    <row r="16" spans="1:12" s="63" customFormat="1">
      <c r="A16" s="127">
        <f t="shared" si="1"/>
        <v>8</v>
      </c>
      <c r="B16" s="6" t="s">
        <v>52</v>
      </c>
      <c r="C16" s="64">
        <f>C14+C10</f>
        <v>7069374000</v>
      </c>
      <c r="D16" s="114">
        <f>D14+D10</f>
        <v>-76751398.540000007</v>
      </c>
      <c r="E16" s="114">
        <f>E14+E10</f>
        <v>-48264653.580000006</v>
      </c>
      <c r="F16" s="71">
        <f>F14+F10</f>
        <v>6944357947.8800001</v>
      </c>
      <c r="G16" s="64">
        <f>G14+G10</f>
        <v>379772930.26000005</v>
      </c>
      <c r="H16" s="73">
        <f>(H10*C10+H14*C14)/C16</f>
        <v>5.2195382936317987E-2</v>
      </c>
      <c r="I16" s="65">
        <f>G16/C16</f>
        <v>5.3720871219997704E-2</v>
      </c>
      <c r="J16" s="79">
        <f>(J10*C10+J14*C14)/C16</f>
        <v>23.887715727493458</v>
      </c>
      <c r="K16" s="102">
        <f>(K10*C10+K14*C14)/C16</f>
        <v>16.262290465888491</v>
      </c>
      <c r="L16" s="117">
        <f t="shared" si="0"/>
        <v>8</v>
      </c>
    </row>
    <row r="17" spans="1:12">
      <c r="A17" s="149">
        <f t="shared" si="1"/>
        <v>9</v>
      </c>
      <c r="B17" s="2"/>
      <c r="C17" s="9"/>
      <c r="D17" s="9"/>
      <c r="E17" s="9"/>
      <c r="F17" s="9"/>
      <c r="G17" s="9"/>
      <c r="H17" s="76"/>
      <c r="I17" s="9"/>
      <c r="J17" s="69"/>
      <c r="K17" s="104"/>
      <c r="L17" s="118">
        <f t="shared" si="0"/>
        <v>9</v>
      </c>
    </row>
    <row r="18" spans="1:12">
      <c r="B18" s="1"/>
    </row>
    <row r="21" spans="1:12">
      <c r="C21" s="64"/>
      <c r="D21" s="64"/>
      <c r="E21" s="64"/>
      <c r="F21" s="71"/>
      <c r="G21" s="64"/>
      <c r="H21" s="73"/>
      <c r="I21" s="65"/>
      <c r="J21" s="79"/>
      <c r="K21" s="102"/>
    </row>
    <row r="22" spans="1:12">
      <c r="C22" s="64"/>
      <c r="D22" s="64"/>
      <c r="E22" s="64"/>
      <c r="F22" s="71"/>
      <c r="G22" s="64"/>
      <c r="H22" s="73"/>
      <c r="I22" s="65"/>
      <c r="J22" s="79"/>
      <c r="K22" s="102"/>
    </row>
    <row r="23" spans="1:12">
      <c r="C23" s="64"/>
      <c r="D23" s="64"/>
      <c r="E23" s="64"/>
      <c r="F23" s="71"/>
      <c r="G23" s="64"/>
      <c r="H23" s="73"/>
      <c r="I23" s="65"/>
      <c r="J23" s="79"/>
      <c r="K23" s="102"/>
    </row>
    <row r="24" spans="1:12">
      <c r="C24" s="64"/>
      <c r="D24" s="64"/>
      <c r="E24" s="64"/>
      <c r="F24" s="71"/>
      <c r="G24" s="64"/>
      <c r="H24" s="73"/>
      <c r="I24" s="65"/>
      <c r="J24" s="79"/>
      <c r="K24" s="102"/>
    </row>
    <row r="26" spans="1:12">
      <c r="I26" s="112"/>
    </row>
    <row r="27" spans="1:12">
      <c r="C27" s="70"/>
      <c r="D27" s="70"/>
      <c r="E27" s="70"/>
      <c r="F27" s="70"/>
    </row>
  </sheetData>
  <mergeCells count="4">
    <mergeCell ref="A1:L1"/>
    <mergeCell ref="A2:L2"/>
    <mergeCell ref="A3:L3"/>
    <mergeCell ref="A4:L4"/>
  </mergeCells>
  <phoneticPr fontId="4" type="noConversion"/>
  <printOptions horizontalCentered="1"/>
  <pageMargins left="0.5" right="0.5" top="0.7" bottom="0.55000000000000004" header="0.5" footer="0.5"/>
  <pageSetup scale="76" orientation="landscape" r:id="rId1"/>
  <headerFooter alignWithMargins="0"/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 codeName="Sheet3">
    <pageSetUpPr fitToPage="1"/>
  </sheetPr>
  <dimension ref="A1:P510"/>
  <sheetViews>
    <sheetView tabSelected="1" defaultGridColor="0" colorId="22" zoomScale="87" zoomScaleNormal="87" workbookViewId="0">
      <pane ySplit="10" topLeftCell="A11" activePane="bottomLeft" state="frozen"/>
      <selection activeCell="G27" sqref="G27"/>
      <selection pane="bottomLeft" activeCell="G27" sqref="G27"/>
    </sheetView>
  </sheetViews>
  <sheetFormatPr defaultColWidth="9.7109375" defaultRowHeight="12.75"/>
  <cols>
    <col min="1" max="1" width="5.5703125" style="31" customWidth="1"/>
    <col min="2" max="2" width="10.42578125" style="31" bestFit="1" customWidth="1"/>
    <col min="3" max="3" width="32.42578125" style="13" bestFit="1" customWidth="1"/>
    <col min="4" max="4" width="10.5703125" style="31" bestFit="1" customWidth="1"/>
    <col min="5" max="5" width="10.85546875" style="31" bestFit="1" customWidth="1"/>
    <col min="6" max="7" width="6.42578125" style="31" bestFit="1" customWidth="1"/>
    <col min="8" max="8" width="13.42578125" style="13" customWidth="1"/>
    <col min="9" max="9" width="14.85546875" style="13" customWidth="1"/>
    <col min="10" max="10" width="13.7109375" style="13" bestFit="1" customWidth="1"/>
    <col min="11" max="11" width="13.5703125" style="13" bestFit="1" customWidth="1"/>
    <col min="12" max="12" width="16.5703125" style="13" customWidth="1"/>
    <col min="13" max="13" width="11.28515625" style="13" customWidth="1"/>
    <col min="14" max="14" width="11" style="13" bestFit="1" customWidth="1"/>
    <col min="15" max="15" width="14.5703125" style="13" bestFit="1" customWidth="1"/>
    <col min="16" max="16" width="5.42578125" style="13" bestFit="1" customWidth="1"/>
    <col min="17" max="17" width="12" style="13" bestFit="1" customWidth="1"/>
    <col min="18" max="16384" width="9.7109375" style="13"/>
  </cols>
  <sheetData>
    <row r="1" spans="1:16" s="43" customFormat="1" ht="15.75" customHeight="1">
      <c r="A1" s="140" t="str">
        <f>Summary!A1</f>
        <v>PACIFICORP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1:16" s="43" customFormat="1" ht="15.75" customHeight="1">
      <c r="A2" s="143" t="str">
        <f>Summary!A2</f>
        <v>Electric Operations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</row>
    <row r="3" spans="1:16" s="43" customFormat="1" ht="15.75" customHeight="1">
      <c r="A3" s="143" t="s">
        <v>120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</row>
    <row r="4" spans="1:16" s="43" customFormat="1" ht="15.75">
      <c r="A4" s="146">
        <f>Summary!A4</f>
        <v>41455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8"/>
    </row>
    <row r="5" spans="1:16" s="88" customFormat="1" ht="11.25">
      <c r="A5" s="58"/>
      <c r="B5" s="86"/>
      <c r="C5" s="87"/>
      <c r="D5" s="86"/>
      <c r="E5" s="86"/>
      <c r="F5" s="86"/>
      <c r="G5" s="86"/>
      <c r="H5" s="87"/>
      <c r="I5" s="87"/>
      <c r="J5" s="87"/>
      <c r="K5" s="87"/>
      <c r="L5" s="87"/>
      <c r="M5" s="87"/>
      <c r="N5" s="87"/>
      <c r="O5" s="87"/>
      <c r="P5" s="62"/>
    </row>
    <row r="6" spans="1:16">
      <c r="A6" s="58"/>
      <c r="B6" s="57"/>
      <c r="C6" s="59"/>
      <c r="D6" s="57"/>
      <c r="E6" s="57"/>
      <c r="F6" s="57"/>
      <c r="G6" s="57"/>
      <c r="H6" s="60"/>
      <c r="I6" s="60"/>
      <c r="J6" s="59"/>
      <c r="K6" s="59"/>
      <c r="L6" s="139" t="s">
        <v>18</v>
      </c>
      <c r="M6" s="139"/>
      <c r="N6" s="17"/>
      <c r="O6" s="61"/>
      <c r="P6" s="62"/>
    </row>
    <row r="7" spans="1:16">
      <c r="A7" s="58"/>
      <c r="B7" s="57"/>
      <c r="C7" s="59"/>
      <c r="D7" s="57"/>
      <c r="E7" s="57"/>
      <c r="F7" s="57"/>
      <c r="G7" s="57"/>
      <c r="H7" s="139" t="s">
        <v>104</v>
      </c>
      <c r="I7" s="139"/>
      <c r="J7" s="59"/>
      <c r="K7" s="59"/>
      <c r="L7" s="57" t="s">
        <v>21</v>
      </c>
      <c r="M7" s="57" t="s">
        <v>22</v>
      </c>
      <c r="N7" s="17"/>
      <c r="O7" s="61"/>
      <c r="P7" s="62"/>
    </row>
    <row r="8" spans="1:16">
      <c r="A8" s="58" t="s">
        <v>3</v>
      </c>
      <c r="B8" s="57" t="s">
        <v>20</v>
      </c>
      <c r="C8" s="59" t="s">
        <v>17</v>
      </c>
      <c r="D8" s="57" t="s">
        <v>5</v>
      </c>
      <c r="E8" s="57" t="s">
        <v>25</v>
      </c>
      <c r="F8" s="57" t="s">
        <v>99</v>
      </c>
      <c r="G8" s="57"/>
      <c r="H8" s="57" t="s">
        <v>26</v>
      </c>
      <c r="I8" s="57" t="s">
        <v>4</v>
      </c>
      <c r="J8" s="57" t="s">
        <v>5</v>
      </c>
      <c r="K8" s="57" t="s">
        <v>6</v>
      </c>
      <c r="L8" s="57" t="s">
        <v>27</v>
      </c>
      <c r="M8" s="57" t="s">
        <v>28</v>
      </c>
      <c r="N8" s="57" t="s">
        <v>19</v>
      </c>
      <c r="O8" s="57" t="s">
        <v>8</v>
      </c>
      <c r="P8" s="62" t="s">
        <v>3</v>
      </c>
    </row>
    <row r="9" spans="1:16">
      <c r="A9" s="150" t="s">
        <v>9</v>
      </c>
      <c r="B9" s="57" t="s">
        <v>24</v>
      </c>
      <c r="C9" s="57" t="s">
        <v>10</v>
      </c>
      <c r="D9" s="57" t="s">
        <v>29</v>
      </c>
      <c r="E9" s="57" t="s">
        <v>29</v>
      </c>
      <c r="F9" s="57" t="s">
        <v>30</v>
      </c>
      <c r="G9" s="57" t="s">
        <v>100</v>
      </c>
      <c r="H9" s="57" t="s">
        <v>31</v>
      </c>
      <c r="I9" s="57" t="s">
        <v>11</v>
      </c>
      <c r="J9" s="57" t="s">
        <v>12</v>
      </c>
      <c r="K9" s="57" t="s">
        <v>12</v>
      </c>
      <c r="L9" s="57" t="s">
        <v>2</v>
      </c>
      <c r="M9" s="57" t="s">
        <v>2</v>
      </c>
      <c r="N9" s="57" t="s">
        <v>23</v>
      </c>
      <c r="O9" s="57" t="s">
        <v>14</v>
      </c>
      <c r="P9" s="62" t="s">
        <v>9</v>
      </c>
    </row>
    <row r="10" spans="1:16">
      <c r="A10" s="151"/>
      <c r="B10" s="32" t="s">
        <v>49</v>
      </c>
      <c r="C10" s="32" t="s">
        <v>50</v>
      </c>
      <c r="D10" s="32" t="s">
        <v>59</v>
      </c>
      <c r="E10" s="32" t="s">
        <v>60</v>
      </c>
      <c r="F10" s="32" t="s">
        <v>61</v>
      </c>
      <c r="G10" s="32" t="s">
        <v>62</v>
      </c>
      <c r="H10" s="32" t="s">
        <v>63</v>
      </c>
      <c r="I10" s="32" t="s">
        <v>64</v>
      </c>
      <c r="J10" s="32" t="s">
        <v>65</v>
      </c>
      <c r="K10" s="32" t="s">
        <v>66</v>
      </c>
      <c r="L10" s="32" t="s">
        <v>67</v>
      </c>
      <c r="M10" s="32" t="s">
        <v>68</v>
      </c>
      <c r="N10" s="32" t="s">
        <v>69</v>
      </c>
      <c r="O10" s="32" t="s">
        <v>70</v>
      </c>
      <c r="P10" s="113" t="s">
        <v>15</v>
      </c>
    </row>
    <row r="11" spans="1:16">
      <c r="A11" s="127">
        <v>1</v>
      </c>
      <c r="B11" s="16"/>
      <c r="C11" s="17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24">
        <f>A11</f>
        <v>1</v>
      </c>
    </row>
    <row r="12" spans="1:16">
      <c r="A12" s="127">
        <f>A11+1</f>
        <v>2</v>
      </c>
      <c r="B12" s="16"/>
      <c r="C12" s="126" t="s">
        <v>32</v>
      </c>
      <c r="D12" s="18"/>
      <c r="E12" s="19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24">
        <f>A12</f>
        <v>2</v>
      </c>
    </row>
    <row r="13" spans="1:16">
      <c r="A13" s="127">
        <f t="shared" ref="A13:A14" si="0">A12+1</f>
        <v>3</v>
      </c>
      <c r="B13" s="26">
        <v>8.7970000000000007E-2</v>
      </c>
      <c r="C13" s="37" t="s">
        <v>71</v>
      </c>
      <c r="D13" s="19">
        <f t="shared" ref="D13:D17" si="1">DATE(1992,4,15)</f>
        <v>33709</v>
      </c>
      <c r="E13" s="19">
        <f>DATE(2013,10,1)</f>
        <v>41548</v>
      </c>
      <c r="F13" s="20">
        <v>21.461111111111112</v>
      </c>
      <c r="G13" s="20">
        <v>0.25277777777777777</v>
      </c>
      <c r="H13" s="25">
        <v>16203000</v>
      </c>
      <c r="I13" s="85">
        <v>1536000</v>
      </c>
      <c r="J13" s="25">
        <v>0</v>
      </c>
      <c r="K13" s="25">
        <v>0</v>
      </c>
      <c r="L13" s="25">
        <f t="shared" ref="L13:L17" si="2">SUM(I13:K13)</f>
        <v>1536000</v>
      </c>
      <c r="M13" s="107">
        <f t="shared" ref="M13:M17" si="3">L13/I13*100</f>
        <v>100</v>
      </c>
      <c r="N13" s="24">
        <f t="shared" ref="N13:N17" si="4">ROUND(YIELD(D13,E13,B13,M13,100,2,0),5)</f>
        <v>8.7959999999999997E-2</v>
      </c>
      <c r="O13" s="108">
        <f t="shared" ref="O13:O17" si="5">ROUND(N13,5)*I13</f>
        <v>135106.56</v>
      </c>
      <c r="P13" s="124">
        <f t="shared" ref="P13:P67" si="6">A13</f>
        <v>3</v>
      </c>
    </row>
    <row r="14" spans="1:16">
      <c r="A14" s="127">
        <f t="shared" si="0"/>
        <v>4</v>
      </c>
      <c r="B14" s="26">
        <v>8.7340000000000001E-2</v>
      </c>
      <c r="C14" s="37" t="s">
        <v>72</v>
      </c>
      <c r="D14" s="19">
        <f t="shared" si="1"/>
        <v>33709</v>
      </c>
      <c r="E14" s="19">
        <f>DATE(2014,10,1)</f>
        <v>41913</v>
      </c>
      <c r="F14" s="20">
        <v>21.981754223457283</v>
      </c>
      <c r="G14" s="20">
        <v>0.77342089012394677</v>
      </c>
      <c r="H14" s="25">
        <v>28218000</v>
      </c>
      <c r="I14" s="85">
        <v>5038000</v>
      </c>
      <c r="J14" s="25">
        <v>0</v>
      </c>
      <c r="K14" s="25">
        <v>0</v>
      </c>
      <c r="L14" s="25">
        <f t="shared" si="2"/>
        <v>5038000</v>
      </c>
      <c r="M14" s="107">
        <f t="shared" si="3"/>
        <v>100</v>
      </c>
      <c r="N14" s="24">
        <f t="shared" si="4"/>
        <v>8.7330000000000005E-2</v>
      </c>
      <c r="O14" s="108">
        <f t="shared" si="5"/>
        <v>439968.54000000004</v>
      </c>
      <c r="P14" s="124">
        <f t="shared" si="6"/>
        <v>4</v>
      </c>
    </row>
    <row r="15" spans="1:16">
      <c r="A15" s="127">
        <f t="shared" ref="A15" si="7">A14+1</f>
        <v>5</v>
      </c>
      <c r="B15" s="26">
        <v>8.294E-2</v>
      </c>
      <c r="C15" s="37" t="s">
        <v>73</v>
      </c>
      <c r="D15" s="19">
        <f t="shared" si="1"/>
        <v>33709</v>
      </c>
      <c r="E15" s="19">
        <f>DATE(2015,10,1)</f>
        <v>42278</v>
      </c>
      <c r="F15" s="20">
        <v>22.514414543921184</v>
      </c>
      <c r="G15" s="20">
        <v>1.3060812105878521</v>
      </c>
      <c r="H15" s="25">
        <v>46946000</v>
      </c>
      <c r="I15" s="85">
        <v>11594000</v>
      </c>
      <c r="J15" s="25">
        <v>0</v>
      </c>
      <c r="K15" s="25">
        <v>0</v>
      </c>
      <c r="L15" s="25">
        <f t="shared" si="2"/>
        <v>11594000</v>
      </c>
      <c r="M15" s="107">
        <f t="shared" si="3"/>
        <v>100</v>
      </c>
      <c r="N15" s="24">
        <f t="shared" si="4"/>
        <v>8.2930000000000004E-2</v>
      </c>
      <c r="O15" s="108">
        <f t="shared" si="5"/>
        <v>961490.42</v>
      </c>
      <c r="P15" s="124">
        <f t="shared" si="6"/>
        <v>5</v>
      </c>
    </row>
    <row r="16" spans="1:16">
      <c r="A16" s="128">
        <f t="shared" ref="A16:A68" si="8">A15+1</f>
        <v>6</v>
      </c>
      <c r="B16" s="26">
        <v>8.635000000000001E-2</v>
      </c>
      <c r="C16" s="37" t="s">
        <v>74</v>
      </c>
      <c r="D16" s="19">
        <f t="shared" si="1"/>
        <v>33709</v>
      </c>
      <c r="E16" s="19">
        <f>DATE(2016,10,1)</f>
        <v>42644</v>
      </c>
      <c r="F16" s="20">
        <v>23.063882859316156</v>
      </c>
      <c r="G16" s="20">
        <v>1.8555495259828205</v>
      </c>
      <c r="H16" s="25">
        <v>18750000</v>
      </c>
      <c r="I16" s="85">
        <v>5989000</v>
      </c>
      <c r="J16" s="25">
        <v>0</v>
      </c>
      <c r="K16" s="25">
        <v>0</v>
      </c>
      <c r="L16" s="25">
        <f t="shared" si="2"/>
        <v>5989000</v>
      </c>
      <c r="M16" s="107">
        <f t="shared" si="3"/>
        <v>100</v>
      </c>
      <c r="N16" s="24">
        <f t="shared" si="4"/>
        <v>8.634E-2</v>
      </c>
      <c r="O16" s="108">
        <f t="shared" si="5"/>
        <v>517090.26</v>
      </c>
      <c r="P16" s="124">
        <f t="shared" si="6"/>
        <v>6</v>
      </c>
    </row>
    <row r="17" spans="1:16">
      <c r="A17" s="128">
        <f t="shared" si="8"/>
        <v>7</v>
      </c>
      <c r="B17" s="26">
        <v>8.4699999999999998E-2</v>
      </c>
      <c r="C17" s="37" t="s">
        <v>75</v>
      </c>
      <c r="D17" s="19">
        <f t="shared" si="1"/>
        <v>33709</v>
      </c>
      <c r="E17" s="19">
        <f>DATE(2017,10,1)</f>
        <v>43009</v>
      </c>
      <c r="F17" s="20">
        <v>23.622558854096063</v>
      </c>
      <c r="G17" s="20">
        <v>2.4142255207627308</v>
      </c>
      <c r="H17" s="25">
        <v>19609000</v>
      </c>
      <c r="I17" s="85">
        <v>7377000</v>
      </c>
      <c r="J17" s="25">
        <v>0</v>
      </c>
      <c r="K17" s="25">
        <v>0</v>
      </c>
      <c r="L17" s="25">
        <f t="shared" si="2"/>
        <v>7377000</v>
      </c>
      <c r="M17" s="107">
        <f t="shared" si="3"/>
        <v>100</v>
      </c>
      <c r="N17" s="24">
        <f t="shared" si="4"/>
        <v>8.4690000000000001E-2</v>
      </c>
      <c r="O17" s="108">
        <f t="shared" si="5"/>
        <v>624758.13</v>
      </c>
      <c r="P17" s="124">
        <f t="shared" si="6"/>
        <v>7</v>
      </c>
    </row>
    <row r="18" spans="1:16">
      <c r="A18" s="128">
        <f t="shared" si="8"/>
        <v>8</v>
      </c>
      <c r="B18" s="28">
        <f>SUMPRODUCT(B13:B17,I13:I17)/I18</f>
        <v>8.4947334622946666E-2</v>
      </c>
      <c r="C18" s="15" t="s">
        <v>94</v>
      </c>
      <c r="D18" s="16"/>
      <c r="E18" s="16"/>
      <c r="F18" s="14">
        <f>SUMPRODUCT(F13:F17,I13:I17)/I18</f>
        <v>22.741602009823609</v>
      </c>
      <c r="G18" s="14">
        <f>SUMPRODUCT(G13:G17,I13:I17)/I18</f>
        <v>1.5332686764902788</v>
      </c>
      <c r="H18" s="17"/>
      <c r="I18" s="84">
        <f>SUM(I13:I17)</f>
        <v>31534000</v>
      </c>
      <c r="J18" s="29">
        <f>SUM(J13:J17)</f>
        <v>0</v>
      </c>
      <c r="K18" s="29">
        <f>SUM(K13:K17)</f>
        <v>0</v>
      </c>
      <c r="L18" s="29">
        <f>SUM(L13:L17)</f>
        <v>31534000</v>
      </c>
      <c r="M18" s="17"/>
      <c r="N18" s="30">
        <f>O18/I18</f>
        <v>8.493733462294667E-2</v>
      </c>
      <c r="O18" s="109">
        <f>SUM(O13:O17)</f>
        <v>2678413.91</v>
      </c>
      <c r="P18" s="124">
        <f t="shared" si="6"/>
        <v>8</v>
      </c>
    </row>
    <row r="19" spans="1:16" s="43" customFormat="1">
      <c r="A19" s="128">
        <f t="shared" si="8"/>
        <v>9</v>
      </c>
      <c r="B19" s="41"/>
      <c r="C19" s="40"/>
      <c r="D19" s="18"/>
      <c r="E19" s="42"/>
      <c r="F19" s="41"/>
      <c r="G19" s="41"/>
      <c r="H19" s="38"/>
      <c r="I19" s="38"/>
      <c r="J19" s="38"/>
      <c r="K19" s="38"/>
      <c r="L19" s="38"/>
      <c r="M19" s="38"/>
      <c r="N19" s="38"/>
      <c r="O19" s="110"/>
      <c r="P19" s="124">
        <f t="shared" si="6"/>
        <v>9</v>
      </c>
    </row>
    <row r="20" spans="1:16">
      <c r="A20" s="128">
        <f t="shared" si="8"/>
        <v>10</v>
      </c>
      <c r="B20" s="26">
        <v>5.45E-2</v>
      </c>
      <c r="C20" s="17" t="s">
        <v>54</v>
      </c>
      <c r="D20" s="19">
        <f>DATE(2003,9,8)</f>
        <v>37872</v>
      </c>
      <c r="E20" s="19">
        <f>DATE(2013,9,15)</f>
        <v>41532</v>
      </c>
      <c r="F20" s="20">
        <f t="shared" ref="F20:F36" si="9">YEARFRAC(D20,E20)</f>
        <v>10.019444444444444</v>
      </c>
      <c r="G20" s="20">
        <f t="shared" ref="G20:G36" si="10">YEARFRAC($A$4,E20)</f>
        <v>0.20833333333333334</v>
      </c>
      <c r="H20" s="27">
        <v>200000000</v>
      </c>
      <c r="I20" s="122">
        <v>200000000</v>
      </c>
      <c r="J20" s="119">
        <f>-232000-1300000-122659.53</f>
        <v>-1654659.53</v>
      </c>
      <c r="K20" s="119">
        <v>-5967819.4400000004</v>
      </c>
      <c r="L20" s="23">
        <f t="shared" ref="L20:L35" si="11">SUM(I20:K20)</f>
        <v>192377521.03</v>
      </c>
      <c r="M20" s="107">
        <f t="shared" ref="M20:M36" si="12">L20/I20*100</f>
        <v>96.188760514999998</v>
      </c>
      <c r="N20" s="24">
        <f t="shared" ref="N20:N36" si="13">ROUND(YIELD(D20,E20,B20,M20,100,2,0),5)</f>
        <v>5.96E-2</v>
      </c>
      <c r="O20" s="108">
        <f t="shared" ref="O20:O36" si="14">ROUND(N20,5)*I20</f>
        <v>11920000</v>
      </c>
      <c r="P20" s="124">
        <f t="shared" ref="P20" si="15">A20</f>
        <v>10</v>
      </c>
    </row>
    <row r="21" spans="1:16">
      <c r="A21" s="128">
        <f t="shared" si="8"/>
        <v>11</v>
      </c>
      <c r="B21" s="26">
        <v>4.9500000000000002E-2</v>
      </c>
      <c r="C21" s="17" t="s">
        <v>55</v>
      </c>
      <c r="D21" s="19">
        <f>DATE(2004,8,24)</f>
        <v>38223</v>
      </c>
      <c r="E21" s="19">
        <f>DATE(2014,8,15)</f>
        <v>41866</v>
      </c>
      <c r="F21" s="20">
        <f t="shared" si="9"/>
        <v>9.9749999999999996</v>
      </c>
      <c r="G21" s="20">
        <f t="shared" si="10"/>
        <v>1.125</v>
      </c>
      <c r="H21" s="27">
        <v>200000000</v>
      </c>
      <c r="I21" s="122">
        <v>200000000</v>
      </c>
      <c r="J21" s="119">
        <f>-728000-1300000-142365.31</f>
        <v>-2170365.31</v>
      </c>
      <c r="K21" s="5">
        <v>0</v>
      </c>
      <c r="L21" s="23">
        <f t="shared" si="11"/>
        <v>197829634.69</v>
      </c>
      <c r="M21" s="107">
        <f t="shared" si="12"/>
        <v>98.914817344999989</v>
      </c>
      <c r="N21" s="24">
        <f t="shared" si="13"/>
        <v>5.0900000000000001E-2</v>
      </c>
      <c r="O21" s="108">
        <f t="shared" si="14"/>
        <v>10180000</v>
      </c>
      <c r="P21" s="124">
        <f t="shared" si="6"/>
        <v>11</v>
      </c>
    </row>
    <row r="22" spans="1:16">
      <c r="A22" s="128">
        <f t="shared" si="8"/>
        <v>12</v>
      </c>
      <c r="B22" s="26">
        <v>5.6500000000000002E-2</v>
      </c>
      <c r="C22" s="17" t="s">
        <v>111</v>
      </c>
      <c r="D22" s="19">
        <f>DATE(2008,7,17)</f>
        <v>39646</v>
      </c>
      <c r="E22" s="19">
        <f>DATE(2018,7,15)</f>
        <v>43296</v>
      </c>
      <c r="F22" s="20">
        <f t="shared" si="9"/>
        <v>9.9944444444444436</v>
      </c>
      <c r="G22" s="20">
        <f t="shared" si="10"/>
        <v>5.041666666666667</v>
      </c>
      <c r="H22" s="27">
        <v>500000000</v>
      </c>
      <c r="I22" s="122">
        <v>500000000</v>
      </c>
      <c r="J22" s="119">
        <f>-905000-2750000-316595.91-625</f>
        <v>-3972220.91</v>
      </c>
      <c r="K22" s="5">
        <v>0</v>
      </c>
      <c r="L22" s="23">
        <f t="shared" si="11"/>
        <v>496027779.08999997</v>
      </c>
      <c r="M22" s="107">
        <f t="shared" si="12"/>
        <v>99.205555817999993</v>
      </c>
      <c r="N22" s="24">
        <f t="shared" si="13"/>
        <v>5.756E-2</v>
      </c>
      <c r="O22" s="108">
        <f t="shared" si="14"/>
        <v>28780000</v>
      </c>
      <c r="P22" s="124">
        <f t="shared" si="6"/>
        <v>12</v>
      </c>
    </row>
    <row r="23" spans="1:16">
      <c r="A23" s="128">
        <f t="shared" si="8"/>
        <v>13</v>
      </c>
      <c r="B23" s="26">
        <v>5.5E-2</v>
      </c>
      <c r="C23" s="17" t="s">
        <v>113</v>
      </c>
      <c r="D23" s="19">
        <f>DATE(2009,1,8)</f>
        <v>39821</v>
      </c>
      <c r="E23" s="19">
        <f>DATE(2019,1,15)</f>
        <v>43480</v>
      </c>
      <c r="F23" s="20">
        <f t="shared" si="9"/>
        <v>10.019444444444444</v>
      </c>
      <c r="G23" s="20">
        <f t="shared" si="10"/>
        <v>5.541666666666667</v>
      </c>
      <c r="H23" s="27">
        <v>350000000</v>
      </c>
      <c r="I23" s="122">
        <v>350000000</v>
      </c>
      <c r="J23" s="119">
        <f>-2292500-2275000-234868.7-5924.2</f>
        <v>-4808292.9000000004</v>
      </c>
      <c r="K23" s="5">
        <v>0</v>
      </c>
      <c r="L23" s="23">
        <f t="shared" si="11"/>
        <v>345191707.10000002</v>
      </c>
      <c r="M23" s="107">
        <f t="shared" si="12"/>
        <v>98.626202028571427</v>
      </c>
      <c r="N23" s="24">
        <f t="shared" si="13"/>
        <v>5.6820000000000002E-2</v>
      </c>
      <c r="O23" s="108">
        <f t="shared" si="14"/>
        <v>19887000</v>
      </c>
      <c r="P23" s="124">
        <f t="shared" si="6"/>
        <v>13</v>
      </c>
    </row>
    <row r="24" spans="1:16">
      <c r="A24" s="128">
        <f t="shared" si="8"/>
        <v>14</v>
      </c>
      <c r="B24" s="26">
        <v>3.85E-2</v>
      </c>
      <c r="C24" s="17" t="s">
        <v>115</v>
      </c>
      <c r="D24" s="19">
        <f>DATE(2011,5,12)</f>
        <v>40675</v>
      </c>
      <c r="E24" s="19">
        <f>DATE(2021,6,15)</f>
        <v>44362</v>
      </c>
      <c r="F24" s="20">
        <f t="shared" si="9"/>
        <v>10.091666666666667</v>
      </c>
      <c r="G24" s="20">
        <f t="shared" si="10"/>
        <v>7.958333333333333</v>
      </c>
      <c r="H24" s="27">
        <v>400000000</v>
      </c>
      <c r="I24" s="122">
        <v>400000000</v>
      </c>
      <c r="J24" s="119">
        <f>-2600000-744000-405611.72-1000-526.5</f>
        <v>-3751138.2199999997</v>
      </c>
      <c r="K24" s="5">
        <v>0</v>
      </c>
      <c r="L24" s="23">
        <f t="shared" si="11"/>
        <v>396248861.77999997</v>
      </c>
      <c r="M24" s="107">
        <f t="shared" si="12"/>
        <v>99.062215444999993</v>
      </c>
      <c r="N24" s="24">
        <f t="shared" si="13"/>
        <v>3.9629999999999999E-2</v>
      </c>
      <c r="O24" s="108">
        <f t="shared" si="14"/>
        <v>15852000</v>
      </c>
      <c r="P24" s="124">
        <f t="shared" si="6"/>
        <v>14</v>
      </c>
    </row>
    <row r="25" spans="1:16">
      <c r="A25" s="128">
        <f t="shared" si="8"/>
        <v>15</v>
      </c>
      <c r="B25" s="26">
        <v>2.9499999999999998E-2</v>
      </c>
      <c r="C25" s="17" t="s">
        <v>116</v>
      </c>
      <c r="D25" s="19">
        <f>DATE(2012,1,6)</f>
        <v>40914</v>
      </c>
      <c r="E25" s="19">
        <f>DATE(2022,2,1)</f>
        <v>44593</v>
      </c>
      <c r="F25" s="20">
        <f t="shared" si="9"/>
        <v>10.069444444444445</v>
      </c>
      <c r="G25" s="20">
        <f t="shared" si="10"/>
        <v>8.5861111111111104</v>
      </c>
      <c r="H25" s="27">
        <v>350000000</v>
      </c>
      <c r="I25" s="122">
        <v>350000000</v>
      </c>
      <c r="J25" s="119">
        <f>-2030000-308000-392006.28</f>
        <v>-2730006.2800000003</v>
      </c>
      <c r="K25" s="5">
        <v>0</v>
      </c>
      <c r="L25" s="23">
        <f t="shared" si="11"/>
        <v>347269993.72000003</v>
      </c>
      <c r="M25" s="107">
        <f t="shared" si="12"/>
        <v>99.219998205714305</v>
      </c>
      <c r="N25" s="24">
        <f t="shared" si="13"/>
        <v>3.04E-2</v>
      </c>
      <c r="O25" s="108">
        <f t="shared" si="14"/>
        <v>10640000</v>
      </c>
      <c r="P25" s="124">
        <f t="shared" ref="P25:P38" si="16">A25</f>
        <v>15</v>
      </c>
    </row>
    <row r="26" spans="1:16">
      <c r="A26" s="128">
        <f t="shared" si="8"/>
        <v>16</v>
      </c>
      <c r="B26" s="26">
        <v>2.9499999999999998E-2</v>
      </c>
      <c r="C26" s="17" t="s">
        <v>118</v>
      </c>
      <c r="D26" s="19">
        <f>DATE(2012,3,6)</f>
        <v>40974</v>
      </c>
      <c r="E26" s="19">
        <f>DATE(2022,2,1)</f>
        <v>44593</v>
      </c>
      <c r="F26" s="20">
        <f t="shared" si="9"/>
        <v>9.9027777777777786</v>
      </c>
      <c r="G26" s="20">
        <f t="shared" si="10"/>
        <v>8.5861111111111104</v>
      </c>
      <c r="H26" s="27">
        <v>100000000</v>
      </c>
      <c r="I26" s="122">
        <v>100000000</v>
      </c>
      <c r="J26" s="119">
        <f>81000-255283.04</f>
        <v>-174283.04</v>
      </c>
      <c r="K26" s="119">
        <f>-4917357.79-49840-3595</f>
        <v>-4970792.79</v>
      </c>
      <c r="L26" s="23">
        <f t="shared" si="11"/>
        <v>94854924.169999987</v>
      </c>
      <c r="M26" s="107">
        <f t="shared" si="12"/>
        <v>94.85492416999999</v>
      </c>
      <c r="N26" s="24">
        <f t="shared" si="13"/>
        <v>3.5709999999999999E-2</v>
      </c>
      <c r="O26" s="108">
        <f t="shared" si="14"/>
        <v>3571000</v>
      </c>
      <c r="P26" s="124">
        <f t="shared" si="16"/>
        <v>16</v>
      </c>
    </row>
    <row r="27" spans="1:16">
      <c r="A27" s="128">
        <f t="shared" si="8"/>
        <v>17</v>
      </c>
      <c r="B27" s="26">
        <v>7.6999999999999999E-2</v>
      </c>
      <c r="C27" s="17" t="s">
        <v>53</v>
      </c>
      <c r="D27" s="19">
        <f>DATE(2001,11,21)</f>
        <v>37216</v>
      </c>
      <c r="E27" s="19">
        <f>DATE(2031,11,15)</f>
        <v>48167</v>
      </c>
      <c r="F27" s="20">
        <f t="shared" si="9"/>
        <v>29.983333333333334</v>
      </c>
      <c r="G27" s="20">
        <f t="shared" si="10"/>
        <v>18.375</v>
      </c>
      <c r="H27" s="27">
        <v>300000000</v>
      </c>
      <c r="I27" s="122">
        <v>300000000</v>
      </c>
      <c r="J27" s="119">
        <f>-2625000-864000-212309.65</f>
        <v>-3701309.65</v>
      </c>
      <c r="K27" s="5">
        <v>0</v>
      </c>
      <c r="L27" s="23">
        <f t="shared" si="11"/>
        <v>296298690.35000002</v>
      </c>
      <c r="M27" s="107">
        <f t="shared" si="12"/>
        <v>98.766230116666677</v>
      </c>
      <c r="N27" s="24">
        <f t="shared" si="13"/>
        <v>7.8070000000000001E-2</v>
      </c>
      <c r="O27" s="108">
        <f t="shared" si="14"/>
        <v>23421000</v>
      </c>
      <c r="P27" s="124">
        <f t="shared" si="16"/>
        <v>17</v>
      </c>
    </row>
    <row r="28" spans="1:16">
      <c r="A28" s="128">
        <f t="shared" si="8"/>
        <v>18</v>
      </c>
      <c r="B28" s="26">
        <v>5.8999999999999997E-2</v>
      </c>
      <c r="C28" s="17" t="s">
        <v>56</v>
      </c>
      <c r="D28" s="19">
        <f>DATE(2004,8,24)</f>
        <v>38223</v>
      </c>
      <c r="E28" s="19">
        <f>DATE(2034,8,15)</f>
        <v>49171</v>
      </c>
      <c r="F28" s="20">
        <f t="shared" si="9"/>
        <v>29.975000000000001</v>
      </c>
      <c r="G28" s="20">
        <f t="shared" si="10"/>
        <v>21.125</v>
      </c>
      <c r="H28" s="27">
        <v>200000000</v>
      </c>
      <c r="I28" s="122">
        <v>200000000</v>
      </c>
      <c r="J28" s="119">
        <f>-722000-1750000-142365.3</f>
        <v>-2614365.2999999998</v>
      </c>
      <c r="K28" s="5">
        <v>0</v>
      </c>
      <c r="L28" s="23">
        <f t="shared" si="11"/>
        <v>197385634.69999999</v>
      </c>
      <c r="M28" s="107">
        <f t="shared" si="12"/>
        <v>98.692817349999999</v>
      </c>
      <c r="N28" s="24">
        <f t="shared" si="13"/>
        <v>5.994E-2</v>
      </c>
      <c r="O28" s="108">
        <f t="shared" si="14"/>
        <v>11988000</v>
      </c>
      <c r="P28" s="124">
        <f t="shared" si="16"/>
        <v>18</v>
      </c>
    </row>
    <row r="29" spans="1:16">
      <c r="A29" s="128">
        <f t="shared" si="8"/>
        <v>19</v>
      </c>
      <c r="B29" s="26">
        <v>5.2499999999999998E-2</v>
      </c>
      <c r="C29" s="17" t="s">
        <v>57</v>
      </c>
      <c r="D29" s="19">
        <f>DATE(2005,6,8)</f>
        <v>38511</v>
      </c>
      <c r="E29" s="19">
        <f>DATE(2035,6,15)</f>
        <v>49475</v>
      </c>
      <c r="F29" s="20">
        <f t="shared" si="9"/>
        <v>30.019444444444446</v>
      </c>
      <c r="G29" s="20">
        <f t="shared" si="10"/>
        <v>21.958333333333332</v>
      </c>
      <c r="H29" s="27">
        <v>300000000</v>
      </c>
      <c r="I29" s="122">
        <v>300000000</v>
      </c>
      <c r="J29" s="119">
        <f>-1080000-2625000-287020.96</f>
        <v>-3992020.96</v>
      </c>
      <c r="K29" s="119">
        <v>-1295995.2</v>
      </c>
      <c r="L29" s="23">
        <f t="shared" si="11"/>
        <v>294711983.84000003</v>
      </c>
      <c r="M29" s="107">
        <f t="shared" si="12"/>
        <v>98.237327946666682</v>
      </c>
      <c r="N29" s="24">
        <f t="shared" si="13"/>
        <v>5.3690000000000002E-2</v>
      </c>
      <c r="O29" s="108">
        <f t="shared" si="14"/>
        <v>16107000</v>
      </c>
      <c r="P29" s="124">
        <f t="shared" si="16"/>
        <v>19</v>
      </c>
    </row>
    <row r="30" spans="1:16">
      <c r="A30" s="128">
        <f t="shared" si="8"/>
        <v>20</v>
      </c>
      <c r="B30" s="26">
        <v>6.0999999999999999E-2</v>
      </c>
      <c r="C30" s="17" t="s">
        <v>108</v>
      </c>
      <c r="D30" s="19">
        <f>DATE(2006,8,10)</f>
        <v>38939</v>
      </c>
      <c r="E30" s="19">
        <f>DATE(2036,8,1)</f>
        <v>49888</v>
      </c>
      <c r="F30" s="20">
        <f t="shared" si="9"/>
        <v>29.975000000000001</v>
      </c>
      <c r="G30" s="20">
        <f t="shared" si="10"/>
        <v>23.086111111111112</v>
      </c>
      <c r="H30" s="27">
        <v>350000000</v>
      </c>
      <c r="I30" s="122">
        <v>350000000</v>
      </c>
      <c r="J30" s="119">
        <f>-1141000-2450000-457880.81</f>
        <v>-4048880.81</v>
      </c>
      <c r="K30" s="5">
        <v>0</v>
      </c>
      <c r="L30" s="23">
        <f t="shared" si="11"/>
        <v>345951119.19</v>
      </c>
      <c r="M30" s="107">
        <f t="shared" si="12"/>
        <v>98.843176911428571</v>
      </c>
      <c r="N30" s="24">
        <f t="shared" si="13"/>
        <v>6.1850000000000002E-2</v>
      </c>
      <c r="O30" s="108">
        <f t="shared" si="14"/>
        <v>21647500</v>
      </c>
      <c r="P30" s="124">
        <f t="shared" si="16"/>
        <v>20</v>
      </c>
    </row>
    <row r="31" spans="1:16">
      <c r="A31" s="128">
        <f t="shared" si="8"/>
        <v>21</v>
      </c>
      <c r="B31" s="26">
        <v>5.7500000000000002E-2</v>
      </c>
      <c r="C31" s="17" t="s">
        <v>109</v>
      </c>
      <c r="D31" s="19">
        <f>DATE(2007,3,14)</f>
        <v>39155</v>
      </c>
      <c r="E31" s="19">
        <f>DATE(2037,4,1)</f>
        <v>50131</v>
      </c>
      <c r="F31" s="20">
        <f t="shared" si="9"/>
        <v>30.047222222222221</v>
      </c>
      <c r="G31" s="20">
        <f t="shared" si="10"/>
        <v>23.752777777777776</v>
      </c>
      <c r="H31" s="27">
        <v>600000000</v>
      </c>
      <c r="I31" s="122">
        <v>600000000</v>
      </c>
      <c r="J31" s="119">
        <f>-24000-589216.14</f>
        <v>-613216.14</v>
      </c>
      <c r="K31" s="5">
        <v>0</v>
      </c>
      <c r="L31" s="23">
        <f t="shared" si="11"/>
        <v>599386783.86000001</v>
      </c>
      <c r="M31" s="107">
        <f t="shared" si="12"/>
        <v>99.897797310000001</v>
      </c>
      <c r="N31" s="24">
        <f t="shared" si="13"/>
        <v>5.7570000000000003E-2</v>
      </c>
      <c r="O31" s="108">
        <f t="shared" si="14"/>
        <v>34542000</v>
      </c>
      <c r="P31" s="124">
        <f t="shared" si="16"/>
        <v>21</v>
      </c>
    </row>
    <row r="32" spans="1:16">
      <c r="A32" s="128">
        <f t="shared" si="8"/>
        <v>22</v>
      </c>
      <c r="B32" s="26">
        <v>6.25E-2</v>
      </c>
      <c r="C32" s="17" t="s">
        <v>110</v>
      </c>
      <c r="D32" s="19">
        <f>DATE(2007,10,3)</f>
        <v>39358</v>
      </c>
      <c r="E32" s="19">
        <f>DATE(2037,10,15)</f>
        <v>50328</v>
      </c>
      <c r="F32" s="20">
        <f t="shared" si="9"/>
        <v>30.033333333333335</v>
      </c>
      <c r="G32" s="20">
        <f t="shared" si="10"/>
        <v>24.291666666666668</v>
      </c>
      <c r="H32" s="27">
        <v>600000000</v>
      </c>
      <c r="I32" s="122">
        <v>600000000</v>
      </c>
      <c r="J32" s="119">
        <f>-750000-4650000-477281.03</f>
        <v>-5877281.0300000003</v>
      </c>
      <c r="K32" s="5">
        <v>0</v>
      </c>
      <c r="L32" s="23">
        <f t="shared" si="11"/>
        <v>594122718.97000003</v>
      </c>
      <c r="M32" s="107">
        <f t="shared" si="12"/>
        <v>99.020453161666666</v>
      </c>
      <c r="N32" s="24">
        <f t="shared" si="13"/>
        <v>6.3229999999999995E-2</v>
      </c>
      <c r="O32" s="108">
        <f t="shared" si="14"/>
        <v>37938000</v>
      </c>
      <c r="P32" s="124">
        <f t="shared" ref="P32" si="17">A32</f>
        <v>22</v>
      </c>
    </row>
    <row r="33" spans="1:16">
      <c r="A33" s="128">
        <f t="shared" si="8"/>
        <v>23</v>
      </c>
      <c r="B33" s="26">
        <v>6.3500000000000001E-2</v>
      </c>
      <c r="C33" s="17" t="s">
        <v>112</v>
      </c>
      <c r="D33" s="19">
        <f>DATE(2008,7,17)</f>
        <v>39646</v>
      </c>
      <c r="E33" s="19">
        <f>DATE(2038,7,15)</f>
        <v>50601</v>
      </c>
      <c r="F33" s="20">
        <f t="shared" si="9"/>
        <v>29.994444444444444</v>
      </c>
      <c r="G33" s="20">
        <f t="shared" si="10"/>
        <v>25.041666666666668</v>
      </c>
      <c r="H33" s="27">
        <v>300000000</v>
      </c>
      <c r="I33" s="122">
        <v>300000000</v>
      </c>
      <c r="J33" s="119">
        <f>-1671000-2100000-189957.54-375</f>
        <v>-3961332.54</v>
      </c>
      <c r="K33" s="5">
        <v>0</v>
      </c>
      <c r="L33" s="23">
        <f t="shared" si="11"/>
        <v>296038667.45999998</v>
      </c>
      <c r="M33" s="107">
        <f t="shared" si="12"/>
        <v>98.679555820000004</v>
      </c>
      <c r="N33" s="24">
        <f t="shared" si="13"/>
        <v>6.4500000000000002E-2</v>
      </c>
      <c r="O33" s="108">
        <f t="shared" si="14"/>
        <v>19350000</v>
      </c>
      <c r="P33" s="124">
        <f t="shared" ref="P33:P37" si="18">A33</f>
        <v>23</v>
      </c>
    </row>
    <row r="34" spans="1:16">
      <c r="A34" s="128">
        <f t="shared" si="8"/>
        <v>24</v>
      </c>
      <c r="B34" s="26">
        <v>0.06</v>
      </c>
      <c r="C34" s="17" t="s">
        <v>114</v>
      </c>
      <c r="D34" s="19">
        <f>DATE(2009,1,8)</f>
        <v>39821</v>
      </c>
      <c r="E34" s="19">
        <f>DATE(2039,1,15)</f>
        <v>50785</v>
      </c>
      <c r="F34" s="20">
        <f t="shared" si="9"/>
        <v>30.019444444444446</v>
      </c>
      <c r="G34" s="20">
        <f t="shared" si="10"/>
        <v>25.541666666666668</v>
      </c>
      <c r="H34" s="27">
        <v>650000000</v>
      </c>
      <c r="I34" s="122">
        <v>650000000</v>
      </c>
      <c r="J34" s="119">
        <f>-6175000-5687500-436184.72-11002.1</f>
        <v>-12309686.82</v>
      </c>
      <c r="K34" s="5">
        <v>0</v>
      </c>
      <c r="L34" s="23">
        <f t="shared" si="11"/>
        <v>637690313.17999995</v>
      </c>
      <c r="M34" s="107">
        <f t="shared" si="12"/>
        <v>98.106202027692305</v>
      </c>
      <c r="N34" s="24">
        <f t="shared" si="13"/>
        <v>6.139E-2</v>
      </c>
      <c r="O34" s="108">
        <f t="shared" si="14"/>
        <v>39903500</v>
      </c>
      <c r="P34" s="124">
        <f t="shared" si="18"/>
        <v>24</v>
      </c>
    </row>
    <row r="35" spans="1:16">
      <c r="A35" s="128">
        <f t="shared" si="8"/>
        <v>25</v>
      </c>
      <c r="B35" s="26">
        <v>4.1000000000000002E-2</v>
      </c>
      <c r="C35" s="17" t="s">
        <v>117</v>
      </c>
      <c r="D35" s="19">
        <f>DATE(2012,1,6)</f>
        <v>40914</v>
      </c>
      <c r="E35" s="19">
        <f>DATE(2042,2,1)</f>
        <v>51898</v>
      </c>
      <c r="F35" s="20">
        <f t="shared" si="9"/>
        <v>30.069444444444443</v>
      </c>
      <c r="G35" s="20">
        <f t="shared" si="10"/>
        <v>28.586111111111112</v>
      </c>
      <c r="H35" s="27">
        <v>300000000</v>
      </c>
      <c r="I35" s="122">
        <v>300000000</v>
      </c>
      <c r="J35" s="119">
        <f>-2400000-987000-337118.18</f>
        <v>-3724118.18</v>
      </c>
      <c r="K35" s="5">
        <v>0</v>
      </c>
      <c r="L35" s="23">
        <f t="shared" si="11"/>
        <v>296275881.81999999</v>
      </c>
      <c r="M35" s="107">
        <f t="shared" si="12"/>
        <v>98.758627273333332</v>
      </c>
      <c r="N35" s="24">
        <f t="shared" si="13"/>
        <v>4.1730000000000003E-2</v>
      </c>
      <c r="O35" s="108">
        <f t="shared" si="14"/>
        <v>12519000.000000002</v>
      </c>
      <c r="P35" s="124">
        <f t="shared" si="18"/>
        <v>25</v>
      </c>
    </row>
    <row r="36" spans="1:16">
      <c r="A36" s="128">
        <f t="shared" si="8"/>
        <v>26</v>
      </c>
      <c r="B36" s="26">
        <f>3.084%+0.9%</f>
        <v>3.984E-2</v>
      </c>
      <c r="C36" s="17" t="s">
        <v>121</v>
      </c>
      <c r="D36" s="19">
        <f>DATE(2013,6,1)</f>
        <v>41426</v>
      </c>
      <c r="E36" s="19">
        <f>DATE(2043,6,1)</f>
        <v>52383</v>
      </c>
      <c r="F36" s="20">
        <f t="shared" si="9"/>
        <v>30</v>
      </c>
      <c r="G36" s="20">
        <f t="shared" si="10"/>
        <v>29.919444444444444</v>
      </c>
      <c r="H36" s="27">
        <v>300000000</v>
      </c>
      <c r="I36" s="122">
        <v>300000000</v>
      </c>
      <c r="J36" s="119">
        <f>-I36*0.00875-300000</f>
        <v>-2925000.0000000005</v>
      </c>
      <c r="K36" s="5">
        <v>0</v>
      </c>
      <c r="L36" s="23">
        <f t="shared" ref="L36" si="19">SUM(I36:K36)</f>
        <v>297075000</v>
      </c>
      <c r="M36" s="107">
        <f t="shared" si="12"/>
        <v>99.024999999999991</v>
      </c>
      <c r="N36" s="24">
        <f t="shared" si="13"/>
        <v>4.0399999999999998E-2</v>
      </c>
      <c r="O36" s="108">
        <f t="shared" si="14"/>
        <v>12120000</v>
      </c>
      <c r="P36" s="124">
        <f t="shared" si="18"/>
        <v>26</v>
      </c>
    </row>
    <row r="37" spans="1:16">
      <c r="A37" s="128">
        <f t="shared" si="8"/>
        <v>27</v>
      </c>
      <c r="B37" s="28">
        <f>SUMPRODUCT(B20:B36,I20:I36)/I37</f>
        <v>5.3879499999999997E-2</v>
      </c>
      <c r="C37" s="15" t="s">
        <v>95</v>
      </c>
      <c r="D37" s="16"/>
      <c r="E37" s="16"/>
      <c r="F37" s="14">
        <f>SUMPRODUCT(F20:F36,I20:I36)/I37</f>
        <v>23.020231481481481</v>
      </c>
      <c r="G37" s="14">
        <f>SUMPRODUCT(G20:G36,I20:I36)/I37</f>
        <v>17.778703703703702</v>
      </c>
      <c r="H37" s="17"/>
      <c r="I37" s="29">
        <f>SUM(I20:I36)</f>
        <v>6000000000</v>
      </c>
      <c r="J37" s="29">
        <f>SUM(J20:J36)</f>
        <v>-63028177.620000005</v>
      </c>
      <c r="K37" s="29">
        <f>SUM(K20:K36)</f>
        <v>-12234607.43</v>
      </c>
      <c r="L37" s="29">
        <f>SUM(L20:L36)</f>
        <v>5924737214.9499998</v>
      </c>
      <c r="M37" s="17"/>
      <c r="N37" s="30">
        <f>O37/I37</f>
        <v>5.5060999999999999E-2</v>
      </c>
      <c r="O37" s="109">
        <f>SUM(O20:O36)</f>
        <v>330366000</v>
      </c>
      <c r="P37" s="124">
        <f t="shared" si="18"/>
        <v>27</v>
      </c>
    </row>
    <row r="38" spans="1:16">
      <c r="A38" s="128">
        <f t="shared" si="8"/>
        <v>28</v>
      </c>
      <c r="B38" s="28"/>
      <c r="C38" s="15"/>
      <c r="D38" s="16"/>
      <c r="E38" s="16"/>
      <c r="F38" s="14"/>
      <c r="G38" s="14"/>
      <c r="H38" s="17"/>
      <c r="I38" s="29"/>
      <c r="J38" s="29"/>
      <c r="K38" s="29"/>
      <c r="L38" s="29"/>
      <c r="M38" s="17"/>
      <c r="N38" s="30"/>
      <c r="O38" s="109"/>
      <c r="P38" s="124">
        <f t="shared" si="16"/>
        <v>28</v>
      </c>
    </row>
    <row r="39" spans="1:16">
      <c r="A39" s="128">
        <f t="shared" si="8"/>
        <v>29</v>
      </c>
      <c r="B39" s="35">
        <v>8.5300000000000001E-2</v>
      </c>
      <c r="C39" s="17" t="s">
        <v>33</v>
      </c>
      <c r="D39" s="19">
        <f>DATE(1991,12,16)</f>
        <v>33588</v>
      </c>
      <c r="E39" s="36">
        <f>DATE(2021,12,16)</f>
        <v>44546</v>
      </c>
      <c r="F39" s="20">
        <f t="shared" ref="F39:F42" si="20">YEARFRAC(D39,E39)</f>
        <v>30</v>
      </c>
      <c r="G39" s="20">
        <f t="shared" ref="G39:G42" si="21">YEARFRAC($A$4,E39)</f>
        <v>8.4611111111111104</v>
      </c>
      <c r="H39" s="5">
        <v>15000000</v>
      </c>
      <c r="I39" s="123">
        <v>15000000</v>
      </c>
      <c r="J39" s="119">
        <f>-(112500+473.37+240.62+93.76+1468.75+450-25)</f>
        <v>-115201.49999999999</v>
      </c>
      <c r="K39" s="119">
        <v>-2053921.5</v>
      </c>
      <c r="L39" s="5">
        <f t="shared" ref="L39:L42" si="22">SUM(I39:K39)</f>
        <v>12830877</v>
      </c>
      <c r="M39" s="107">
        <f t="shared" ref="M39:M42" si="23">L39/I39*100</f>
        <v>85.539180000000002</v>
      </c>
      <c r="N39" s="24">
        <f t="shared" ref="N39:N42" si="24">ROUND(YIELD(D39,E39,B39,M39,100,2,0),5)</f>
        <v>0.10066</v>
      </c>
      <c r="O39" s="108">
        <f t="shared" ref="O39:O42" si="25">ROUND(N39,5)*I39</f>
        <v>1509900</v>
      </c>
      <c r="P39" s="124">
        <f t="shared" si="6"/>
        <v>29</v>
      </c>
    </row>
    <row r="40" spans="1:16">
      <c r="A40" s="128">
        <f t="shared" si="8"/>
        <v>30</v>
      </c>
      <c r="B40" s="35">
        <v>8.3750000000000005E-2</v>
      </c>
      <c r="C40" s="17" t="s">
        <v>33</v>
      </c>
      <c r="D40" s="19">
        <f>DATE(1991,12,31)</f>
        <v>33603</v>
      </c>
      <c r="E40" s="36">
        <f>DATE(2021,12,31)</f>
        <v>44561</v>
      </c>
      <c r="F40" s="20">
        <f t="shared" si="20"/>
        <v>30</v>
      </c>
      <c r="G40" s="20">
        <f t="shared" si="21"/>
        <v>8.5</v>
      </c>
      <c r="H40" s="5">
        <v>5000000</v>
      </c>
      <c r="I40" s="123">
        <v>5000000</v>
      </c>
      <c r="J40" s="119">
        <f>-(37500+157.79+80.2+31.25+489.58+150-8.33)</f>
        <v>-38400.49</v>
      </c>
      <c r="K40" s="119">
        <v>-684640.5</v>
      </c>
      <c r="L40" s="5">
        <f t="shared" si="22"/>
        <v>4276959.01</v>
      </c>
      <c r="M40" s="107">
        <f t="shared" si="23"/>
        <v>85.539180200000004</v>
      </c>
      <c r="N40" s="24">
        <f t="shared" si="24"/>
        <v>9.8890000000000006E-2</v>
      </c>
      <c r="O40" s="108">
        <f t="shared" si="25"/>
        <v>494450</v>
      </c>
      <c r="P40" s="124">
        <f t="shared" si="6"/>
        <v>30</v>
      </c>
    </row>
    <row r="41" spans="1:16">
      <c r="A41" s="128">
        <f t="shared" si="8"/>
        <v>31</v>
      </c>
      <c r="B41" s="35">
        <v>8.2600000000000007E-2</v>
      </c>
      <c r="C41" s="17" t="s">
        <v>34</v>
      </c>
      <c r="D41" s="19">
        <f>DATE(1992,1,8)</f>
        <v>33611</v>
      </c>
      <c r="E41" s="36">
        <f>DATE(2022,1,7)</f>
        <v>44568</v>
      </c>
      <c r="F41" s="20">
        <f t="shared" si="20"/>
        <v>29.997222222222224</v>
      </c>
      <c r="G41" s="20">
        <f t="shared" si="21"/>
        <v>8.5194444444444439</v>
      </c>
      <c r="H41" s="5">
        <v>5000000</v>
      </c>
      <c r="I41" s="123">
        <v>5000000</v>
      </c>
      <c r="J41" s="119">
        <f>-(32500+80.21+31.25+489.58+150-8.33)</f>
        <v>-33242.71</v>
      </c>
      <c r="K41" s="119">
        <v>-684640.5</v>
      </c>
      <c r="L41" s="5">
        <f t="shared" si="22"/>
        <v>4282116.79</v>
      </c>
      <c r="M41" s="107">
        <f t="shared" si="23"/>
        <v>85.642335799999998</v>
      </c>
      <c r="N41" s="24">
        <f t="shared" si="24"/>
        <v>9.7449999999999995E-2</v>
      </c>
      <c r="O41" s="108">
        <f t="shared" si="25"/>
        <v>487250</v>
      </c>
      <c r="P41" s="124">
        <f t="shared" si="6"/>
        <v>31</v>
      </c>
    </row>
    <row r="42" spans="1:16">
      <c r="A42" s="128">
        <f t="shared" si="8"/>
        <v>32</v>
      </c>
      <c r="B42" s="35">
        <v>8.270000000000001E-2</v>
      </c>
      <c r="C42" s="17" t="s">
        <v>34</v>
      </c>
      <c r="D42" s="19">
        <f>DATE(1992,1,9)</f>
        <v>33612</v>
      </c>
      <c r="E42" s="36">
        <f>DATE(2022,1,10)</f>
        <v>44571</v>
      </c>
      <c r="F42" s="20">
        <f t="shared" si="20"/>
        <v>30.002777777777776</v>
      </c>
      <c r="G42" s="20">
        <f t="shared" si="21"/>
        <v>8.5277777777777786</v>
      </c>
      <c r="H42" s="5">
        <v>4000000</v>
      </c>
      <c r="I42" s="123">
        <v>4000000</v>
      </c>
      <c r="J42" s="119">
        <f>-(30000+64.17+25+391.67+120-6.67)</f>
        <v>-30594.17</v>
      </c>
      <c r="K42" s="119">
        <v>-547712.4</v>
      </c>
      <c r="L42" s="5">
        <f t="shared" si="22"/>
        <v>3421693.43</v>
      </c>
      <c r="M42" s="107">
        <f t="shared" si="23"/>
        <v>85.542335750000007</v>
      </c>
      <c r="N42" s="24">
        <f t="shared" si="24"/>
        <v>9.7680000000000003E-2</v>
      </c>
      <c r="O42" s="108">
        <f t="shared" si="25"/>
        <v>390720</v>
      </c>
      <c r="P42" s="124">
        <f t="shared" si="6"/>
        <v>32</v>
      </c>
    </row>
    <row r="43" spans="1:16">
      <c r="A43" s="128">
        <f t="shared" si="8"/>
        <v>33</v>
      </c>
      <c r="B43" s="28">
        <f>SUMPRODUCT(B39:B42,I39:I42)/I43</f>
        <v>8.4208620689655178E-2</v>
      </c>
      <c r="C43" s="15" t="s">
        <v>76</v>
      </c>
      <c r="D43" s="19"/>
      <c r="E43" s="19"/>
      <c r="F43" s="14">
        <f>SUMPRODUCT(F39:F42,I39:I42)/I43</f>
        <v>29.99990421455939</v>
      </c>
      <c r="G43" s="14">
        <f>SUMPRODUCT(G39:G42,I39:I42)/I43</f>
        <v>8.4870689655172402</v>
      </c>
      <c r="H43" s="17"/>
      <c r="I43" s="29">
        <f>SUM(I39:I42)</f>
        <v>29000000</v>
      </c>
      <c r="J43" s="29">
        <f>SUM(J39:J42)</f>
        <v>-217438.87</v>
      </c>
      <c r="K43" s="29">
        <f>SUM(K39:K42)</f>
        <v>-3970914.9</v>
      </c>
      <c r="L43" s="29">
        <f>SUM(L39:L42)</f>
        <v>24811646.229999997</v>
      </c>
      <c r="M43" s="17"/>
      <c r="N43" s="30">
        <f>O43/I43</f>
        <v>9.9390344827586213E-2</v>
      </c>
      <c r="O43" s="109">
        <f>SUM(O39:O42)</f>
        <v>2882320</v>
      </c>
      <c r="P43" s="124">
        <f t="shared" si="6"/>
        <v>33</v>
      </c>
    </row>
    <row r="44" spans="1:16">
      <c r="A44" s="128">
        <f t="shared" si="8"/>
        <v>34</v>
      </c>
      <c r="B44" s="16"/>
      <c r="C44" s="17"/>
      <c r="D44" s="19"/>
      <c r="E44" s="19"/>
      <c r="F44" s="20"/>
      <c r="G44" s="20"/>
      <c r="H44" s="17"/>
      <c r="I44" s="21"/>
      <c r="J44" s="22"/>
      <c r="K44" s="17"/>
      <c r="L44" s="23"/>
      <c r="M44" s="24"/>
      <c r="N44" s="24"/>
      <c r="O44" s="108"/>
      <c r="P44" s="124">
        <f t="shared" si="6"/>
        <v>34</v>
      </c>
    </row>
    <row r="45" spans="1:16">
      <c r="A45" s="128">
        <f t="shared" si="8"/>
        <v>35</v>
      </c>
      <c r="B45" s="35">
        <v>8.0500000000000002E-2</v>
      </c>
      <c r="C45" s="17" t="s">
        <v>35</v>
      </c>
      <c r="D45" s="36">
        <f>DATE(1992,9,18)</f>
        <v>33865</v>
      </c>
      <c r="E45" s="8">
        <f>DATE(2022,9,18)</f>
        <v>44822</v>
      </c>
      <c r="F45" s="20">
        <f t="shared" ref="F45:F53" si="26">YEARFRAC(D45,E45)</f>
        <v>30</v>
      </c>
      <c r="G45" s="20">
        <f t="shared" ref="G45:G53" si="27">YEARFRAC($A$4,E45)</f>
        <v>9.2166666666666668</v>
      </c>
      <c r="H45" s="5">
        <v>15000000</v>
      </c>
      <c r="I45" s="123">
        <v>15000000</v>
      </c>
      <c r="J45" s="119">
        <f>-(112500+11357.11+3127.91+233.41+3012.2+490.27+379.71+824.03+1068.66+1044.13+175.82+116.14+31.69+23.55+135.95+11.85+169.91+149.66-3380.62)</f>
        <v>-131471.38000000006</v>
      </c>
      <c r="K45" s="119">
        <v>-1695566.05</v>
      </c>
      <c r="L45" s="5">
        <f t="shared" ref="L45:L53" si="28">SUM(I45:K45)</f>
        <v>13172962.569999998</v>
      </c>
      <c r="M45" s="107">
        <f t="shared" ref="M45:M53" si="29">L45/I45*100</f>
        <v>87.819750466666662</v>
      </c>
      <c r="N45" s="24">
        <f t="shared" ref="N45:N53" si="30">ROUND(YIELD(D45,E45,B45,M45,100,2,0),5)</f>
        <v>9.2579999999999996E-2</v>
      </c>
      <c r="O45" s="108">
        <f t="shared" ref="O45:O53" si="31">ROUND(N45,5)*I45</f>
        <v>1388700</v>
      </c>
      <c r="P45" s="124">
        <f t="shared" si="6"/>
        <v>35</v>
      </c>
    </row>
    <row r="46" spans="1:16">
      <c r="A46" s="128">
        <f t="shared" si="8"/>
        <v>36</v>
      </c>
      <c r="B46" s="35">
        <v>8.0700000000000008E-2</v>
      </c>
      <c r="C46" s="17" t="s">
        <v>35</v>
      </c>
      <c r="D46" s="36">
        <f>DATE(1992,9,9)</f>
        <v>33856</v>
      </c>
      <c r="E46" s="8">
        <f>DATE(2022,9,9)</f>
        <v>44813</v>
      </c>
      <c r="F46" s="20">
        <f t="shared" si="26"/>
        <v>30</v>
      </c>
      <c r="G46" s="20">
        <f t="shared" si="27"/>
        <v>9.1916666666666664</v>
      </c>
      <c r="H46" s="5">
        <v>8000000</v>
      </c>
      <c r="I46" s="123">
        <v>8000000</v>
      </c>
      <c r="J46" s="119">
        <f>-(60000+6057.13+1668.22+124.49+1606.51+261.48+202.51+439.48+569.95+556.87+93.77+61.94+16.9+12.56+72.51+6.32+90.62+79.82-1803)</f>
        <v>-70118.079999999987</v>
      </c>
      <c r="K46" s="119">
        <v>-904301.89</v>
      </c>
      <c r="L46" s="5">
        <f t="shared" si="28"/>
        <v>7025580.0300000003</v>
      </c>
      <c r="M46" s="107">
        <f t="shared" si="29"/>
        <v>87.819750375000012</v>
      </c>
      <c r="N46" s="24">
        <f t="shared" si="30"/>
        <v>9.2799999999999994E-2</v>
      </c>
      <c r="O46" s="108">
        <f t="shared" si="31"/>
        <v>742400</v>
      </c>
      <c r="P46" s="124">
        <f t="shared" si="6"/>
        <v>36</v>
      </c>
    </row>
    <row r="47" spans="1:16">
      <c r="A47" s="128">
        <f t="shared" si="8"/>
        <v>37</v>
      </c>
      <c r="B47" s="35">
        <v>8.1100000000000005E-2</v>
      </c>
      <c r="C47" s="17" t="s">
        <v>35</v>
      </c>
      <c r="D47" s="36">
        <f>DATE(1992,9,11)</f>
        <v>33858</v>
      </c>
      <c r="E47" s="8">
        <f>DATE(2022,9,9)</f>
        <v>44813</v>
      </c>
      <c r="F47" s="20">
        <f t="shared" si="26"/>
        <v>29.994444444444444</v>
      </c>
      <c r="G47" s="20">
        <f t="shared" si="27"/>
        <v>9.1916666666666664</v>
      </c>
      <c r="H47" s="5">
        <v>12000000</v>
      </c>
      <c r="I47" s="123">
        <v>12000000</v>
      </c>
      <c r="J47" s="119">
        <f>-(90000+9085.69+2502.33+186.73+2409.76+392.22+303.77+659.22+854.93+835.31+140.66+92.92+25.35+18.84+108.76+9.48+135.93+119.73-2704.5)</f>
        <v>-105177.12999999998</v>
      </c>
      <c r="K47" s="119">
        <v>-1356452.84</v>
      </c>
      <c r="L47" s="5">
        <f t="shared" si="28"/>
        <v>10538370.029999999</v>
      </c>
      <c r="M47" s="107">
        <f t="shared" si="29"/>
        <v>87.819750249999998</v>
      </c>
      <c r="N47" s="24">
        <f t="shared" si="30"/>
        <v>9.325E-2</v>
      </c>
      <c r="O47" s="108">
        <f t="shared" si="31"/>
        <v>1119000</v>
      </c>
      <c r="P47" s="124">
        <f t="shared" si="6"/>
        <v>37</v>
      </c>
    </row>
    <row r="48" spans="1:16">
      <c r="A48" s="128">
        <f t="shared" si="8"/>
        <v>38</v>
      </c>
      <c r="B48" s="35">
        <v>8.1200000000000008E-2</v>
      </c>
      <c r="C48" s="17" t="s">
        <v>35</v>
      </c>
      <c r="D48" s="36">
        <f>DATE(1992,9,11)</f>
        <v>33858</v>
      </c>
      <c r="E48" s="8">
        <f>DATE(2022,9,9)</f>
        <v>44813</v>
      </c>
      <c r="F48" s="20">
        <f t="shared" si="26"/>
        <v>29.994444444444444</v>
      </c>
      <c r="G48" s="20">
        <f t="shared" si="27"/>
        <v>9.1916666666666664</v>
      </c>
      <c r="H48" s="5">
        <v>50000000</v>
      </c>
      <c r="I48" s="123">
        <v>50000000</v>
      </c>
      <c r="J48" s="119">
        <f>-(375000+37857.05+10426.39+778.02+10040.66+1634.24+1265.7+2746.76+3562.22+3480.45+586.07+387.15+105.64+78.5+453.17+39.5+566.38+498.86-11268.74)</f>
        <v>-438238.02</v>
      </c>
      <c r="K48" s="119">
        <v>-5651886.8399999999</v>
      </c>
      <c r="L48" s="5">
        <f t="shared" si="28"/>
        <v>43909875.140000001</v>
      </c>
      <c r="M48" s="107">
        <f t="shared" si="29"/>
        <v>87.819750279999994</v>
      </c>
      <c r="N48" s="24">
        <f t="shared" si="30"/>
        <v>9.3359999999999999E-2</v>
      </c>
      <c r="O48" s="108">
        <f t="shared" si="31"/>
        <v>4668000</v>
      </c>
      <c r="P48" s="124">
        <f t="shared" si="6"/>
        <v>38</v>
      </c>
    </row>
    <row r="49" spans="1:16">
      <c r="A49" s="128">
        <f t="shared" si="8"/>
        <v>39</v>
      </c>
      <c r="B49" s="35">
        <v>8.0500000000000002E-2</v>
      </c>
      <c r="C49" s="17" t="s">
        <v>35</v>
      </c>
      <c r="D49" s="36">
        <f>DATE(1992,9,14)</f>
        <v>33861</v>
      </c>
      <c r="E49" s="8">
        <f>DATE(2022,9,14)</f>
        <v>44818</v>
      </c>
      <c r="F49" s="20">
        <f t="shared" si="26"/>
        <v>30</v>
      </c>
      <c r="G49" s="20">
        <f t="shared" si="27"/>
        <v>9.2055555555555557</v>
      </c>
      <c r="H49" s="5">
        <v>10000000</v>
      </c>
      <c r="I49" s="123">
        <v>10000000</v>
      </c>
      <c r="J49" s="119">
        <f>-(75000+7571.41+2085.28+155.6+2008.13+326.85+253.14+549.35+712.44+696.09+117.21+77.43+21.13+15.7+90.63+7.9+113.27+99.77-2253.75)</f>
        <v>-87647.580000000031</v>
      </c>
      <c r="K49" s="119">
        <v>-1130377.3700000001</v>
      </c>
      <c r="L49" s="5">
        <f t="shared" si="28"/>
        <v>8781975.0500000007</v>
      </c>
      <c r="M49" s="107">
        <f t="shared" si="29"/>
        <v>87.819750499999998</v>
      </c>
      <c r="N49" s="24">
        <f t="shared" si="30"/>
        <v>9.2579999999999996E-2</v>
      </c>
      <c r="O49" s="108">
        <f t="shared" si="31"/>
        <v>925800</v>
      </c>
      <c r="P49" s="124">
        <f t="shared" si="6"/>
        <v>39</v>
      </c>
    </row>
    <row r="50" spans="1:16">
      <c r="A50" s="128">
        <f t="shared" si="8"/>
        <v>40</v>
      </c>
      <c r="B50" s="35">
        <v>8.0800000000000011E-2</v>
      </c>
      <c r="C50" s="17" t="s">
        <v>36</v>
      </c>
      <c r="D50" s="36">
        <f>DATE(1992,10,15)</f>
        <v>33892</v>
      </c>
      <c r="E50" s="8">
        <f>DATE(2022,10,14)</f>
        <v>44848</v>
      </c>
      <c r="F50" s="20">
        <f t="shared" si="26"/>
        <v>29.997222222222224</v>
      </c>
      <c r="G50" s="20">
        <f t="shared" si="27"/>
        <v>9.2888888888888896</v>
      </c>
      <c r="H50" s="5">
        <v>25000000</v>
      </c>
      <c r="I50" s="123">
        <v>25000000</v>
      </c>
      <c r="J50" s="119">
        <f>-(187500+5213.19+389.01+5020.33+817.12+632.85+1373.38+1781.11+1740.22+293.04+193.58+52.82+39.25+226.58+19.75+283.19+249.43-5634.37)</f>
        <v>-200190.47999999998</v>
      </c>
      <c r="K50" s="119">
        <f>-(942395.61+1119231.5)</f>
        <v>-2061627.1099999999</v>
      </c>
      <c r="L50" s="5">
        <f t="shared" si="28"/>
        <v>22738182.41</v>
      </c>
      <c r="M50" s="107">
        <f t="shared" si="29"/>
        <v>90.952729640000001</v>
      </c>
      <c r="N50" s="24">
        <f t="shared" si="30"/>
        <v>8.9529999999999998E-2</v>
      </c>
      <c r="O50" s="108">
        <f t="shared" si="31"/>
        <v>2238250</v>
      </c>
      <c r="P50" s="124">
        <f t="shared" si="6"/>
        <v>40</v>
      </c>
    </row>
    <row r="51" spans="1:16">
      <c r="A51" s="128">
        <f t="shared" si="8"/>
        <v>41</v>
      </c>
      <c r="B51" s="35">
        <v>8.0800000000000011E-2</v>
      </c>
      <c r="C51" s="17" t="s">
        <v>36</v>
      </c>
      <c r="D51" s="36">
        <f>DATE(1992,10,15)</f>
        <v>33892</v>
      </c>
      <c r="E51" s="8">
        <f>DATE(2022,10,14)</f>
        <v>44848</v>
      </c>
      <c r="F51" s="20">
        <f t="shared" si="26"/>
        <v>29.997222222222224</v>
      </c>
      <c r="G51" s="20">
        <f t="shared" si="27"/>
        <v>9.2888888888888896</v>
      </c>
      <c r="H51" s="5">
        <v>26000000</v>
      </c>
      <c r="I51" s="123">
        <v>26000000</v>
      </c>
      <c r="J51" s="119">
        <f>-(195000+5421.72+404.57+5221.14+849.8+658.16+1428.31+1852.35+1809.83+304.76+201.32+54.93+40.82+235.65+20.54+294.52+259.41-5859.74)</f>
        <v>-208198.09000000003</v>
      </c>
      <c r="K51" s="119">
        <v>-2938981.15</v>
      </c>
      <c r="L51" s="5">
        <f t="shared" si="28"/>
        <v>22852820.760000002</v>
      </c>
      <c r="M51" s="107">
        <f t="shared" si="29"/>
        <v>87.895464461538467</v>
      </c>
      <c r="N51" s="24">
        <f t="shared" si="30"/>
        <v>9.2829999999999996E-2</v>
      </c>
      <c r="O51" s="108">
        <f t="shared" si="31"/>
        <v>2413580</v>
      </c>
      <c r="P51" s="124">
        <f t="shared" si="6"/>
        <v>41</v>
      </c>
    </row>
    <row r="52" spans="1:16">
      <c r="A52" s="128">
        <f t="shared" si="8"/>
        <v>42</v>
      </c>
      <c r="B52" s="35">
        <v>8.2299999999999998E-2</v>
      </c>
      <c r="C52" s="17" t="s">
        <v>37</v>
      </c>
      <c r="D52" s="36">
        <f>DATE(1993,1,29)</f>
        <v>33998</v>
      </c>
      <c r="E52" s="8">
        <f>DATE(2023,1,20)</f>
        <v>44946</v>
      </c>
      <c r="F52" s="20">
        <f t="shared" si="26"/>
        <v>29.975000000000001</v>
      </c>
      <c r="G52" s="20">
        <f t="shared" si="27"/>
        <v>9.5555555555555554</v>
      </c>
      <c r="H52" s="5">
        <v>4000000</v>
      </c>
      <c r="I52" s="123">
        <v>4000000</v>
      </c>
      <c r="J52" s="5">
        <f>-(30000+130.74+101.26+219.74+284.98+278.44+46.89+30.97+8.45+6.28+36.25+3.16+45.31+39.91-901.5)+81560</f>
        <v>51229.119999999995</v>
      </c>
      <c r="K52" s="119">
        <v>-88988.58</v>
      </c>
      <c r="L52" s="5">
        <f t="shared" si="28"/>
        <v>3962240.54</v>
      </c>
      <c r="M52" s="107">
        <f t="shared" si="29"/>
        <v>99.056013500000006</v>
      </c>
      <c r="N52" s="24">
        <f t="shared" si="30"/>
        <v>8.3159999999999998E-2</v>
      </c>
      <c r="O52" s="108">
        <f t="shared" si="31"/>
        <v>332640</v>
      </c>
      <c r="P52" s="124">
        <f t="shared" si="6"/>
        <v>42</v>
      </c>
    </row>
    <row r="53" spans="1:16">
      <c r="A53" s="128">
        <f t="shared" si="8"/>
        <v>43</v>
      </c>
      <c r="B53" s="35">
        <v>8.2299999999999998E-2</v>
      </c>
      <c r="C53" s="17" t="s">
        <v>37</v>
      </c>
      <c r="D53" s="36">
        <f>DATE(1993,1,20)</f>
        <v>33989</v>
      </c>
      <c r="E53" s="8">
        <f>DATE(2023,1,20)</f>
        <v>44946</v>
      </c>
      <c r="F53" s="20">
        <f t="shared" si="26"/>
        <v>30</v>
      </c>
      <c r="G53" s="20">
        <f t="shared" si="27"/>
        <v>9.5555555555555554</v>
      </c>
      <c r="H53" s="5">
        <v>5000000</v>
      </c>
      <c r="I53" s="123">
        <v>5000000</v>
      </c>
      <c r="J53" s="119">
        <f>-(37500+163.42+126.57+274.68+356.22+348.04+58.61+38.71+10.56+7.85+45.32+3.95+56.64+49.89-1126.87)</f>
        <v>-37913.589999999989</v>
      </c>
      <c r="K53" s="119">
        <v>-335843.38</v>
      </c>
      <c r="L53" s="5">
        <f t="shared" si="28"/>
        <v>4626243.03</v>
      </c>
      <c r="M53" s="107">
        <f t="shared" si="29"/>
        <v>92.524860599999997</v>
      </c>
      <c r="N53" s="24">
        <f t="shared" si="30"/>
        <v>8.9510000000000006E-2</v>
      </c>
      <c r="O53" s="108">
        <f t="shared" si="31"/>
        <v>447550.00000000006</v>
      </c>
      <c r="P53" s="124">
        <f t="shared" si="6"/>
        <v>43</v>
      </c>
    </row>
    <row r="54" spans="1:16">
      <c r="A54" s="128">
        <f t="shared" si="8"/>
        <v>44</v>
      </c>
      <c r="B54" s="28">
        <f>SUMPRODUCT(B45:B53,I45:I53)/I54</f>
        <v>8.0985806451612907E-2</v>
      </c>
      <c r="C54" s="15" t="s">
        <v>77</v>
      </c>
      <c r="D54" s="19"/>
      <c r="E54" s="19"/>
      <c r="F54" s="14">
        <f>SUMPRODUCT(F45:F53,I45:I53)/I54</f>
        <v>29.996218637992829</v>
      </c>
      <c r="G54" s="14">
        <f>SUMPRODUCT(G45:G53,I45:I53)/I54</f>
        <v>9.2481003584229384</v>
      </c>
      <c r="H54" s="17"/>
      <c r="I54" s="29">
        <f>SUM(I45:I53)</f>
        <v>155000000</v>
      </c>
      <c r="J54" s="29">
        <f>SUM(J45:J53)</f>
        <v>-1227725.2300000002</v>
      </c>
      <c r="K54" s="29">
        <f>SUM(K45:K53)</f>
        <v>-16164025.210000003</v>
      </c>
      <c r="L54" s="29">
        <f>SUM(L45:L53)</f>
        <v>137608249.56</v>
      </c>
      <c r="M54" s="17"/>
      <c r="N54" s="30">
        <f>O54/I54</f>
        <v>9.2102709677419362E-2</v>
      </c>
      <c r="O54" s="109">
        <f>SUM(O45:O53)</f>
        <v>14275920</v>
      </c>
      <c r="P54" s="124">
        <f t="shared" si="6"/>
        <v>44</v>
      </c>
    </row>
    <row r="55" spans="1:16">
      <c r="A55" s="128">
        <f t="shared" si="8"/>
        <v>45</v>
      </c>
      <c r="B55" s="16"/>
      <c r="C55" s="17"/>
      <c r="D55" s="19"/>
      <c r="E55" s="19"/>
      <c r="F55" s="20"/>
      <c r="G55" s="20"/>
      <c r="H55" s="17"/>
      <c r="I55" s="21"/>
      <c r="J55" s="22"/>
      <c r="K55" s="17"/>
      <c r="L55" s="23"/>
      <c r="M55" s="24"/>
      <c r="N55" s="24"/>
      <c r="O55" s="108"/>
      <c r="P55" s="124">
        <f t="shared" si="6"/>
        <v>45</v>
      </c>
    </row>
    <row r="56" spans="1:16">
      <c r="A56" s="128">
        <f t="shared" si="8"/>
        <v>46</v>
      </c>
      <c r="B56" s="35">
        <v>7.2599999999999998E-2</v>
      </c>
      <c r="C56" s="17" t="s">
        <v>38</v>
      </c>
      <c r="D56" s="19">
        <f>DATE(1993,7,22)</f>
        <v>34172</v>
      </c>
      <c r="E56" s="8">
        <f>DATE(2023,7,21)</f>
        <v>45128</v>
      </c>
      <c r="F56" s="20">
        <f t="shared" ref="F56:F65" si="32">YEARFRAC(D56,E56)</f>
        <v>29.997222222222224</v>
      </c>
      <c r="G56" s="20">
        <f t="shared" ref="G56:G65" si="33">YEARFRAC($A$4,E56)</f>
        <v>10.058333333333334</v>
      </c>
      <c r="H56" s="5">
        <v>11000000</v>
      </c>
      <c r="I56" s="123">
        <v>11000000</v>
      </c>
      <c r="J56" s="119">
        <v>-100622</v>
      </c>
      <c r="K56" s="119">
        <v>-589062</v>
      </c>
      <c r="L56" s="5">
        <f t="shared" ref="L56:L65" si="34">SUM(I56:K56)</f>
        <v>10310316</v>
      </c>
      <c r="M56" s="107">
        <f t="shared" ref="M56:M65" si="35">L56/I56*100</f>
        <v>93.73014545454545</v>
      </c>
      <c r="N56" s="24">
        <f t="shared" ref="N56:N65" si="36">ROUND(YIELD(D56,E56,B56,M56,100,2,0),5)</f>
        <v>7.8039999999999998E-2</v>
      </c>
      <c r="O56" s="108">
        <f t="shared" ref="O56:O65" si="37">ROUND(N56,5)*I56</f>
        <v>858440</v>
      </c>
      <c r="P56" s="124">
        <f t="shared" si="6"/>
        <v>46</v>
      </c>
    </row>
    <row r="57" spans="1:16">
      <c r="A57" s="128">
        <f t="shared" si="8"/>
        <v>47</v>
      </c>
      <c r="B57" s="35">
        <v>7.2599999999999998E-2</v>
      </c>
      <c r="C57" s="17" t="s">
        <v>38</v>
      </c>
      <c r="D57" s="19">
        <f>DATE(1993,7,22)</f>
        <v>34172</v>
      </c>
      <c r="E57" s="8">
        <f>DATE(2023,7,21)</f>
        <v>45128</v>
      </c>
      <c r="F57" s="20">
        <f t="shared" si="32"/>
        <v>29.997222222222224</v>
      </c>
      <c r="G57" s="20">
        <f t="shared" si="33"/>
        <v>10.058333333333334</v>
      </c>
      <c r="H57" s="5">
        <v>27000000</v>
      </c>
      <c r="I57" s="123">
        <v>27000000</v>
      </c>
      <c r="J57" s="119">
        <v>-246981</v>
      </c>
      <c r="K57" s="119">
        <v>-1445879.9</v>
      </c>
      <c r="L57" s="5">
        <f t="shared" si="34"/>
        <v>25307139.100000001</v>
      </c>
      <c r="M57" s="107">
        <f t="shared" si="35"/>
        <v>93.730144814814821</v>
      </c>
      <c r="N57" s="24">
        <f t="shared" si="36"/>
        <v>7.8039999999999998E-2</v>
      </c>
      <c r="O57" s="108">
        <f t="shared" si="37"/>
        <v>2107080</v>
      </c>
      <c r="P57" s="124">
        <f t="shared" si="6"/>
        <v>47</v>
      </c>
    </row>
    <row r="58" spans="1:16">
      <c r="A58" s="128">
        <f t="shared" si="8"/>
        <v>48</v>
      </c>
      <c r="B58" s="35">
        <v>7.2300000000000003E-2</v>
      </c>
      <c r="C58" s="17" t="s">
        <v>39</v>
      </c>
      <c r="D58" s="19">
        <f>DATE(1993,8,16)</f>
        <v>34197</v>
      </c>
      <c r="E58" s="8">
        <f>DATE(2023,8,16)</f>
        <v>45154</v>
      </c>
      <c r="F58" s="20">
        <f t="shared" si="32"/>
        <v>30</v>
      </c>
      <c r="G58" s="20">
        <f t="shared" si="33"/>
        <v>10.127777777777778</v>
      </c>
      <c r="H58" s="5">
        <v>15000000</v>
      </c>
      <c r="I58" s="123">
        <v>15000000</v>
      </c>
      <c r="J58" s="119">
        <v>-137211</v>
      </c>
      <c r="K58" s="119">
        <f>-504373+235749</f>
        <v>-268624</v>
      </c>
      <c r="L58" s="5">
        <f t="shared" si="34"/>
        <v>14594165</v>
      </c>
      <c r="M58" s="107">
        <f t="shared" si="35"/>
        <v>97.29443333333333</v>
      </c>
      <c r="N58" s="24">
        <f t="shared" si="36"/>
        <v>7.4569999999999997E-2</v>
      </c>
      <c r="O58" s="108">
        <f t="shared" si="37"/>
        <v>1118550</v>
      </c>
      <c r="P58" s="124">
        <f t="shared" si="6"/>
        <v>48</v>
      </c>
    </row>
    <row r="59" spans="1:16">
      <c r="A59" s="128">
        <f t="shared" si="8"/>
        <v>49</v>
      </c>
      <c r="B59" s="35">
        <v>7.2400000000000006E-2</v>
      </c>
      <c r="C59" s="17" t="s">
        <v>39</v>
      </c>
      <c r="D59" s="19">
        <f>DATE(1993,8,16)</f>
        <v>34197</v>
      </c>
      <c r="E59" s="8">
        <f>DATE(2023,8,16)</f>
        <v>45154</v>
      </c>
      <c r="F59" s="20">
        <f t="shared" si="32"/>
        <v>30</v>
      </c>
      <c r="G59" s="20">
        <f t="shared" si="33"/>
        <v>10.127777777777778</v>
      </c>
      <c r="H59" s="5">
        <v>30000000</v>
      </c>
      <c r="I59" s="123">
        <v>30000000</v>
      </c>
      <c r="J59" s="119">
        <v>-274423</v>
      </c>
      <c r="K59" s="119">
        <f>-1008746+471498</f>
        <v>-537248</v>
      </c>
      <c r="L59" s="5">
        <f t="shared" si="34"/>
        <v>29188329</v>
      </c>
      <c r="M59" s="107">
        <f t="shared" si="35"/>
        <v>97.294430000000006</v>
      </c>
      <c r="N59" s="24">
        <f t="shared" si="36"/>
        <v>7.467E-2</v>
      </c>
      <c r="O59" s="108">
        <f t="shared" si="37"/>
        <v>2240100</v>
      </c>
      <c r="P59" s="124">
        <f t="shared" si="6"/>
        <v>49</v>
      </c>
    </row>
    <row r="60" spans="1:16">
      <c r="A60" s="128">
        <f t="shared" si="8"/>
        <v>50</v>
      </c>
      <c r="B60" s="35">
        <v>6.7500000000000004E-2</v>
      </c>
      <c r="C60" s="17" t="s">
        <v>40</v>
      </c>
      <c r="D60" s="36">
        <f>DATE(1993,9,14)</f>
        <v>34226</v>
      </c>
      <c r="E60" s="8">
        <f>DATE(2023,9,14)</f>
        <v>45183</v>
      </c>
      <c r="F60" s="20">
        <f t="shared" si="32"/>
        <v>30</v>
      </c>
      <c r="G60" s="20">
        <f t="shared" si="33"/>
        <v>10.205555555555556</v>
      </c>
      <c r="H60" s="5">
        <v>2000000</v>
      </c>
      <c r="I60" s="123">
        <v>2000000</v>
      </c>
      <c r="J60" s="119">
        <v>-15300</v>
      </c>
      <c r="K60" s="5">
        <v>0</v>
      </c>
      <c r="L60" s="5">
        <f t="shared" si="34"/>
        <v>1984700</v>
      </c>
      <c r="M60" s="107">
        <f t="shared" si="35"/>
        <v>99.234999999999999</v>
      </c>
      <c r="N60" s="24">
        <f t="shared" si="36"/>
        <v>6.8099999999999994E-2</v>
      </c>
      <c r="O60" s="108">
        <f t="shared" si="37"/>
        <v>136200</v>
      </c>
      <c r="P60" s="124">
        <f t="shared" si="6"/>
        <v>50</v>
      </c>
    </row>
    <row r="61" spans="1:16">
      <c r="A61" s="128">
        <f t="shared" si="8"/>
        <v>51</v>
      </c>
      <c r="B61" s="35">
        <v>6.720000000000001E-2</v>
      </c>
      <c r="C61" s="17" t="s">
        <v>40</v>
      </c>
      <c r="D61" s="36">
        <f>DATE(1993,9,14)</f>
        <v>34226</v>
      </c>
      <c r="E61" s="8">
        <f>DATE(2023,9,14)</f>
        <v>45183</v>
      </c>
      <c r="F61" s="20">
        <f t="shared" si="32"/>
        <v>30</v>
      </c>
      <c r="G61" s="20">
        <f t="shared" si="33"/>
        <v>10.205555555555556</v>
      </c>
      <c r="H61" s="5">
        <v>2000000</v>
      </c>
      <c r="I61" s="123">
        <v>2000000</v>
      </c>
      <c r="J61" s="119">
        <v>-15300</v>
      </c>
      <c r="K61" s="5">
        <v>0</v>
      </c>
      <c r="L61" s="5">
        <f t="shared" si="34"/>
        <v>1984700</v>
      </c>
      <c r="M61" s="107">
        <f t="shared" si="35"/>
        <v>99.234999999999999</v>
      </c>
      <c r="N61" s="24">
        <f t="shared" si="36"/>
        <v>6.7799999999999999E-2</v>
      </c>
      <c r="O61" s="108">
        <f t="shared" si="37"/>
        <v>135600</v>
      </c>
      <c r="P61" s="124">
        <f t="shared" si="6"/>
        <v>51</v>
      </c>
    </row>
    <row r="62" spans="1:16">
      <c r="A62" s="128">
        <f t="shared" si="8"/>
        <v>52</v>
      </c>
      <c r="B62" s="35">
        <v>6.7500000000000004E-2</v>
      </c>
      <c r="C62" s="17" t="s">
        <v>40</v>
      </c>
      <c r="D62" s="36">
        <f>DATE(1993,9,14)</f>
        <v>34226</v>
      </c>
      <c r="E62" s="8">
        <f>DATE(2023,9,14)</f>
        <v>45183</v>
      </c>
      <c r="F62" s="20">
        <f t="shared" si="32"/>
        <v>30</v>
      </c>
      <c r="G62" s="20">
        <f t="shared" si="33"/>
        <v>10.205555555555556</v>
      </c>
      <c r="H62" s="5">
        <v>5000000</v>
      </c>
      <c r="I62" s="123">
        <v>5000000</v>
      </c>
      <c r="J62" s="119">
        <v>-38250</v>
      </c>
      <c r="K62" s="119">
        <f>-64156+29987</f>
        <v>-34169</v>
      </c>
      <c r="L62" s="5">
        <f t="shared" si="34"/>
        <v>4927581</v>
      </c>
      <c r="M62" s="107">
        <f t="shared" si="35"/>
        <v>98.55162</v>
      </c>
      <c r="N62" s="24">
        <f t="shared" si="36"/>
        <v>6.8650000000000003E-2</v>
      </c>
      <c r="O62" s="108">
        <f t="shared" si="37"/>
        <v>343250</v>
      </c>
      <c r="P62" s="124">
        <f t="shared" si="6"/>
        <v>52</v>
      </c>
    </row>
    <row r="63" spans="1:16">
      <c r="A63" s="128">
        <f t="shared" si="8"/>
        <v>53</v>
      </c>
      <c r="B63" s="35">
        <v>6.7500000000000004E-2</v>
      </c>
      <c r="C63" s="17" t="s">
        <v>41</v>
      </c>
      <c r="D63" s="36">
        <f>DATE(1993,10,26)</f>
        <v>34268</v>
      </c>
      <c r="E63" s="8">
        <f>DATE(2023,10,26)</f>
        <v>45225</v>
      </c>
      <c r="F63" s="20">
        <f t="shared" si="32"/>
        <v>30</v>
      </c>
      <c r="G63" s="20">
        <f t="shared" si="33"/>
        <v>10.322222222222223</v>
      </c>
      <c r="H63" s="5">
        <v>12000000</v>
      </c>
      <c r="I63" s="123">
        <v>12000000</v>
      </c>
      <c r="J63" s="119">
        <v>-91396</v>
      </c>
      <c r="K63" s="5">
        <v>0</v>
      </c>
      <c r="L63" s="5">
        <f t="shared" si="34"/>
        <v>11908604</v>
      </c>
      <c r="M63" s="107">
        <f t="shared" si="35"/>
        <v>99.238366666666664</v>
      </c>
      <c r="N63" s="24">
        <f t="shared" si="36"/>
        <v>6.8099999999999994E-2</v>
      </c>
      <c r="O63" s="108">
        <f t="shared" si="37"/>
        <v>817199.99999999988</v>
      </c>
      <c r="P63" s="124">
        <f t="shared" si="6"/>
        <v>53</v>
      </c>
    </row>
    <row r="64" spans="1:16">
      <c r="A64" s="128">
        <f t="shared" si="8"/>
        <v>54</v>
      </c>
      <c r="B64" s="35">
        <v>6.7500000000000004E-2</v>
      </c>
      <c r="C64" s="17" t="s">
        <v>41</v>
      </c>
      <c r="D64" s="36">
        <f t="shared" ref="D64:D65" si="38">DATE(1993,10,26)</f>
        <v>34268</v>
      </c>
      <c r="E64" s="8">
        <f>DATE(2023,10,26)</f>
        <v>45225</v>
      </c>
      <c r="F64" s="20">
        <f t="shared" si="32"/>
        <v>30</v>
      </c>
      <c r="G64" s="20">
        <f t="shared" si="33"/>
        <v>10.322222222222223</v>
      </c>
      <c r="H64" s="5">
        <v>16000000</v>
      </c>
      <c r="I64" s="123">
        <v>16000000</v>
      </c>
      <c r="J64" s="119">
        <v>-121861</v>
      </c>
      <c r="K64" s="5">
        <v>0</v>
      </c>
      <c r="L64" s="5">
        <f t="shared" si="34"/>
        <v>15878139</v>
      </c>
      <c r="M64" s="107">
        <f t="shared" si="35"/>
        <v>99.238368749999992</v>
      </c>
      <c r="N64" s="24">
        <f t="shared" si="36"/>
        <v>6.8099999999999994E-2</v>
      </c>
      <c r="O64" s="108">
        <f t="shared" si="37"/>
        <v>1089600</v>
      </c>
      <c r="P64" s="124">
        <f t="shared" si="6"/>
        <v>54</v>
      </c>
    </row>
    <row r="65" spans="1:16">
      <c r="A65" s="128">
        <f t="shared" si="8"/>
        <v>55</v>
      </c>
      <c r="B65" s="35">
        <v>6.7500000000000004E-2</v>
      </c>
      <c r="C65" s="17" t="s">
        <v>41</v>
      </c>
      <c r="D65" s="36">
        <f t="shared" si="38"/>
        <v>34268</v>
      </c>
      <c r="E65" s="8">
        <f>DATE(2023,10,26)</f>
        <v>45225</v>
      </c>
      <c r="F65" s="20">
        <f t="shared" si="32"/>
        <v>30</v>
      </c>
      <c r="G65" s="20">
        <f t="shared" si="33"/>
        <v>10.322222222222223</v>
      </c>
      <c r="H65" s="5">
        <v>20000000</v>
      </c>
      <c r="I65" s="123">
        <v>20000000</v>
      </c>
      <c r="J65" s="119">
        <v>-152326</v>
      </c>
      <c r="K65" s="5">
        <v>0</v>
      </c>
      <c r="L65" s="5">
        <f t="shared" si="34"/>
        <v>19847674</v>
      </c>
      <c r="M65" s="107">
        <f t="shared" si="35"/>
        <v>99.238370000000003</v>
      </c>
      <c r="N65" s="24">
        <f t="shared" si="36"/>
        <v>6.8099999999999994E-2</v>
      </c>
      <c r="O65" s="108">
        <f t="shared" si="37"/>
        <v>1361999.9999999998</v>
      </c>
      <c r="P65" s="124">
        <f t="shared" si="6"/>
        <v>55</v>
      </c>
    </row>
    <row r="66" spans="1:16">
      <c r="A66" s="128">
        <f t="shared" si="8"/>
        <v>56</v>
      </c>
      <c r="B66" s="28">
        <f>SUMPRODUCT(B56:B65,I56:I65)/I66</f>
        <v>7.0444285714285709E-2</v>
      </c>
      <c r="C66" s="15" t="s">
        <v>78</v>
      </c>
      <c r="D66" s="19"/>
      <c r="E66" s="19"/>
      <c r="F66" s="14">
        <f>SUMPRODUCT(F56:F65,I56:I65)/I66</f>
        <v>29.999246031746033</v>
      </c>
      <c r="G66" s="14">
        <f>SUMPRODUCT(G56:G65,I56:I65)/I66</f>
        <v>10.18059523809524</v>
      </c>
      <c r="H66" s="17"/>
      <c r="I66" s="29">
        <f>SUM(I56:I65)</f>
        <v>140000000</v>
      </c>
      <c r="J66" s="29">
        <f>SUM(J56:J65)</f>
        <v>-1193670</v>
      </c>
      <c r="K66" s="29">
        <f>SUM(K56:K65)</f>
        <v>-2874982.9</v>
      </c>
      <c r="L66" s="29">
        <f>SUM(L56:L65)</f>
        <v>135931347.09999999</v>
      </c>
      <c r="M66" s="17"/>
      <c r="N66" s="30">
        <f>O66/I66</f>
        <v>7.2914428571428574E-2</v>
      </c>
      <c r="O66" s="109">
        <f>SUM(O56:O65)</f>
        <v>10208020</v>
      </c>
      <c r="P66" s="124">
        <f t="shared" si="6"/>
        <v>56</v>
      </c>
    </row>
    <row r="67" spans="1:16">
      <c r="A67" s="128">
        <f t="shared" si="8"/>
        <v>57</v>
      </c>
      <c r="B67" s="16"/>
      <c r="C67" s="17"/>
      <c r="D67" s="19"/>
      <c r="E67" s="19"/>
      <c r="F67" s="20"/>
      <c r="G67" s="20"/>
      <c r="H67" s="17"/>
      <c r="I67" s="21"/>
      <c r="J67" s="22"/>
      <c r="K67" s="17"/>
      <c r="L67" s="23"/>
      <c r="M67" s="24"/>
      <c r="N67" s="24"/>
      <c r="O67" s="108"/>
      <c r="P67" s="124">
        <f t="shared" si="6"/>
        <v>57</v>
      </c>
    </row>
    <row r="68" spans="1:16">
      <c r="A68" s="128">
        <f t="shared" si="8"/>
        <v>58</v>
      </c>
      <c r="B68" s="35">
        <v>6.7100000000000007E-2</v>
      </c>
      <c r="C68" s="17" t="s">
        <v>42</v>
      </c>
      <c r="D68" s="19">
        <f>DATE(1996,1,23)</f>
        <v>35087</v>
      </c>
      <c r="E68" s="8">
        <f>DATE(2026,1,15)</f>
        <v>46037</v>
      </c>
      <c r="F68" s="20">
        <f>YEARFRAC(D68,E68)</f>
        <v>29.977777777777778</v>
      </c>
      <c r="G68" s="20">
        <f>YEARFRAC($A$4,E68)</f>
        <v>12.541666666666666</v>
      </c>
      <c r="H68" s="5">
        <v>100000000</v>
      </c>
      <c r="I68" s="123">
        <v>100000000</v>
      </c>
      <c r="J68" s="119">
        <f>(I68*-0.00875)-1238.49-2843.43-5000-1895.25-10252.38-2112.63-6124.41</f>
        <v>-904466.5900000002</v>
      </c>
      <c r="K68" s="5">
        <v>0</v>
      </c>
      <c r="L68" s="5">
        <f>SUM(I68:K68)</f>
        <v>99095533.409999996</v>
      </c>
      <c r="M68" s="107">
        <f>L68/I68*100</f>
        <v>99.095533409999987</v>
      </c>
      <c r="N68" s="24">
        <f>ROUND(YIELD(D68,E68,B68,M68,100,2,0),5)</f>
        <v>6.7809999999999995E-2</v>
      </c>
      <c r="O68" s="5">
        <f>ROUND(N68,5)*I68</f>
        <v>6780999.9999999991</v>
      </c>
      <c r="P68" s="124">
        <f t="shared" ref="P68:P102" si="39">A68</f>
        <v>58</v>
      </c>
    </row>
    <row r="69" spans="1:16">
      <c r="A69" s="128">
        <f t="shared" ref="A69:A99" si="40">A68+1</f>
        <v>59</v>
      </c>
      <c r="B69" s="28">
        <f>SUMPRODUCT(B68:B68,I68:I68)/I69</f>
        <v>6.7100000000000007E-2</v>
      </c>
      <c r="C69" s="15" t="s">
        <v>79</v>
      </c>
      <c r="D69" s="19"/>
      <c r="E69" s="19"/>
      <c r="F69" s="14">
        <f>SUMPRODUCT(F68:F68,I68:I68)/I69</f>
        <v>29.977777777777778</v>
      </c>
      <c r="G69" s="14">
        <f>SUMPRODUCT(G68:G68,I68:I68)/I69</f>
        <v>12.541666666666664</v>
      </c>
      <c r="H69" s="17"/>
      <c r="I69" s="39">
        <f>SUM(I68:I68)</f>
        <v>100000000</v>
      </c>
      <c r="J69" s="120">
        <f>SUM(J68:J68)</f>
        <v>-904466.5900000002</v>
      </c>
      <c r="K69" s="39">
        <f>SUM(K68:K68)</f>
        <v>0</v>
      </c>
      <c r="L69" s="39">
        <f>SUM(L68:L68)</f>
        <v>99095533.409999996</v>
      </c>
      <c r="M69" s="24"/>
      <c r="N69" s="30">
        <f>O69/I69</f>
        <v>6.7809999999999995E-2</v>
      </c>
      <c r="O69" s="109">
        <f>SUM(O68:O68)</f>
        <v>6780999.9999999991</v>
      </c>
      <c r="P69" s="124">
        <f t="shared" si="39"/>
        <v>59</v>
      </c>
    </row>
    <row r="70" spans="1:16">
      <c r="A70" s="128">
        <f t="shared" si="40"/>
        <v>60</v>
      </c>
      <c r="B70" s="16"/>
      <c r="C70" s="17"/>
      <c r="D70" s="19"/>
      <c r="E70" s="19"/>
      <c r="F70" s="20"/>
      <c r="G70" s="20"/>
      <c r="H70" s="17"/>
      <c r="I70" s="21"/>
      <c r="J70" s="22"/>
      <c r="K70" s="17"/>
      <c r="L70" s="23"/>
      <c r="M70" s="24"/>
      <c r="N70" s="24"/>
      <c r="O70" s="108"/>
      <c r="P70" s="124">
        <f t="shared" si="39"/>
        <v>60</v>
      </c>
    </row>
    <row r="71" spans="1:16">
      <c r="A71" s="128">
        <f t="shared" si="40"/>
        <v>61</v>
      </c>
      <c r="B71" s="28">
        <f>(B18*I18+B37*I37+B43*I43+B54*I54+B66*I66+B69*I69)/I71</f>
        <v>5.5382371040102955E-2</v>
      </c>
      <c r="C71" s="15" t="s">
        <v>51</v>
      </c>
      <c r="D71" s="19"/>
      <c r="E71" s="19"/>
      <c r="F71" s="14">
        <f>(F37*I37+F18*I18+F43*I43+F54*I54+F66*I66+F69*I69)/I71</f>
        <v>23.476850389138992</v>
      </c>
      <c r="G71" s="14">
        <f>(G37*I37+G18*I18+G43*I43+G54*I54+G66*I66+G69*I69)/I71</f>
        <v>17.206880619360415</v>
      </c>
      <c r="H71" s="17"/>
      <c r="I71" s="39">
        <f>I18+I37+I43+I54+I66+I69</f>
        <v>6455534000</v>
      </c>
      <c r="J71" s="120">
        <f>J18+J37+J43+J54+J66+J69</f>
        <v>-66571478.310000002</v>
      </c>
      <c r="K71" s="120">
        <f>K18+K37+K43+K54+K66+K69</f>
        <v>-35244530.440000005</v>
      </c>
      <c r="L71" s="39">
        <f>L18+L37+L43+L54+L66+L69</f>
        <v>6353717991.25</v>
      </c>
      <c r="M71" s="24"/>
      <c r="N71" s="30">
        <f>O71/I71</f>
        <v>5.6880139413718528E-2</v>
      </c>
      <c r="O71" s="72">
        <f>O18+O37+O43+O54+O66+O69</f>
        <v>367191673.91000003</v>
      </c>
      <c r="P71" s="124">
        <f t="shared" si="39"/>
        <v>61</v>
      </c>
    </row>
    <row r="72" spans="1:16">
      <c r="A72" s="128">
        <f t="shared" si="40"/>
        <v>62</v>
      </c>
      <c r="B72" s="16"/>
      <c r="C72" s="17"/>
      <c r="D72" s="19"/>
      <c r="E72" s="19"/>
      <c r="F72" s="20"/>
      <c r="G72" s="20"/>
      <c r="H72" s="17"/>
      <c r="I72" s="21"/>
      <c r="J72" s="22"/>
      <c r="K72" s="17"/>
      <c r="L72" s="23"/>
      <c r="M72" s="24"/>
      <c r="N72" s="24"/>
      <c r="O72" s="25"/>
      <c r="P72" s="124">
        <f t="shared" si="39"/>
        <v>62</v>
      </c>
    </row>
    <row r="73" spans="1:16">
      <c r="A73" s="128">
        <f t="shared" si="40"/>
        <v>63</v>
      </c>
      <c r="B73" s="16"/>
      <c r="C73" s="126" t="s">
        <v>80</v>
      </c>
      <c r="D73" s="19"/>
      <c r="E73" s="19"/>
      <c r="F73" s="20"/>
      <c r="G73" s="20"/>
      <c r="H73" s="17"/>
      <c r="I73" s="21"/>
      <c r="J73" s="22"/>
      <c r="K73" s="17"/>
      <c r="L73" s="23"/>
      <c r="M73" s="24"/>
      <c r="N73" s="24"/>
      <c r="O73" s="25"/>
      <c r="P73" s="124">
        <f t="shared" si="39"/>
        <v>63</v>
      </c>
    </row>
    <row r="74" spans="1:16">
      <c r="A74" s="128">
        <f t="shared" si="40"/>
        <v>64</v>
      </c>
      <c r="B74" s="46">
        <v>1.8270130999999998E-2</v>
      </c>
      <c r="C74" s="17" t="s">
        <v>44</v>
      </c>
      <c r="D74" s="47">
        <f>DATE(1988,1,14)</f>
        <v>32156</v>
      </c>
      <c r="E74" s="47">
        <f>DATE(2014,1,1)</f>
        <v>41640</v>
      </c>
      <c r="F74" s="20">
        <f t="shared" ref="F74:F84" si="41">YEARFRAC(D74,E74)</f>
        <v>25.963888888888889</v>
      </c>
      <c r="G74" s="20">
        <f t="shared" ref="G74:G84" si="42">YEARFRAC($A$4,E74)</f>
        <v>0.50277777777777777</v>
      </c>
      <c r="H74" s="5">
        <v>17000000</v>
      </c>
      <c r="I74" s="123">
        <v>17000000</v>
      </c>
      <c r="J74" s="119">
        <f>(-155970)</f>
        <v>-155970</v>
      </c>
      <c r="K74" s="119">
        <f>(-579849)</f>
        <v>-579849</v>
      </c>
      <c r="L74" s="5">
        <f t="shared" ref="L74:L84" si="43">SUM(I74:K74)</f>
        <v>16264181</v>
      </c>
      <c r="M74" s="107">
        <f t="shared" ref="M74:M84" si="44">L74/I74*100</f>
        <v>95.671652941176461</v>
      </c>
      <c r="N74" s="24">
        <f>ROUND(YIELD(D74,E74,B74,M74,100,2,0),5)</f>
        <v>2.043E-2</v>
      </c>
      <c r="O74" s="25">
        <f t="shared" ref="O74:O84" si="45">ROUND(N74,5)*I74</f>
        <v>347310</v>
      </c>
      <c r="P74" s="124">
        <f t="shared" si="39"/>
        <v>64</v>
      </c>
    </row>
    <row r="75" spans="1:16">
      <c r="A75" s="128">
        <f t="shared" si="40"/>
        <v>65</v>
      </c>
      <c r="B75" s="46">
        <v>1.8270130999999998E-2</v>
      </c>
      <c r="C75" s="17" t="s">
        <v>82</v>
      </c>
      <c r="D75" s="47">
        <f>DATE(1984,12,12)</f>
        <v>31028</v>
      </c>
      <c r="E75" s="48">
        <f>DATE(2014,12,1)</f>
        <v>41974</v>
      </c>
      <c r="F75" s="20">
        <f t="shared" si="41"/>
        <v>29.969444444444445</v>
      </c>
      <c r="G75" s="20">
        <f t="shared" si="42"/>
        <v>1.4194444444444445</v>
      </c>
      <c r="H75" s="5">
        <v>15000000</v>
      </c>
      <c r="I75" s="123">
        <v>15000000</v>
      </c>
      <c r="J75" s="119">
        <f>(-122887-105000)</f>
        <v>-227887</v>
      </c>
      <c r="K75" s="5">
        <v>0</v>
      </c>
      <c r="L75" s="5">
        <f t="shared" si="43"/>
        <v>14772113</v>
      </c>
      <c r="M75" s="107">
        <f t="shared" si="44"/>
        <v>98.48075333333334</v>
      </c>
      <c r="N75" s="24">
        <f>ROUND(YIELD(D75,E75,B75,M75,100,2,0),5)</f>
        <v>1.8939999999999999E-2</v>
      </c>
      <c r="O75" s="25">
        <f t="shared" si="45"/>
        <v>284100</v>
      </c>
      <c r="P75" s="124">
        <f t="shared" si="39"/>
        <v>65</v>
      </c>
    </row>
    <row r="76" spans="1:16">
      <c r="A76" s="128">
        <f t="shared" si="40"/>
        <v>66</v>
      </c>
      <c r="B76" s="46">
        <v>2.032877047E-2</v>
      </c>
      <c r="C76" s="17" t="s">
        <v>46</v>
      </c>
      <c r="D76" s="47">
        <f>DATE(1991,1,17)</f>
        <v>33255</v>
      </c>
      <c r="E76" s="48">
        <f>DATE(2016,1,1)</f>
        <v>42370</v>
      </c>
      <c r="F76" s="20">
        <f t="shared" si="41"/>
        <v>24.955555555555556</v>
      </c>
      <c r="G76" s="20">
        <f t="shared" si="42"/>
        <v>2.5027777777777778</v>
      </c>
      <c r="H76" s="5">
        <v>45000000</v>
      </c>
      <c r="I76" s="123">
        <v>45000000</v>
      </c>
      <c r="J76" s="119">
        <f>(-771836)</f>
        <v>-771836</v>
      </c>
      <c r="K76" s="119">
        <v>-2578602</v>
      </c>
      <c r="L76" s="5">
        <f t="shared" si="43"/>
        <v>41649562</v>
      </c>
      <c r="M76" s="107">
        <f t="shared" si="44"/>
        <v>92.554582222222223</v>
      </c>
      <c r="N76" s="24">
        <f>ROUND(YIELD(D76,E76,B76,M76,100,4,1),5)</f>
        <v>2.4320000000000001E-2</v>
      </c>
      <c r="O76" s="25">
        <f t="shared" si="45"/>
        <v>1094400</v>
      </c>
      <c r="P76" s="124">
        <f t="shared" si="39"/>
        <v>66</v>
      </c>
    </row>
    <row r="77" spans="1:16">
      <c r="A77" s="128">
        <f t="shared" si="40"/>
        <v>67</v>
      </c>
      <c r="B77" s="46">
        <v>1.8270130999999998E-2</v>
      </c>
      <c r="C77" s="17" t="s">
        <v>89</v>
      </c>
      <c r="D77" s="47">
        <f>DATE(1986,12,29)</f>
        <v>31775</v>
      </c>
      <c r="E77" s="47">
        <f>DATE(2016,12,1)</f>
        <v>42705</v>
      </c>
      <c r="F77" s="20">
        <f t="shared" si="41"/>
        <v>29.922222222222221</v>
      </c>
      <c r="G77" s="20">
        <f t="shared" si="42"/>
        <v>3.4194444444444443</v>
      </c>
      <c r="H77" s="5">
        <v>8500000</v>
      </c>
      <c r="I77" s="123">
        <v>8500000</v>
      </c>
      <c r="J77" s="119">
        <f>(-304824)</f>
        <v>-304824</v>
      </c>
      <c r="K77" s="5">
        <v>0</v>
      </c>
      <c r="L77" s="5">
        <f t="shared" si="43"/>
        <v>8195176</v>
      </c>
      <c r="M77" s="107">
        <f t="shared" si="44"/>
        <v>96.413835294117646</v>
      </c>
      <c r="N77" s="24">
        <f>ROUND(YIELD(D77,E77,B77,M77,100,2,0),5)</f>
        <v>1.9869999999999999E-2</v>
      </c>
      <c r="O77" s="25">
        <f t="shared" si="45"/>
        <v>168895</v>
      </c>
      <c r="P77" s="124">
        <f t="shared" si="39"/>
        <v>67</v>
      </c>
    </row>
    <row r="78" spans="1:16">
      <c r="A78" s="128">
        <f t="shared" si="40"/>
        <v>68</v>
      </c>
      <c r="B78" s="46">
        <v>1.8638100651361452E-2</v>
      </c>
      <c r="C78" s="17" t="s">
        <v>83</v>
      </c>
      <c r="D78" s="47">
        <f>DATE(1994,11,17)</f>
        <v>34655</v>
      </c>
      <c r="E78" s="47">
        <f>DATE(2024,11,1)</f>
        <v>45597</v>
      </c>
      <c r="F78" s="20">
        <f t="shared" si="41"/>
        <v>29.955555555555556</v>
      </c>
      <c r="G78" s="20">
        <f t="shared" si="42"/>
        <v>11.33611111111111</v>
      </c>
      <c r="H78" s="5">
        <v>9365000</v>
      </c>
      <c r="I78" s="123">
        <v>9365000</v>
      </c>
      <c r="J78" s="119">
        <f>-182883-106.89-10.85-36.97-23182.89-7.09+527.73-555.55-263.72-0.15</f>
        <v>-206519.38</v>
      </c>
      <c r="K78" s="119">
        <f>(-66582)+8008</f>
        <v>-58574</v>
      </c>
      <c r="L78" s="5">
        <f t="shared" si="43"/>
        <v>9099906.6199999992</v>
      </c>
      <c r="M78" s="107">
        <f t="shared" si="44"/>
        <v>97.169317885744789</v>
      </c>
      <c r="N78" s="24">
        <f>ROUND(YIELD(D78,E78,B78,M78,100,4,1),5)</f>
        <v>1.9890000000000001E-2</v>
      </c>
      <c r="O78" s="25">
        <f t="shared" si="45"/>
        <v>186269.85</v>
      </c>
      <c r="P78" s="124">
        <f t="shared" si="39"/>
        <v>68</v>
      </c>
    </row>
    <row r="79" spans="1:16">
      <c r="A79" s="128">
        <f t="shared" si="40"/>
        <v>69</v>
      </c>
      <c r="B79" s="46">
        <v>1.8642113278388276E-2</v>
      </c>
      <c r="C79" s="17" t="s">
        <v>84</v>
      </c>
      <c r="D79" s="47">
        <f>DATE(1994,11,17)</f>
        <v>34655</v>
      </c>
      <c r="E79" s="47">
        <f>DATE(2024,11,1)</f>
        <v>45597</v>
      </c>
      <c r="F79" s="20">
        <f t="shared" si="41"/>
        <v>29.955555555555556</v>
      </c>
      <c r="G79" s="20">
        <f t="shared" si="42"/>
        <v>11.33611111111111</v>
      </c>
      <c r="H79" s="5">
        <v>8190000</v>
      </c>
      <c r="I79" s="123">
        <v>8190000</v>
      </c>
      <c r="J79" s="119">
        <f>-183929-93.65-9.49-32.4-20274.2-5147.2+527.73-555.55-263.72-0.15</f>
        <v>-209777.62999999998</v>
      </c>
      <c r="K79" s="119">
        <f>(-86323)</f>
        <v>-86323</v>
      </c>
      <c r="L79" s="5">
        <f t="shared" si="43"/>
        <v>7893899.3700000001</v>
      </c>
      <c r="M79" s="107">
        <f t="shared" si="44"/>
        <v>96.384607692307682</v>
      </c>
      <c r="N79" s="24">
        <f>ROUND(YIELD(D79,E79,B79,M79,100,4,1),5)</f>
        <v>2.0250000000000001E-2</v>
      </c>
      <c r="O79" s="25">
        <f t="shared" si="45"/>
        <v>165847.5</v>
      </c>
      <c r="P79" s="124">
        <f t="shared" si="39"/>
        <v>69</v>
      </c>
    </row>
    <row r="80" spans="1:16">
      <c r="A80" s="128">
        <f t="shared" si="40"/>
        <v>70</v>
      </c>
      <c r="B80" s="46">
        <v>1.912084869854027E-2</v>
      </c>
      <c r="C80" s="17" t="s">
        <v>85</v>
      </c>
      <c r="D80" s="47">
        <f>DATE(1994,11,17)</f>
        <v>34655</v>
      </c>
      <c r="E80" s="47">
        <f>DATE(2024,11,1)</f>
        <v>45597</v>
      </c>
      <c r="F80" s="20">
        <f t="shared" si="41"/>
        <v>29.955555555555556</v>
      </c>
      <c r="G80" s="20">
        <f t="shared" si="42"/>
        <v>11.33611111111111</v>
      </c>
      <c r="H80" s="5">
        <v>121940000</v>
      </c>
      <c r="I80" s="123">
        <v>121940000</v>
      </c>
      <c r="J80" s="119">
        <f>-2969452-1956.29-141.25-481.71-301860.26-92.38+3920.28-2222.23-1959.09-1.04</f>
        <v>-3274245.9699999997</v>
      </c>
      <c r="K80" s="119">
        <f>(-1935450)+9683</f>
        <v>-1925767</v>
      </c>
      <c r="L80" s="5">
        <f t="shared" si="43"/>
        <v>116739987.03</v>
      </c>
      <c r="M80" s="107">
        <f t="shared" si="44"/>
        <v>95.735597039527647</v>
      </c>
      <c r="N80" s="24">
        <f>ROUND(YIELD(D80,E80,B80,M80,100,4,1),5)</f>
        <v>2.104E-2</v>
      </c>
      <c r="O80" s="25">
        <f t="shared" si="45"/>
        <v>2565617.6</v>
      </c>
      <c r="P80" s="124">
        <f t="shared" si="39"/>
        <v>70</v>
      </c>
    </row>
    <row r="81" spans="1:16">
      <c r="A81" s="128">
        <f t="shared" si="40"/>
        <v>71</v>
      </c>
      <c r="B81" s="46">
        <v>1.9795046945551131E-2</v>
      </c>
      <c r="C81" s="17" t="s">
        <v>86</v>
      </c>
      <c r="D81" s="47">
        <f>DATE(1994,11,17)</f>
        <v>34655</v>
      </c>
      <c r="E81" s="47">
        <f>DATE(2024,11,1)</f>
        <v>45597</v>
      </c>
      <c r="F81" s="20">
        <f t="shared" si="41"/>
        <v>29.955555555555556</v>
      </c>
      <c r="G81" s="20">
        <f t="shared" si="42"/>
        <v>11.33611111111111</v>
      </c>
      <c r="H81" s="5">
        <v>15060000</v>
      </c>
      <c r="I81" s="123">
        <v>15060000</v>
      </c>
      <c r="J81" s="119">
        <f>-375570-172.07-17.44-59.52-37280.76-9466.37+527.73-555.56-263.72-0.15</f>
        <v>-422857.86000000004</v>
      </c>
      <c r="K81" s="119">
        <f>(-92641)+11214</f>
        <v>-81427</v>
      </c>
      <c r="L81" s="5">
        <f t="shared" si="43"/>
        <v>14555715.140000001</v>
      </c>
      <c r="M81" s="107">
        <f t="shared" si="44"/>
        <v>96.651494953519261</v>
      </c>
      <c r="N81" s="24">
        <f>ROUND(YIELD(D81,E81,B81,M81,100,4,1),5)</f>
        <v>2.1309999999999999E-2</v>
      </c>
      <c r="O81" s="25">
        <f t="shared" si="45"/>
        <v>320928.59999999998</v>
      </c>
      <c r="P81" s="124">
        <f t="shared" si="39"/>
        <v>71</v>
      </c>
    </row>
    <row r="82" spans="1:16">
      <c r="A82" s="128">
        <f t="shared" si="40"/>
        <v>72</v>
      </c>
      <c r="B82" s="46">
        <v>1.8641019706020695E-2</v>
      </c>
      <c r="C82" s="17" t="s">
        <v>87</v>
      </c>
      <c r="D82" s="47">
        <f>DATE(1994,11,17)</f>
        <v>34655</v>
      </c>
      <c r="E82" s="47">
        <f>DATE(2024,11,1)</f>
        <v>45597</v>
      </c>
      <c r="F82" s="20">
        <f t="shared" si="41"/>
        <v>29.955555555555556</v>
      </c>
      <c r="G82" s="20">
        <f t="shared" si="42"/>
        <v>11.33611111111111</v>
      </c>
      <c r="H82" s="5">
        <v>21260000</v>
      </c>
      <c r="I82" s="123">
        <v>21260000</v>
      </c>
      <c r="J82" s="119">
        <f>-412545-242.74-24.63-31480.09-52628.74-13360.33+18.88+678.51-555.55-339.07-0.18</f>
        <v>-510478.94</v>
      </c>
      <c r="K82" s="119">
        <f>(-88352)</f>
        <v>-88352</v>
      </c>
      <c r="L82" s="5">
        <f t="shared" si="43"/>
        <v>20661169.059999999</v>
      </c>
      <c r="M82" s="107">
        <f t="shared" si="44"/>
        <v>97.183297554092178</v>
      </c>
      <c r="N82" s="24">
        <f>ROUND(YIELD(D82,E82,B82,M82,100,4,1),5)</f>
        <v>1.9890000000000001E-2</v>
      </c>
      <c r="O82" s="25">
        <f t="shared" si="45"/>
        <v>422861.4</v>
      </c>
      <c r="P82" s="124">
        <f t="shared" si="39"/>
        <v>72</v>
      </c>
    </row>
    <row r="83" spans="1:16">
      <c r="A83" s="128">
        <f t="shared" si="40"/>
        <v>73</v>
      </c>
      <c r="B83" s="46">
        <v>1.8270130999999998E-2</v>
      </c>
      <c r="C83" s="17" t="s">
        <v>90</v>
      </c>
      <c r="D83" s="47">
        <f>DATE(1995,11,17)</f>
        <v>35020</v>
      </c>
      <c r="E83" s="47">
        <f>DATE(2025,11,1)</f>
        <v>45962</v>
      </c>
      <c r="F83" s="20">
        <f t="shared" si="41"/>
        <v>29.955555555555556</v>
      </c>
      <c r="G83" s="20">
        <f t="shared" si="42"/>
        <v>12.33611111111111</v>
      </c>
      <c r="H83" s="5">
        <v>5300000</v>
      </c>
      <c r="I83" s="123">
        <f>5300000</f>
        <v>5300000</v>
      </c>
      <c r="J83" s="119">
        <f>-4020.01-32463.14-26670.88-14633.18-53933.24-322.71</f>
        <v>-132043.15999999997</v>
      </c>
      <c r="K83" s="5">
        <v>0</v>
      </c>
      <c r="L83" s="5">
        <f t="shared" si="43"/>
        <v>5167956.84</v>
      </c>
      <c r="M83" s="107">
        <f t="shared" si="44"/>
        <v>97.508619622641504</v>
      </c>
      <c r="N83" s="24">
        <f>ROUND(YIELD(D83,E83,B83,M83,100,2,0),5)</f>
        <v>1.9369999999999998E-2</v>
      </c>
      <c r="O83" s="25">
        <f t="shared" si="45"/>
        <v>102660.99999999999</v>
      </c>
      <c r="P83" s="124">
        <f t="shared" si="39"/>
        <v>73</v>
      </c>
    </row>
    <row r="84" spans="1:16">
      <c r="A84" s="128">
        <f t="shared" si="40"/>
        <v>74</v>
      </c>
      <c r="B84" s="46">
        <v>1.9375616909090908E-2</v>
      </c>
      <c r="C84" s="17" t="s">
        <v>91</v>
      </c>
      <c r="D84" s="47">
        <f>DATE(1995,11,17)</f>
        <v>35020</v>
      </c>
      <c r="E84" s="47">
        <f>DATE(2025,11,1)</f>
        <v>45962</v>
      </c>
      <c r="F84" s="20">
        <f t="shared" si="41"/>
        <v>29.955555555555556</v>
      </c>
      <c r="G84" s="20">
        <f t="shared" si="42"/>
        <v>12.33611111111111</v>
      </c>
      <c r="H84" s="5">
        <v>22000000</v>
      </c>
      <c r="I84" s="123">
        <f>22000000</f>
        <v>22000000</v>
      </c>
      <c r="J84" s="119">
        <f>-9071.1-129640.11-189217.86-14682.77-4950-56377.22-322.71</f>
        <v>-404261.76999999996</v>
      </c>
      <c r="K84" s="5">
        <v>0</v>
      </c>
      <c r="L84" s="5">
        <f t="shared" si="43"/>
        <v>21595738.23</v>
      </c>
      <c r="M84" s="107">
        <f t="shared" si="44"/>
        <v>98.162446500000001</v>
      </c>
      <c r="N84" s="24">
        <f>ROUND(YIELD(D84,E84,B84,M84,100,2,0),5)</f>
        <v>2.0199999999999999E-2</v>
      </c>
      <c r="O84" s="25">
        <f t="shared" si="45"/>
        <v>444400</v>
      </c>
      <c r="P84" s="124">
        <f t="shared" si="39"/>
        <v>74</v>
      </c>
    </row>
    <row r="85" spans="1:16">
      <c r="A85" s="128">
        <f t="shared" si="40"/>
        <v>75</v>
      </c>
      <c r="B85" s="28">
        <f>SUMPRODUCT(B74:B84,I74:I84)/I85</f>
        <v>1.9164190147947957E-2</v>
      </c>
      <c r="C85" s="15" t="s">
        <v>105</v>
      </c>
      <c r="D85" s="19"/>
      <c r="E85" s="19"/>
      <c r="F85" s="14">
        <f>SUMPRODUCT(F74:F84,I74:I84)/I85</f>
        <v>28.940593293256882</v>
      </c>
      <c r="G85" s="14">
        <f>SUMPRODUCT(G74:G84,I74:I84)/I85</f>
        <v>8.6667823051469952</v>
      </c>
      <c r="H85" s="17"/>
      <c r="I85" s="39">
        <f>SUM(I74:I84)</f>
        <v>288615000</v>
      </c>
      <c r="J85" s="120">
        <f>SUM(J74:J84)</f>
        <v>-6620701.71</v>
      </c>
      <c r="K85" s="120">
        <f>SUM(K74:K84)</f>
        <v>-5398894</v>
      </c>
      <c r="L85" s="39">
        <f>SUM(L74:L84)</f>
        <v>276595404.29000002</v>
      </c>
      <c r="M85" s="24"/>
      <c r="N85" s="30">
        <f>O85/I85</f>
        <v>2.1146825182336331E-2</v>
      </c>
      <c r="O85" s="39">
        <f>SUM(O74:O84)</f>
        <v>6103290.9500000002</v>
      </c>
      <c r="P85" s="124">
        <f t="shared" si="39"/>
        <v>75</v>
      </c>
    </row>
    <row r="86" spans="1:16">
      <c r="A86" s="128">
        <f t="shared" si="40"/>
        <v>76</v>
      </c>
      <c r="B86" s="16"/>
      <c r="C86" s="17"/>
      <c r="D86" s="19"/>
      <c r="E86" s="19"/>
      <c r="F86" s="20"/>
      <c r="G86" s="20"/>
      <c r="H86" s="17"/>
      <c r="I86" s="21"/>
      <c r="J86" s="22"/>
      <c r="K86" s="17"/>
      <c r="L86" s="23"/>
      <c r="M86" s="24"/>
      <c r="N86" s="24"/>
      <c r="O86" s="25"/>
      <c r="P86" s="124">
        <f t="shared" si="39"/>
        <v>76</v>
      </c>
    </row>
    <row r="87" spans="1:16">
      <c r="A87" s="128">
        <f t="shared" si="40"/>
        <v>77</v>
      </c>
      <c r="B87" s="46">
        <v>1.8148110286956523E-2</v>
      </c>
      <c r="C87" s="3" t="s">
        <v>43</v>
      </c>
      <c r="D87" s="47">
        <f>DATE(1988,1,14)</f>
        <v>32156</v>
      </c>
      <c r="E87" s="47">
        <f>DATE(2014,1,1)</f>
        <v>41640</v>
      </c>
      <c r="F87" s="20">
        <f t="shared" ref="F87:F96" si="46">YEARFRAC(D87,E87)</f>
        <v>25.963888888888889</v>
      </c>
      <c r="G87" s="20">
        <f t="shared" ref="G87:G96" si="47">YEARFRAC($A$4,E87)</f>
        <v>0.50277777777777777</v>
      </c>
      <c r="H87" s="5">
        <v>11500000</v>
      </c>
      <c r="I87" s="123">
        <v>11500000</v>
      </c>
      <c r="J87" s="119">
        <f>(-84822)</f>
        <v>-84822</v>
      </c>
      <c r="K87" s="119">
        <f>(-392250)</f>
        <v>-392250</v>
      </c>
      <c r="L87" s="5">
        <f t="shared" ref="L87:L96" si="48">SUM(I87:K87)</f>
        <v>11022928</v>
      </c>
      <c r="M87" s="107">
        <f t="shared" ref="M87:M96" si="49">L87/I87*100</f>
        <v>95.851547826086957</v>
      </c>
      <c r="N87" s="24">
        <f t="shared" ref="N87:N96" si="50">ROUND(YIELD(D87,E87,B87,M87,100,4,1),5)</f>
        <v>2.0209999999999999E-2</v>
      </c>
      <c r="O87" s="25">
        <f t="shared" ref="O87:O96" si="51">ROUND(N87,5)*I87</f>
        <v>232415</v>
      </c>
      <c r="P87" s="124">
        <f t="shared" si="39"/>
        <v>77</v>
      </c>
    </row>
    <row r="88" spans="1:16">
      <c r="A88" s="128">
        <f t="shared" si="40"/>
        <v>78</v>
      </c>
      <c r="B88" s="46">
        <v>1.8148109706428574E-2</v>
      </c>
      <c r="C88" s="3" t="s">
        <v>45</v>
      </c>
      <c r="D88" s="47">
        <f>DATE(1990,7,25)</f>
        <v>33079</v>
      </c>
      <c r="E88" s="48">
        <f>DATE(2015,7,1)</f>
        <v>42186</v>
      </c>
      <c r="F88" s="20">
        <f t="shared" si="46"/>
        <v>24.933333333333334</v>
      </c>
      <c r="G88" s="20">
        <f t="shared" si="47"/>
        <v>2.0027777777777778</v>
      </c>
      <c r="H88" s="5">
        <v>70000000</v>
      </c>
      <c r="I88" s="123">
        <v>70000000</v>
      </c>
      <c r="J88" s="119">
        <f>(-660750)</f>
        <v>-660750</v>
      </c>
      <c r="K88" s="119">
        <f>(-795122)</f>
        <v>-795122</v>
      </c>
      <c r="L88" s="5">
        <f t="shared" si="48"/>
        <v>68544128</v>
      </c>
      <c r="M88" s="107">
        <f t="shared" si="49"/>
        <v>97.920182857142862</v>
      </c>
      <c r="N88" s="24">
        <f t="shared" si="50"/>
        <v>1.9199999999999998E-2</v>
      </c>
      <c r="O88" s="25">
        <f t="shared" si="51"/>
        <v>1343999.9999999998</v>
      </c>
      <c r="P88" s="124">
        <f t="shared" si="39"/>
        <v>78</v>
      </c>
    </row>
    <row r="89" spans="1:16">
      <c r="A89" s="128">
        <f t="shared" si="40"/>
        <v>79</v>
      </c>
      <c r="B89" s="46">
        <v>1.814810964E-2</v>
      </c>
      <c r="C89" s="3" t="s">
        <v>58</v>
      </c>
      <c r="D89" s="47">
        <f>DATE(1991,5,23)</f>
        <v>33381</v>
      </c>
      <c r="E89" s="47">
        <f>DATE(2015,7,1)</f>
        <v>42186</v>
      </c>
      <c r="F89" s="20">
        <f t="shared" si="46"/>
        <v>24.105555555555554</v>
      </c>
      <c r="G89" s="20">
        <f t="shared" si="47"/>
        <v>2.0027777777777778</v>
      </c>
      <c r="H89" s="5">
        <v>45000000</v>
      </c>
      <c r="I89" s="123">
        <v>45000000</v>
      </c>
      <c r="J89" s="119">
        <f>(-872505)</f>
        <v>-872505</v>
      </c>
      <c r="K89" s="119">
        <f>(-2568859)</f>
        <v>-2568859</v>
      </c>
      <c r="L89" s="5">
        <f t="shared" si="48"/>
        <v>41558636</v>
      </c>
      <c r="M89" s="107">
        <f t="shared" si="49"/>
        <v>92.352524444444441</v>
      </c>
      <c r="N89" s="24">
        <f t="shared" si="50"/>
        <v>2.2259999999999999E-2</v>
      </c>
      <c r="O89" s="25">
        <f t="shared" si="51"/>
        <v>1001699.9999999999</v>
      </c>
      <c r="P89" s="124">
        <f t="shared" si="39"/>
        <v>79</v>
      </c>
    </row>
    <row r="90" spans="1:16">
      <c r="A90" s="128">
        <f t="shared" si="40"/>
        <v>80</v>
      </c>
      <c r="B90" s="46">
        <v>1.9198372683000002E-2</v>
      </c>
      <c r="C90" s="3" t="s">
        <v>47</v>
      </c>
      <c r="D90" s="47">
        <f>DATE(1988,1,14)</f>
        <v>32156</v>
      </c>
      <c r="E90" s="47">
        <f>DATE(2017,1,1)</f>
        <v>42736</v>
      </c>
      <c r="F90" s="20">
        <f t="shared" si="46"/>
        <v>28.963888888888889</v>
      </c>
      <c r="G90" s="20">
        <f t="shared" si="47"/>
        <v>3.5027777777777778</v>
      </c>
      <c r="H90" s="5">
        <v>50000000</v>
      </c>
      <c r="I90" s="123">
        <v>50000000</v>
      </c>
      <c r="J90" s="119">
        <f>(-422443)</f>
        <v>-422443</v>
      </c>
      <c r="K90" s="119">
        <f>(-882101)</f>
        <v>-882101</v>
      </c>
      <c r="L90" s="5">
        <f t="shared" si="48"/>
        <v>48695456</v>
      </c>
      <c r="M90" s="107">
        <f t="shared" si="49"/>
        <v>97.390912</v>
      </c>
      <c r="N90" s="24">
        <f t="shared" si="50"/>
        <v>2.0389999999999998E-2</v>
      </c>
      <c r="O90" s="25">
        <f t="shared" si="51"/>
        <v>1019499.9999999999</v>
      </c>
      <c r="P90" s="124">
        <f t="shared" si="39"/>
        <v>80</v>
      </c>
    </row>
    <row r="91" spans="1:16">
      <c r="A91" s="128">
        <f t="shared" si="40"/>
        <v>81</v>
      </c>
      <c r="B91" s="46">
        <v>1.814810964E-2</v>
      </c>
      <c r="C91" s="3" t="s">
        <v>81</v>
      </c>
      <c r="D91" s="47">
        <f>DATE(1988,1,14)</f>
        <v>32156</v>
      </c>
      <c r="E91" s="47">
        <f>DATE(2018,1,1)</f>
        <v>43101</v>
      </c>
      <c r="F91" s="20">
        <f t="shared" si="46"/>
        <v>29.963888888888889</v>
      </c>
      <c r="G91" s="20">
        <f t="shared" si="47"/>
        <v>4.5027777777777782</v>
      </c>
      <c r="H91" s="5">
        <v>45000000</v>
      </c>
      <c r="I91" s="123">
        <v>45000000</v>
      </c>
      <c r="J91" s="119">
        <f>(-380198)</f>
        <v>-380198</v>
      </c>
      <c r="K91" s="119">
        <f>(-1013283)</f>
        <v>-1013283</v>
      </c>
      <c r="L91" s="5">
        <f t="shared" si="48"/>
        <v>43606519</v>
      </c>
      <c r="M91" s="107">
        <f t="shared" si="49"/>
        <v>96.903375555555556</v>
      </c>
      <c r="N91" s="24">
        <f t="shared" si="50"/>
        <v>1.9519999999999999E-2</v>
      </c>
      <c r="O91" s="25">
        <f t="shared" si="51"/>
        <v>878400</v>
      </c>
      <c r="P91" s="124">
        <f t="shared" si="39"/>
        <v>81</v>
      </c>
    </row>
    <row r="92" spans="1:16">
      <c r="A92" s="128">
        <f t="shared" si="40"/>
        <v>82</v>
      </c>
      <c r="B92" s="46">
        <v>1.8148109807038838E-2</v>
      </c>
      <c r="C92" s="3" t="s">
        <v>48</v>
      </c>
      <c r="D92" s="47">
        <f>DATE(1988,1,14)</f>
        <v>32156</v>
      </c>
      <c r="E92" s="47">
        <f>DATE(2018,1,1)</f>
        <v>43101</v>
      </c>
      <c r="F92" s="20">
        <f t="shared" si="46"/>
        <v>29.963888888888889</v>
      </c>
      <c r="G92" s="20">
        <f t="shared" si="47"/>
        <v>4.5027777777777782</v>
      </c>
      <c r="H92" s="5">
        <v>63000000</v>
      </c>
      <c r="I92" s="123">
        <v>41200000</v>
      </c>
      <c r="J92" s="119">
        <v>-351905</v>
      </c>
      <c r="K92" s="119">
        <v>-1006013</v>
      </c>
      <c r="L92" s="5">
        <f t="shared" si="48"/>
        <v>39842082</v>
      </c>
      <c r="M92" s="107">
        <f t="shared" si="49"/>
        <v>96.70408252427184</v>
      </c>
      <c r="N92" s="24">
        <f t="shared" si="50"/>
        <v>1.9609999999999999E-2</v>
      </c>
      <c r="O92" s="25">
        <f t="shared" si="51"/>
        <v>807932</v>
      </c>
      <c r="P92" s="124">
        <f t="shared" si="39"/>
        <v>82</v>
      </c>
    </row>
    <row r="93" spans="1:16">
      <c r="A93" s="128">
        <f t="shared" si="40"/>
        <v>83</v>
      </c>
      <c r="B93" s="46">
        <v>1.7670142601734488E-2</v>
      </c>
      <c r="C93" s="3" t="s">
        <v>103</v>
      </c>
      <c r="D93" s="47">
        <f>DATE(1992,9,29)</f>
        <v>33876</v>
      </c>
      <c r="E93" s="49">
        <f>DATE(2020,12,1)</f>
        <v>44166</v>
      </c>
      <c r="F93" s="20">
        <f t="shared" si="46"/>
        <v>28.172222222222221</v>
      </c>
      <c r="G93" s="20">
        <f t="shared" si="47"/>
        <v>7.4194444444444443</v>
      </c>
      <c r="H93" s="5">
        <v>22485000</v>
      </c>
      <c r="I93" s="123">
        <v>22485000</v>
      </c>
      <c r="J93" s="121">
        <f>-194271-10794.65-37097.95</f>
        <v>-242163.59999999998</v>
      </c>
      <c r="K93" s="119">
        <f>(-303303)</f>
        <v>-303303</v>
      </c>
      <c r="L93" s="5">
        <f t="shared" si="48"/>
        <v>21939533.399999999</v>
      </c>
      <c r="M93" s="107">
        <f t="shared" si="49"/>
        <v>97.574086724482981</v>
      </c>
      <c r="N93" s="24">
        <f t="shared" si="50"/>
        <v>1.8780000000000002E-2</v>
      </c>
      <c r="O93" s="25">
        <f t="shared" si="51"/>
        <v>422268.30000000005</v>
      </c>
      <c r="P93" s="124">
        <f t="shared" si="39"/>
        <v>83</v>
      </c>
    </row>
    <row r="94" spans="1:16">
      <c r="A94" s="128">
        <f t="shared" si="40"/>
        <v>84</v>
      </c>
      <c r="B94" s="46">
        <v>1.7670142506695234E-2</v>
      </c>
      <c r="C94" s="3" t="s">
        <v>101</v>
      </c>
      <c r="D94" s="47">
        <f>DATE(1992,9,29)</f>
        <v>33876</v>
      </c>
      <c r="E94" s="49">
        <f>DATE(2020,12,1)</f>
        <v>44166</v>
      </c>
      <c r="F94" s="20">
        <f t="shared" si="46"/>
        <v>28.172222222222221</v>
      </c>
      <c r="G94" s="20">
        <f t="shared" si="47"/>
        <v>7.4194444444444443</v>
      </c>
      <c r="H94" s="5">
        <v>9335000</v>
      </c>
      <c r="I94" s="123">
        <v>9335000</v>
      </c>
      <c r="J94" s="121">
        <f>-147642-4480.37-15401.8</f>
        <v>-167524.16999999998</v>
      </c>
      <c r="K94" s="119">
        <f>(-134094)</f>
        <v>-134094</v>
      </c>
      <c r="L94" s="5">
        <f t="shared" si="48"/>
        <v>9033381.8300000001</v>
      </c>
      <c r="M94" s="107">
        <f t="shared" si="49"/>
        <v>96.76895372254954</v>
      </c>
      <c r="N94" s="24">
        <f t="shared" si="50"/>
        <v>1.916E-2</v>
      </c>
      <c r="O94" s="25">
        <f t="shared" si="51"/>
        <v>178858.6</v>
      </c>
      <c r="P94" s="124">
        <f t="shared" si="39"/>
        <v>84</v>
      </c>
    </row>
    <row r="95" spans="1:16">
      <c r="A95" s="128">
        <f t="shared" si="40"/>
        <v>85</v>
      </c>
      <c r="B95" s="46">
        <v>1.7670144496431405E-2</v>
      </c>
      <c r="C95" s="3" t="s">
        <v>102</v>
      </c>
      <c r="D95" s="47">
        <f>DATE(1992,9,29)</f>
        <v>33876</v>
      </c>
      <c r="E95" s="49">
        <f>DATE(2020,12,1)</f>
        <v>44166</v>
      </c>
      <c r="F95" s="20">
        <f t="shared" si="46"/>
        <v>28.172222222222221</v>
      </c>
      <c r="G95" s="20">
        <f t="shared" si="47"/>
        <v>7.4194444444444443</v>
      </c>
      <c r="H95" s="5">
        <v>6305000</v>
      </c>
      <c r="I95" s="123">
        <v>6305000</v>
      </c>
      <c r="J95" s="121">
        <f>-138478-3027.19-10402.61</f>
        <v>-151907.79999999999</v>
      </c>
      <c r="K95" s="119">
        <f>(-97735)</f>
        <v>-97735</v>
      </c>
      <c r="L95" s="5">
        <f t="shared" si="48"/>
        <v>6055357.2000000002</v>
      </c>
      <c r="M95" s="107">
        <f t="shared" si="49"/>
        <v>96.04055828707375</v>
      </c>
      <c r="N95" s="24">
        <f t="shared" si="50"/>
        <v>1.95E-2</v>
      </c>
      <c r="O95" s="25">
        <f t="shared" si="51"/>
        <v>122947.5</v>
      </c>
      <c r="P95" s="124">
        <f t="shared" si="39"/>
        <v>85</v>
      </c>
    </row>
    <row r="96" spans="1:16">
      <c r="A96" s="128">
        <f t="shared" si="40"/>
        <v>86</v>
      </c>
      <c r="B96" s="46">
        <v>1.8079315131147539E-2</v>
      </c>
      <c r="C96" s="3" t="s">
        <v>92</v>
      </c>
      <c r="D96" s="47">
        <f>DATE(1995,12,14)</f>
        <v>35047</v>
      </c>
      <c r="E96" s="47">
        <f>DATE(2025,11,1)</f>
        <v>45962</v>
      </c>
      <c r="F96" s="20">
        <f t="shared" si="46"/>
        <v>29.880555555555556</v>
      </c>
      <c r="G96" s="20">
        <f t="shared" si="47"/>
        <v>12.33611111111111</v>
      </c>
      <c r="H96" s="5">
        <v>24400000</v>
      </c>
      <c r="I96" s="123">
        <f>24400000</f>
        <v>24400000</v>
      </c>
      <c r="J96" s="119">
        <f>-19002.27-120150.79-10722.63-6607.3-58895.72-9621.24</f>
        <v>-224999.94999999998</v>
      </c>
      <c r="K96" s="119">
        <v>-428469.14</v>
      </c>
      <c r="L96" s="5">
        <f t="shared" si="48"/>
        <v>23746530.91</v>
      </c>
      <c r="M96" s="107">
        <f t="shared" si="49"/>
        <v>97.321847991803281</v>
      </c>
      <c r="N96" s="24">
        <f t="shared" si="50"/>
        <v>1.9259999999999999E-2</v>
      </c>
      <c r="O96" s="25">
        <f t="shared" si="51"/>
        <v>469944</v>
      </c>
      <c r="P96" s="124">
        <f t="shared" si="39"/>
        <v>86</v>
      </c>
    </row>
    <row r="97" spans="1:16">
      <c r="A97" s="128">
        <f t="shared" si="40"/>
        <v>87</v>
      </c>
      <c r="B97" s="28">
        <f>SUMPRODUCT(B87:B96,I87:I96)/I97</f>
        <v>1.8248385150280572E-2</v>
      </c>
      <c r="C97" s="15" t="s">
        <v>106</v>
      </c>
      <c r="D97" s="19"/>
      <c r="E97" s="19"/>
      <c r="F97" s="14">
        <f>SUMPRODUCT(F87:F96,I87:I96)/I97</f>
        <v>27.559078330386654</v>
      </c>
      <c r="G97" s="14">
        <f>SUMPRODUCT(G87:G96,I87:I96)/I97</f>
        <v>4.2532005620040829</v>
      </c>
      <c r="H97" s="17"/>
      <c r="I97" s="39">
        <f>SUM(I87:I96)</f>
        <v>325225000</v>
      </c>
      <c r="J97" s="120">
        <f>SUM(J87:J96)</f>
        <v>-3559218.52</v>
      </c>
      <c r="K97" s="120">
        <f>SUM(K87:K96)</f>
        <v>-7621229.1399999997</v>
      </c>
      <c r="L97" s="39">
        <f>SUM(L87:L96)</f>
        <v>314044552.33999997</v>
      </c>
      <c r="M97" s="24"/>
      <c r="N97" s="30">
        <f>O97/I97</f>
        <v>1.991841156122684E-2</v>
      </c>
      <c r="O97" s="39">
        <f>SUM(O87:O96)</f>
        <v>6477965.3999999994</v>
      </c>
      <c r="P97" s="124">
        <f t="shared" si="39"/>
        <v>87</v>
      </c>
    </row>
    <row r="98" spans="1:16">
      <c r="A98" s="128">
        <f t="shared" si="40"/>
        <v>88</v>
      </c>
      <c r="B98" s="16"/>
      <c r="C98" s="17"/>
      <c r="D98" s="19"/>
      <c r="E98" s="19"/>
      <c r="F98" s="20"/>
      <c r="G98" s="20"/>
      <c r="H98" s="17"/>
      <c r="I98" s="21"/>
      <c r="J98" s="22"/>
      <c r="K98" s="17"/>
      <c r="L98" s="23"/>
      <c r="M98" s="24"/>
      <c r="N98" s="24"/>
      <c r="O98" s="25"/>
      <c r="P98" s="124">
        <f t="shared" si="39"/>
        <v>88</v>
      </c>
    </row>
    <row r="99" spans="1:16">
      <c r="A99" s="128">
        <f t="shared" si="40"/>
        <v>89</v>
      </c>
      <c r="B99" s="28">
        <f>(B85*I85+B97*I97)/I99</f>
        <v>1.867897790963443E-2</v>
      </c>
      <c r="C99" s="15" t="s">
        <v>88</v>
      </c>
      <c r="D99" s="19"/>
      <c r="E99" s="19"/>
      <c r="F99" s="14">
        <f>(F85*I85+F97*I97)/I99</f>
        <v>28.208638380251102</v>
      </c>
      <c r="G99" s="14">
        <f>(G85*I85+G97*I97)/I99</f>
        <v>6.3283763322327928</v>
      </c>
      <c r="H99" s="17"/>
      <c r="I99" s="39">
        <f>I85+I97</f>
        <v>613840000</v>
      </c>
      <c r="J99" s="120">
        <f>J85+J97</f>
        <v>-10179920.23</v>
      </c>
      <c r="K99" s="120">
        <f>K85+K97</f>
        <v>-13020123.140000001</v>
      </c>
      <c r="L99" s="39">
        <f>L85+L97</f>
        <v>590639956.63</v>
      </c>
      <c r="M99" s="24"/>
      <c r="N99" s="30">
        <f>O99/I99</f>
        <v>2.0495986494852077E-2</v>
      </c>
      <c r="O99" s="39">
        <f>O85+O97</f>
        <v>12581256.35</v>
      </c>
      <c r="P99" s="124">
        <f t="shared" si="39"/>
        <v>89</v>
      </c>
    </row>
    <row r="100" spans="1:16">
      <c r="A100" s="128">
        <f>A99+1</f>
        <v>90</v>
      </c>
      <c r="B100" s="16"/>
      <c r="C100" s="17"/>
      <c r="D100" s="19"/>
      <c r="E100" s="19"/>
      <c r="F100" s="20"/>
      <c r="G100" s="20"/>
      <c r="H100" s="17"/>
      <c r="I100" s="21"/>
      <c r="J100" s="22"/>
      <c r="K100" s="17"/>
      <c r="L100" s="23"/>
      <c r="M100" s="24"/>
      <c r="N100" s="24"/>
      <c r="O100" s="25"/>
      <c r="P100" s="124">
        <f>A100</f>
        <v>90</v>
      </c>
    </row>
    <row r="101" spans="1:16">
      <c r="A101" s="128">
        <f>A100+1</f>
        <v>91</v>
      </c>
      <c r="B101" s="45">
        <f>(B71*I71+B99*I99)/I101</f>
        <v>5.2195382936317987E-2</v>
      </c>
      <c r="C101" s="15" t="s">
        <v>93</v>
      </c>
      <c r="D101" s="19"/>
      <c r="E101" s="19"/>
      <c r="F101" s="14">
        <f>(F71*I71+F99*I99)/I101</f>
        <v>23.887715727493458</v>
      </c>
      <c r="G101" s="14">
        <f>(G71*I71+G99*I99)/I101</f>
        <v>16.262290465888491</v>
      </c>
      <c r="H101" s="17"/>
      <c r="I101" s="39">
        <f>I71+I99</f>
        <v>7069374000</v>
      </c>
      <c r="J101" s="120">
        <f>J71+J99</f>
        <v>-76751398.540000007</v>
      </c>
      <c r="K101" s="120">
        <f>K71+K99</f>
        <v>-48264653.580000006</v>
      </c>
      <c r="L101" s="39">
        <f>L71+L99</f>
        <v>6944357947.8800001</v>
      </c>
      <c r="M101" s="24"/>
      <c r="N101" s="30">
        <f>O101/I101</f>
        <v>5.3720871219997704E-2</v>
      </c>
      <c r="O101" s="29">
        <f>O71+O99</f>
        <v>379772930.26000005</v>
      </c>
      <c r="P101" s="124">
        <f t="shared" si="39"/>
        <v>91</v>
      </c>
    </row>
    <row r="102" spans="1:16">
      <c r="A102" s="129">
        <f>A101+1</f>
        <v>92</v>
      </c>
      <c r="B102" s="34"/>
      <c r="C102" s="33"/>
      <c r="D102" s="50"/>
      <c r="E102" s="50"/>
      <c r="F102" s="51"/>
      <c r="G102" s="51"/>
      <c r="H102" s="33"/>
      <c r="I102" s="52"/>
      <c r="J102" s="53"/>
      <c r="K102" s="33"/>
      <c r="L102" s="54"/>
      <c r="M102" s="55"/>
      <c r="N102" s="55"/>
      <c r="O102" s="56"/>
      <c r="P102" s="125">
        <f t="shared" si="39"/>
        <v>92</v>
      </c>
    </row>
    <row r="103" spans="1:16">
      <c r="D103" s="19"/>
      <c r="E103" s="19"/>
      <c r="F103" s="20"/>
      <c r="G103" s="20"/>
      <c r="H103" s="17"/>
      <c r="I103" s="21"/>
      <c r="J103" s="22"/>
      <c r="K103" s="17"/>
      <c r="L103" s="23"/>
      <c r="M103" s="24"/>
      <c r="N103" s="24"/>
      <c r="O103" s="25"/>
    </row>
    <row r="104" spans="1:16">
      <c r="D104" s="19"/>
      <c r="E104" s="19"/>
      <c r="F104" s="20"/>
      <c r="G104" s="20"/>
      <c r="H104" s="17"/>
      <c r="I104" s="21"/>
      <c r="J104" s="22"/>
      <c r="K104" s="17"/>
      <c r="L104" s="23"/>
      <c r="M104" s="24"/>
      <c r="N104" s="24"/>
      <c r="O104" s="25"/>
    </row>
    <row r="105" spans="1:16">
      <c r="D105" s="19"/>
      <c r="E105" s="19"/>
      <c r="F105" s="20"/>
      <c r="G105" s="20"/>
      <c r="H105" s="17"/>
      <c r="I105" s="21"/>
      <c r="J105" s="22"/>
      <c r="K105" s="17"/>
      <c r="L105" s="23"/>
      <c r="M105" s="24"/>
      <c r="N105" s="24"/>
      <c r="O105" s="25"/>
    </row>
    <row r="106" spans="1:16">
      <c r="D106" s="19"/>
      <c r="E106" s="19"/>
      <c r="F106" s="20"/>
      <c r="G106" s="20"/>
      <c r="H106" s="17"/>
      <c r="I106" s="21"/>
      <c r="J106" s="22"/>
      <c r="K106" s="17"/>
      <c r="L106" s="23"/>
      <c r="M106" s="24"/>
      <c r="N106" s="24"/>
      <c r="O106" s="25"/>
    </row>
    <row r="107" spans="1:16">
      <c r="D107" s="19"/>
      <c r="E107" s="19"/>
      <c r="F107" s="20"/>
      <c r="G107" s="20"/>
      <c r="H107" s="17"/>
      <c r="I107" s="21"/>
      <c r="J107" s="22"/>
      <c r="K107" s="17"/>
      <c r="L107" s="23"/>
      <c r="M107" s="24"/>
      <c r="N107" s="24"/>
      <c r="O107" s="25"/>
    </row>
    <row r="108" spans="1:16">
      <c r="D108" s="19"/>
      <c r="E108" s="19"/>
      <c r="F108" s="20"/>
      <c r="G108" s="20"/>
      <c r="H108" s="17"/>
      <c r="I108" s="21"/>
      <c r="J108" s="22"/>
      <c r="K108" s="17"/>
      <c r="L108" s="23"/>
      <c r="M108" s="24"/>
      <c r="N108" s="24"/>
      <c r="O108" s="25"/>
    </row>
    <row r="109" spans="1:16">
      <c r="D109" s="19"/>
      <c r="E109" s="19"/>
      <c r="F109" s="20"/>
      <c r="G109" s="20"/>
      <c r="H109" s="17"/>
      <c r="I109" s="21"/>
      <c r="J109" s="22"/>
      <c r="K109" s="17"/>
      <c r="L109" s="23"/>
      <c r="M109" s="24"/>
      <c r="N109" s="24"/>
      <c r="O109" s="25"/>
    </row>
    <row r="110" spans="1:16">
      <c r="D110" s="19"/>
      <c r="E110" s="19"/>
      <c r="F110" s="20"/>
      <c r="G110" s="20"/>
      <c r="H110" s="17"/>
      <c r="I110" s="21"/>
      <c r="J110" s="22"/>
      <c r="K110" s="17"/>
      <c r="L110" s="23"/>
      <c r="M110" s="24"/>
      <c r="N110" s="24"/>
      <c r="O110" s="25"/>
    </row>
    <row r="111" spans="1:16">
      <c r="D111" s="19"/>
      <c r="E111" s="19"/>
      <c r="F111" s="20"/>
      <c r="G111" s="20"/>
      <c r="H111" s="17"/>
      <c r="I111" s="21"/>
      <c r="J111" s="22"/>
      <c r="K111" s="17"/>
      <c r="L111" s="23"/>
      <c r="M111" s="24"/>
      <c r="N111" s="24"/>
      <c r="O111" s="25"/>
    </row>
    <row r="112" spans="1:16">
      <c r="D112" s="19"/>
      <c r="E112" s="19"/>
      <c r="F112" s="20"/>
      <c r="G112" s="20"/>
      <c r="H112" s="17"/>
      <c r="I112" s="21"/>
      <c r="J112" s="22"/>
      <c r="K112" s="17"/>
      <c r="L112" s="23"/>
      <c r="M112" s="24"/>
      <c r="N112" s="24"/>
      <c r="O112" s="25"/>
    </row>
    <row r="113" spans="4:15">
      <c r="D113" s="19"/>
      <c r="E113" s="19"/>
      <c r="F113" s="20"/>
      <c r="G113" s="20"/>
      <c r="H113" s="17"/>
      <c r="I113" s="21"/>
      <c r="J113" s="22"/>
      <c r="K113" s="17"/>
      <c r="L113" s="23"/>
      <c r="M113" s="24"/>
      <c r="N113" s="24"/>
      <c r="O113" s="25"/>
    </row>
    <row r="114" spans="4:15">
      <c r="D114" s="19"/>
      <c r="E114" s="19"/>
      <c r="F114" s="20"/>
      <c r="G114" s="20"/>
      <c r="H114" s="17"/>
      <c r="I114" s="21"/>
      <c r="J114" s="22"/>
      <c r="K114" s="17"/>
      <c r="L114" s="23"/>
      <c r="M114" s="24"/>
      <c r="N114" s="24"/>
      <c r="O114" s="25"/>
    </row>
    <row r="115" spans="4:15">
      <c r="D115" s="19"/>
      <c r="E115" s="19"/>
      <c r="F115" s="20"/>
      <c r="G115" s="20"/>
      <c r="H115" s="17"/>
      <c r="I115" s="21"/>
      <c r="J115" s="22"/>
      <c r="K115" s="17"/>
      <c r="L115" s="23"/>
      <c r="M115" s="24"/>
      <c r="N115" s="24"/>
      <c r="O115" s="25"/>
    </row>
    <row r="116" spans="4:15">
      <c r="D116" s="19"/>
      <c r="E116" s="19"/>
      <c r="F116" s="20"/>
      <c r="G116" s="20"/>
      <c r="H116" s="17"/>
      <c r="I116" s="21"/>
      <c r="J116" s="22"/>
      <c r="K116" s="17"/>
      <c r="L116" s="23"/>
      <c r="M116" s="24"/>
      <c r="N116" s="24"/>
      <c r="O116" s="25"/>
    </row>
    <row r="117" spans="4:15">
      <c r="D117" s="19"/>
      <c r="E117" s="19"/>
      <c r="F117" s="20"/>
      <c r="G117" s="20"/>
      <c r="H117" s="17"/>
      <c r="I117" s="21"/>
      <c r="J117" s="22"/>
      <c r="K117" s="17"/>
      <c r="L117" s="23"/>
      <c r="M117" s="24"/>
      <c r="N117" s="24"/>
      <c r="O117" s="25"/>
    </row>
    <row r="118" spans="4:15">
      <c r="D118" s="19"/>
      <c r="E118" s="19"/>
      <c r="F118" s="20"/>
      <c r="G118" s="20"/>
      <c r="H118" s="17"/>
      <c r="I118" s="21"/>
      <c r="J118" s="22"/>
      <c r="K118" s="17"/>
      <c r="L118" s="23"/>
      <c r="M118" s="24"/>
      <c r="N118" s="24"/>
      <c r="O118" s="25"/>
    </row>
    <row r="119" spans="4:15">
      <c r="D119" s="19"/>
      <c r="E119" s="19"/>
      <c r="F119" s="20"/>
      <c r="G119" s="20"/>
      <c r="H119" s="17"/>
      <c r="I119" s="21"/>
      <c r="J119" s="22"/>
      <c r="K119" s="17"/>
      <c r="L119" s="23"/>
      <c r="M119" s="24"/>
      <c r="N119" s="24"/>
      <c r="O119" s="25"/>
    </row>
    <row r="120" spans="4:15">
      <c r="D120" s="19"/>
      <c r="E120" s="19"/>
      <c r="F120" s="20"/>
      <c r="G120" s="20"/>
      <c r="H120" s="17"/>
      <c r="I120" s="21"/>
      <c r="J120" s="22"/>
      <c r="K120" s="17"/>
      <c r="L120" s="23"/>
      <c r="M120" s="24"/>
      <c r="N120" s="24"/>
      <c r="O120" s="25"/>
    </row>
    <row r="121" spans="4:15">
      <c r="D121" s="19"/>
      <c r="E121" s="19"/>
      <c r="F121" s="20"/>
      <c r="G121" s="20"/>
      <c r="H121" s="17"/>
      <c r="I121" s="21"/>
      <c r="J121" s="22"/>
      <c r="K121" s="17"/>
      <c r="L121" s="23"/>
      <c r="M121" s="24"/>
      <c r="N121" s="24"/>
      <c r="O121" s="25"/>
    </row>
    <row r="122" spans="4:15">
      <c r="D122" s="19"/>
      <c r="E122" s="19"/>
      <c r="F122" s="20"/>
      <c r="G122" s="20"/>
      <c r="H122" s="17"/>
      <c r="I122" s="21"/>
      <c r="J122" s="22"/>
      <c r="K122" s="17"/>
      <c r="L122" s="23"/>
      <c r="M122" s="24"/>
      <c r="N122" s="24"/>
      <c r="O122" s="25"/>
    </row>
    <row r="123" spans="4:15">
      <c r="D123" s="19"/>
      <c r="E123" s="19"/>
      <c r="F123" s="20"/>
      <c r="G123" s="20"/>
      <c r="H123" s="17"/>
      <c r="I123" s="21"/>
      <c r="J123" s="22"/>
      <c r="K123" s="17"/>
      <c r="L123" s="23"/>
      <c r="M123" s="24"/>
      <c r="N123" s="24"/>
      <c r="O123" s="25"/>
    </row>
    <row r="124" spans="4:15">
      <c r="D124" s="19"/>
      <c r="E124" s="19"/>
      <c r="F124" s="20"/>
      <c r="G124" s="20"/>
      <c r="H124" s="17"/>
      <c r="I124" s="21"/>
      <c r="J124" s="22"/>
      <c r="K124" s="17"/>
      <c r="L124" s="23"/>
      <c r="M124" s="24"/>
      <c r="N124" s="24"/>
      <c r="O124" s="25"/>
    </row>
    <row r="125" spans="4:15">
      <c r="D125" s="19"/>
      <c r="E125" s="19"/>
      <c r="F125" s="20"/>
      <c r="G125" s="20"/>
      <c r="H125" s="17"/>
      <c r="I125" s="21"/>
      <c r="J125" s="22"/>
      <c r="K125" s="17"/>
      <c r="L125" s="23"/>
      <c r="M125" s="24"/>
      <c r="N125" s="24"/>
      <c r="O125" s="25"/>
    </row>
    <row r="126" spans="4:15">
      <c r="D126" s="19"/>
      <c r="E126" s="19"/>
      <c r="F126" s="20"/>
      <c r="G126" s="20"/>
      <c r="H126" s="17"/>
      <c r="I126" s="21"/>
      <c r="J126" s="22"/>
      <c r="K126" s="17"/>
      <c r="L126" s="23"/>
      <c r="M126" s="24"/>
      <c r="N126" s="24"/>
      <c r="O126" s="25"/>
    </row>
    <row r="127" spans="4:15">
      <c r="D127" s="19"/>
      <c r="E127" s="19"/>
      <c r="F127" s="20"/>
      <c r="G127" s="20"/>
      <c r="H127" s="17"/>
      <c r="I127" s="21"/>
      <c r="J127" s="22"/>
      <c r="K127" s="17"/>
      <c r="L127" s="23"/>
      <c r="M127" s="24"/>
      <c r="N127" s="24"/>
      <c r="O127" s="25"/>
    </row>
    <row r="128" spans="4:15">
      <c r="D128" s="19"/>
      <c r="E128" s="19"/>
      <c r="F128" s="20"/>
      <c r="G128" s="20"/>
      <c r="H128" s="17"/>
      <c r="I128" s="21"/>
      <c r="J128" s="22"/>
      <c r="K128" s="17"/>
      <c r="L128" s="23"/>
      <c r="M128" s="24"/>
      <c r="N128" s="24"/>
      <c r="O128" s="25"/>
    </row>
    <row r="129" spans="4:15">
      <c r="D129" s="19"/>
      <c r="E129" s="19"/>
      <c r="F129" s="20"/>
      <c r="G129" s="20"/>
      <c r="H129" s="17"/>
      <c r="I129" s="21"/>
      <c r="J129" s="22"/>
      <c r="K129" s="17"/>
      <c r="L129" s="23"/>
      <c r="M129" s="24"/>
      <c r="N129" s="24"/>
      <c r="O129" s="25"/>
    </row>
    <row r="130" spans="4:15">
      <c r="D130" s="19"/>
      <c r="E130" s="19"/>
      <c r="F130" s="20"/>
      <c r="G130" s="20"/>
      <c r="H130" s="17"/>
      <c r="I130" s="21"/>
      <c r="J130" s="22"/>
      <c r="K130" s="17"/>
      <c r="L130" s="23"/>
      <c r="M130" s="24"/>
      <c r="N130" s="24"/>
      <c r="O130" s="25"/>
    </row>
    <row r="131" spans="4:15">
      <c r="D131" s="19"/>
      <c r="E131" s="19"/>
      <c r="F131" s="20"/>
      <c r="G131" s="20"/>
      <c r="H131" s="17"/>
      <c r="I131" s="21"/>
      <c r="J131" s="22"/>
      <c r="K131" s="17"/>
      <c r="L131" s="23"/>
      <c r="M131" s="24"/>
      <c r="N131" s="24"/>
      <c r="O131" s="25"/>
    </row>
    <row r="132" spans="4:15">
      <c r="D132" s="19"/>
      <c r="E132" s="19"/>
      <c r="F132" s="20"/>
      <c r="G132" s="20"/>
      <c r="H132" s="17"/>
      <c r="I132" s="21"/>
      <c r="J132" s="22"/>
      <c r="K132" s="17"/>
      <c r="L132" s="23"/>
      <c r="M132" s="24"/>
      <c r="N132" s="24"/>
      <c r="O132" s="25"/>
    </row>
    <row r="133" spans="4:15">
      <c r="D133" s="19"/>
      <c r="E133" s="19"/>
      <c r="F133" s="20"/>
      <c r="G133" s="20"/>
      <c r="H133" s="17"/>
      <c r="I133" s="21"/>
      <c r="J133" s="22"/>
      <c r="K133" s="17"/>
      <c r="L133" s="23"/>
      <c r="M133" s="24"/>
      <c r="N133" s="24"/>
      <c r="O133" s="25"/>
    </row>
    <row r="134" spans="4:15">
      <c r="D134" s="19"/>
      <c r="E134" s="19"/>
      <c r="F134" s="20"/>
      <c r="G134" s="20"/>
      <c r="H134" s="17"/>
      <c r="I134" s="21"/>
      <c r="J134" s="22"/>
      <c r="K134" s="17"/>
      <c r="L134" s="23"/>
      <c r="M134" s="24"/>
      <c r="N134" s="24"/>
      <c r="O134" s="25"/>
    </row>
    <row r="135" spans="4:15">
      <c r="D135" s="19"/>
      <c r="E135" s="19"/>
      <c r="F135" s="20"/>
      <c r="G135" s="20"/>
      <c r="H135" s="17"/>
      <c r="I135" s="21"/>
      <c r="J135" s="22"/>
      <c r="K135" s="17"/>
      <c r="L135" s="23"/>
      <c r="M135" s="24"/>
      <c r="N135" s="24"/>
      <c r="O135" s="25"/>
    </row>
    <row r="136" spans="4:15">
      <c r="D136" s="19"/>
      <c r="E136" s="19"/>
      <c r="F136" s="20"/>
      <c r="G136" s="20"/>
      <c r="H136" s="17"/>
      <c r="I136" s="21"/>
      <c r="J136" s="22"/>
      <c r="K136" s="17"/>
      <c r="L136" s="23"/>
      <c r="M136" s="24"/>
      <c r="N136" s="24"/>
      <c r="O136" s="25"/>
    </row>
    <row r="137" spans="4:15">
      <c r="D137" s="19"/>
      <c r="E137" s="19"/>
      <c r="F137" s="20"/>
      <c r="G137" s="20"/>
      <c r="H137" s="17"/>
      <c r="I137" s="21"/>
      <c r="J137" s="22"/>
      <c r="K137" s="17"/>
      <c r="L137" s="23"/>
      <c r="M137" s="24"/>
      <c r="N137" s="24"/>
      <c r="O137" s="25"/>
    </row>
    <row r="138" spans="4:15">
      <c r="D138" s="19"/>
      <c r="E138" s="19"/>
      <c r="F138" s="20"/>
      <c r="G138" s="20"/>
      <c r="H138" s="17"/>
      <c r="I138" s="21"/>
      <c r="J138" s="22"/>
      <c r="K138" s="17"/>
      <c r="L138" s="23"/>
      <c r="M138" s="24"/>
      <c r="N138" s="24"/>
      <c r="O138" s="25"/>
    </row>
    <row r="139" spans="4:15">
      <c r="D139" s="19"/>
      <c r="E139" s="19"/>
      <c r="F139" s="20"/>
      <c r="G139" s="20"/>
      <c r="H139" s="17"/>
      <c r="I139" s="21"/>
      <c r="J139" s="22"/>
      <c r="K139" s="17"/>
      <c r="L139" s="23"/>
      <c r="M139" s="24"/>
      <c r="N139" s="24"/>
      <c r="O139" s="25"/>
    </row>
    <row r="140" spans="4:15">
      <c r="D140" s="19"/>
      <c r="E140" s="19"/>
      <c r="F140" s="20"/>
      <c r="G140" s="20"/>
      <c r="H140" s="17"/>
      <c r="I140" s="21"/>
      <c r="J140" s="22"/>
      <c r="K140" s="17"/>
      <c r="L140" s="23"/>
      <c r="M140" s="24"/>
      <c r="N140" s="24"/>
      <c r="O140" s="25"/>
    </row>
    <row r="141" spans="4:15">
      <c r="D141" s="19"/>
      <c r="E141" s="19"/>
      <c r="F141" s="20"/>
      <c r="G141" s="20"/>
      <c r="H141" s="17"/>
      <c r="I141" s="21"/>
      <c r="J141" s="22"/>
      <c r="K141" s="17"/>
      <c r="L141" s="23"/>
      <c r="M141" s="24"/>
      <c r="N141" s="24"/>
      <c r="O141" s="25"/>
    </row>
    <row r="142" spans="4:15">
      <c r="D142" s="19"/>
      <c r="E142" s="19"/>
      <c r="F142" s="20"/>
      <c r="G142" s="20"/>
      <c r="H142" s="17"/>
      <c r="I142" s="21"/>
      <c r="J142" s="22"/>
      <c r="K142" s="17"/>
      <c r="L142" s="23"/>
      <c r="M142" s="24"/>
      <c r="N142" s="24"/>
      <c r="O142" s="25"/>
    </row>
    <row r="143" spans="4:15">
      <c r="D143" s="19"/>
      <c r="E143" s="19"/>
      <c r="F143" s="20"/>
      <c r="G143" s="20"/>
      <c r="H143" s="17"/>
      <c r="I143" s="21"/>
      <c r="J143" s="22"/>
      <c r="K143" s="17"/>
      <c r="L143" s="23"/>
      <c r="M143" s="24"/>
      <c r="N143" s="24"/>
      <c r="O143" s="25"/>
    </row>
    <row r="144" spans="4:15">
      <c r="D144" s="19"/>
      <c r="E144" s="19"/>
      <c r="F144" s="20"/>
      <c r="G144" s="20"/>
      <c r="H144" s="17"/>
      <c r="I144" s="21"/>
      <c r="J144" s="22"/>
      <c r="K144" s="17"/>
      <c r="L144" s="23"/>
      <c r="M144" s="24"/>
      <c r="N144" s="24"/>
      <c r="O144" s="25"/>
    </row>
    <row r="145" spans="4:15">
      <c r="D145" s="19"/>
      <c r="E145" s="19"/>
      <c r="F145" s="20"/>
      <c r="G145" s="20"/>
      <c r="H145" s="17"/>
      <c r="I145" s="21"/>
      <c r="J145" s="22"/>
      <c r="K145" s="17"/>
      <c r="L145" s="23"/>
      <c r="M145" s="24"/>
      <c r="N145" s="24"/>
      <c r="O145" s="25"/>
    </row>
    <row r="146" spans="4:15">
      <c r="D146" s="19"/>
      <c r="E146" s="19"/>
      <c r="F146" s="20"/>
      <c r="G146" s="20"/>
      <c r="H146" s="17"/>
      <c r="I146" s="21"/>
      <c r="J146" s="22"/>
      <c r="K146" s="17"/>
      <c r="L146" s="23"/>
      <c r="M146" s="24"/>
      <c r="N146" s="24"/>
      <c r="O146" s="25"/>
    </row>
    <row r="147" spans="4:15">
      <c r="D147" s="19"/>
      <c r="E147" s="19"/>
      <c r="F147" s="20"/>
      <c r="G147" s="20"/>
      <c r="H147" s="17"/>
      <c r="I147" s="21"/>
      <c r="J147" s="22"/>
      <c r="K147" s="17"/>
      <c r="L147" s="23"/>
      <c r="M147" s="24"/>
      <c r="N147" s="24"/>
      <c r="O147" s="25"/>
    </row>
    <row r="148" spans="4:15">
      <c r="D148" s="19"/>
      <c r="E148" s="19"/>
      <c r="F148" s="20"/>
      <c r="G148" s="20"/>
      <c r="H148" s="17"/>
      <c r="I148" s="21"/>
      <c r="J148" s="22"/>
      <c r="K148" s="17"/>
      <c r="L148" s="23"/>
      <c r="M148" s="24"/>
      <c r="N148" s="24"/>
      <c r="O148" s="25"/>
    </row>
    <row r="149" spans="4:15">
      <c r="D149" s="19"/>
      <c r="E149" s="19"/>
      <c r="F149" s="20"/>
      <c r="G149" s="20"/>
      <c r="H149" s="17"/>
      <c r="I149" s="21"/>
      <c r="J149" s="22"/>
      <c r="K149" s="17"/>
      <c r="L149" s="23"/>
      <c r="M149" s="24"/>
      <c r="N149" s="24"/>
      <c r="O149" s="25"/>
    </row>
    <row r="150" spans="4:15">
      <c r="D150" s="19"/>
      <c r="E150" s="19"/>
      <c r="F150" s="20"/>
      <c r="G150" s="20"/>
      <c r="H150" s="17"/>
      <c r="I150" s="21"/>
      <c r="J150" s="22"/>
      <c r="K150" s="17"/>
      <c r="L150" s="23"/>
      <c r="M150" s="24"/>
      <c r="N150" s="24"/>
      <c r="O150" s="25"/>
    </row>
    <row r="151" spans="4:15">
      <c r="D151" s="19"/>
      <c r="E151" s="19"/>
      <c r="F151" s="20"/>
      <c r="G151" s="20"/>
      <c r="H151" s="17"/>
      <c r="I151" s="21"/>
      <c r="J151" s="22"/>
      <c r="K151" s="17"/>
      <c r="L151" s="23"/>
      <c r="M151" s="24"/>
      <c r="N151" s="24"/>
      <c r="O151" s="25"/>
    </row>
    <row r="152" spans="4:15">
      <c r="D152" s="19"/>
      <c r="E152" s="19"/>
      <c r="F152" s="20"/>
      <c r="G152" s="20"/>
      <c r="H152" s="17"/>
      <c r="I152" s="21"/>
      <c r="J152" s="22"/>
      <c r="K152" s="17"/>
      <c r="L152" s="23"/>
      <c r="M152" s="24"/>
      <c r="N152" s="24"/>
      <c r="O152" s="25"/>
    </row>
    <row r="153" spans="4:15">
      <c r="D153" s="19"/>
      <c r="E153" s="19"/>
      <c r="F153" s="20"/>
      <c r="G153" s="20"/>
      <c r="H153" s="17"/>
      <c r="I153" s="21"/>
      <c r="J153" s="22"/>
      <c r="K153" s="17"/>
      <c r="L153" s="23"/>
      <c r="M153" s="24"/>
      <c r="N153" s="24"/>
      <c r="O153" s="25"/>
    </row>
    <row r="154" spans="4:15">
      <c r="D154" s="19"/>
      <c r="E154" s="19"/>
      <c r="F154" s="20"/>
      <c r="G154" s="20"/>
      <c r="H154" s="17"/>
      <c r="I154" s="21"/>
      <c r="J154" s="22"/>
      <c r="K154" s="17"/>
      <c r="L154" s="23"/>
      <c r="M154" s="24"/>
      <c r="N154" s="24"/>
      <c r="O154" s="25"/>
    </row>
    <row r="155" spans="4:15">
      <c r="D155" s="19"/>
      <c r="E155" s="19"/>
      <c r="F155" s="20"/>
      <c r="G155" s="20"/>
      <c r="H155" s="17"/>
      <c r="I155" s="21"/>
      <c r="J155" s="22"/>
      <c r="K155" s="17"/>
      <c r="L155" s="23"/>
      <c r="M155" s="24"/>
      <c r="N155" s="24"/>
      <c r="O155" s="25"/>
    </row>
    <row r="156" spans="4:15">
      <c r="D156" s="19"/>
      <c r="E156" s="19"/>
      <c r="F156" s="20"/>
      <c r="G156" s="20"/>
      <c r="H156" s="17"/>
      <c r="I156" s="21"/>
      <c r="J156" s="22"/>
      <c r="K156" s="17"/>
      <c r="L156" s="23"/>
      <c r="M156" s="24"/>
      <c r="N156" s="24"/>
      <c r="O156" s="25"/>
    </row>
    <row r="157" spans="4:15">
      <c r="D157" s="19"/>
      <c r="E157" s="19"/>
      <c r="F157" s="20"/>
      <c r="G157" s="20"/>
      <c r="H157" s="17"/>
      <c r="I157" s="21"/>
      <c r="J157" s="22"/>
      <c r="K157" s="17"/>
      <c r="L157" s="23"/>
      <c r="M157" s="24"/>
      <c r="N157" s="24"/>
      <c r="O157" s="25"/>
    </row>
    <row r="158" spans="4:15">
      <c r="D158" s="19"/>
      <c r="E158" s="19"/>
      <c r="F158" s="20"/>
      <c r="G158" s="20"/>
      <c r="H158" s="17"/>
      <c r="I158" s="21"/>
      <c r="J158" s="22"/>
      <c r="K158" s="17"/>
      <c r="L158" s="23"/>
      <c r="M158" s="24"/>
      <c r="N158" s="24"/>
      <c r="O158" s="25"/>
    </row>
    <row r="159" spans="4:15">
      <c r="D159" s="19"/>
      <c r="E159" s="19"/>
      <c r="F159" s="20"/>
      <c r="G159" s="20"/>
      <c r="H159" s="17"/>
      <c r="I159" s="21"/>
      <c r="J159" s="22"/>
      <c r="K159" s="17"/>
      <c r="L159" s="23"/>
      <c r="M159" s="24"/>
      <c r="N159" s="24"/>
      <c r="O159" s="25"/>
    </row>
    <row r="160" spans="4:15">
      <c r="D160" s="19"/>
      <c r="E160" s="19"/>
      <c r="F160" s="20"/>
      <c r="G160" s="20"/>
      <c r="H160" s="17"/>
      <c r="I160" s="21"/>
      <c r="J160" s="22"/>
      <c r="K160" s="17"/>
      <c r="L160" s="23"/>
      <c r="M160" s="24"/>
      <c r="N160" s="24"/>
      <c r="O160" s="25"/>
    </row>
    <row r="161" spans="4:15">
      <c r="D161" s="19"/>
      <c r="E161" s="19"/>
      <c r="F161" s="20"/>
      <c r="G161" s="20"/>
      <c r="H161" s="17"/>
      <c r="I161" s="21"/>
      <c r="J161" s="22"/>
      <c r="K161" s="17"/>
      <c r="L161" s="23"/>
      <c r="M161" s="24"/>
      <c r="N161" s="24"/>
      <c r="O161" s="25"/>
    </row>
    <row r="162" spans="4:15">
      <c r="D162" s="19"/>
      <c r="E162" s="19"/>
      <c r="F162" s="20"/>
      <c r="G162" s="20"/>
      <c r="H162" s="17"/>
      <c r="I162" s="21"/>
      <c r="J162" s="22"/>
      <c r="K162" s="17"/>
      <c r="L162" s="23"/>
      <c r="M162" s="24"/>
      <c r="N162" s="24"/>
      <c r="O162" s="25"/>
    </row>
    <row r="163" spans="4:15">
      <c r="D163" s="19"/>
      <c r="E163" s="19"/>
      <c r="F163" s="20"/>
      <c r="G163" s="20"/>
      <c r="H163" s="17"/>
      <c r="I163" s="21"/>
      <c r="J163" s="22"/>
      <c r="K163" s="17"/>
      <c r="L163" s="23"/>
      <c r="M163" s="24"/>
      <c r="N163" s="24"/>
      <c r="O163" s="25"/>
    </row>
    <row r="164" spans="4:15">
      <c r="D164" s="19"/>
      <c r="E164" s="19"/>
      <c r="F164" s="20"/>
      <c r="G164" s="20"/>
      <c r="H164" s="17"/>
      <c r="I164" s="21"/>
      <c r="J164" s="22"/>
      <c r="K164" s="17"/>
      <c r="L164" s="23"/>
      <c r="M164" s="24"/>
      <c r="N164" s="24"/>
      <c r="O164" s="25"/>
    </row>
    <row r="165" spans="4:15">
      <c r="D165" s="19"/>
      <c r="E165" s="19"/>
      <c r="F165" s="20"/>
      <c r="G165" s="20"/>
      <c r="H165" s="17"/>
      <c r="I165" s="21"/>
      <c r="J165" s="22"/>
      <c r="K165" s="17"/>
      <c r="L165" s="23"/>
      <c r="M165" s="24"/>
      <c r="N165" s="24"/>
      <c r="O165" s="25"/>
    </row>
    <row r="166" spans="4:15">
      <c r="D166" s="19"/>
      <c r="E166" s="19"/>
      <c r="F166" s="20"/>
      <c r="G166" s="20"/>
      <c r="H166" s="17"/>
      <c r="I166" s="21"/>
      <c r="J166" s="22"/>
      <c r="K166" s="17"/>
      <c r="L166" s="23"/>
      <c r="M166" s="24"/>
      <c r="N166" s="24"/>
      <c r="O166" s="25"/>
    </row>
    <row r="167" spans="4:15">
      <c r="D167" s="19"/>
      <c r="E167" s="19"/>
      <c r="F167" s="20"/>
      <c r="G167" s="20"/>
      <c r="H167" s="17"/>
      <c r="I167" s="21"/>
      <c r="J167" s="22"/>
      <c r="K167" s="17"/>
      <c r="L167" s="23"/>
      <c r="M167" s="24"/>
      <c r="N167" s="24"/>
      <c r="O167" s="25"/>
    </row>
    <row r="168" spans="4:15">
      <c r="D168" s="19"/>
      <c r="E168" s="19"/>
      <c r="F168" s="20"/>
      <c r="G168" s="20"/>
      <c r="H168" s="17"/>
      <c r="I168" s="21"/>
      <c r="J168" s="22"/>
      <c r="K168" s="17"/>
      <c r="L168" s="23"/>
      <c r="M168" s="24"/>
      <c r="N168" s="24"/>
      <c r="O168" s="25"/>
    </row>
    <row r="169" spans="4:15">
      <c r="D169" s="19"/>
      <c r="E169" s="19"/>
      <c r="F169" s="20"/>
      <c r="G169" s="20"/>
      <c r="H169" s="17"/>
      <c r="I169" s="21"/>
      <c r="J169" s="22"/>
      <c r="K169" s="17"/>
      <c r="L169" s="23"/>
      <c r="M169" s="24"/>
      <c r="N169" s="24"/>
      <c r="O169" s="25"/>
    </row>
    <row r="170" spans="4:15">
      <c r="D170" s="19"/>
      <c r="E170" s="19"/>
      <c r="F170" s="20"/>
      <c r="G170" s="20"/>
      <c r="H170" s="17"/>
      <c r="I170" s="21"/>
      <c r="J170" s="22"/>
      <c r="K170" s="17"/>
      <c r="L170" s="23"/>
      <c r="M170" s="24"/>
      <c r="N170" s="24"/>
      <c r="O170" s="25"/>
    </row>
    <row r="171" spans="4:15">
      <c r="D171" s="19"/>
      <c r="E171" s="19"/>
      <c r="F171" s="20"/>
      <c r="G171" s="20"/>
      <c r="H171" s="17"/>
      <c r="I171" s="21"/>
      <c r="J171" s="22"/>
      <c r="K171" s="17"/>
      <c r="L171" s="23"/>
      <c r="M171" s="24"/>
      <c r="N171" s="24"/>
      <c r="O171" s="25"/>
    </row>
    <row r="172" spans="4:15">
      <c r="D172" s="19"/>
      <c r="E172" s="19"/>
      <c r="F172" s="20"/>
      <c r="G172" s="20"/>
      <c r="H172" s="17"/>
      <c r="I172" s="21"/>
      <c r="J172" s="22"/>
      <c r="K172" s="17"/>
      <c r="L172" s="23"/>
      <c r="M172" s="24"/>
      <c r="N172" s="24"/>
      <c r="O172" s="25"/>
    </row>
    <row r="173" spans="4:15">
      <c r="D173" s="19"/>
      <c r="E173" s="19"/>
      <c r="F173" s="20"/>
      <c r="G173" s="20"/>
      <c r="H173" s="17"/>
      <c r="I173" s="21"/>
      <c r="J173" s="22"/>
      <c r="K173" s="17"/>
      <c r="L173" s="23"/>
      <c r="M173" s="24"/>
      <c r="N173" s="24"/>
      <c r="O173" s="25"/>
    </row>
    <row r="174" spans="4:15">
      <c r="D174" s="19"/>
      <c r="E174" s="19"/>
      <c r="F174" s="20"/>
      <c r="G174" s="20"/>
      <c r="H174" s="17"/>
      <c r="I174" s="21"/>
      <c r="J174" s="22"/>
      <c r="K174" s="17"/>
      <c r="L174" s="23"/>
      <c r="M174" s="24"/>
      <c r="N174" s="24"/>
      <c r="O174" s="25"/>
    </row>
    <row r="175" spans="4:15">
      <c r="D175" s="19"/>
      <c r="E175" s="19"/>
      <c r="F175" s="20"/>
      <c r="G175" s="20"/>
      <c r="H175" s="17"/>
      <c r="I175" s="21"/>
      <c r="J175" s="22"/>
      <c r="K175" s="17"/>
      <c r="L175" s="23"/>
      <c r="M175" s="24"/>
      <c r="N175" s="24"/>
      <c r="O175" s="25"/>
    </row>
    <row r="176" spans="4:15">
      <c r="D176" s="19"/>
      <c r="E176" s="19"/>
      <c r="F176" s="20"/>
      <c r="G176" s="20"/>
      <c r="H176" s="17"/>
      <c r="I176" s="21"/>
      <c r="J176" s="22"/>
      <c r="K176" s="17"/>
      <c r="L176" s="23"/>
      <c r="M176" s="24"/>
      <c r="N176" s="24"/>
      <c r="O176" s="25"/>
    </row>
    <row r="177" spans="4:15">
      <c r="D177" s="19"/>
      <c r="E177" s="19"/>
      <c r="F177" s="20"/>
      <c r="G177" s="20"/>
      <c r="H177" s="17"/>
      <c r="I177" s="21"/>
      <c r="J177" s="22"/>
      <c r="K177" s="17"/>
      <c r="L177" s="23"/>
      <c r="M177" s="24"/>
      <c r="N177" s="24"/>
      <c r="O177" s="25"/>
    </row>
    <row r="178" spans="4:15">
      <c r="D178" s="19"/>
      <c r="E178" s="19"/>
      <c r="F178" s="20"/>
      <c r="G178" s="20"/>
      <c r="H178" s="17"/>
      <c r="I178" s="21"/>
      <c r="J178" s="22"/>
      <c r="K178" s="17"/>
      <c r="L178" s="23"/>
      <c r="M178" s="24"/>
      <c r="N178" s="24"/>
      <c r="O178" s="25"/>
    </row>
    <row r="179" spans="4:15">
      <c r="D179" s="19"/>
      <c r="E179" s="19"/>
      <c r="F179" s="20"/>
      <c r="G179" s="20"/>
      <c r="H179" s="17"/>
      <c r="I179" s="21"/>
      <c r="J179" s="22"/>
      <c r="K179" s="17"/>
      <c r="L179" s="23"/>
      <c r="M179" s="24"/>
      <c r="N179" s="24"/>
      <c r="O179" s="25"/>
    </row>
    <row r="180" spans="4:15">
      <c r="D180" s="19"/>
      <c r="E180" s="19"/>
      <c r="F180" s="20"/>
      <c r="G180" s="20"/>
      <c r="H180" s="17"/>
      <c r="I180" s="21"/>
      <c r="J180" s="22"/>
      <c r="K180" s="17"/>
      <c r="L180" s="23"/>
      <c r="M180" s="24"/>
      <c r="N180" s="24"/>
      <c r="O180" s="25"/>
    </row>
    <row r="181" spans="4:15">
      <c r="D181" s="19"/>
      <c r="E181" s="19"/>
      <c r="F181" s="20"/>
      <c r="G181" s="20"/>
      <c r="H181" s="17"/>
      <c r="I181" s="21"/>
      <c r="J181" s="22"/>
      <c r="K181" s="17"/>
      <c r="L181" s="23"/>
      <c r="M181" s="24"/>
      <c r="N181" s="24"/>
      <c r="O181" s="25"/>
    </row>
    <row r="182" spans="4:15">
      <c r="D182" s="19"/>
      <c r="E182" s="19"/>
      <c r="F182" s="20"/>
      <c r="G182" s="20"/>
      <c r="H182" s="17"/>
      <c r="I182" s="21"/>
      <c r="J182" s="22"/>
      <c r="K182" s="17"/>
      <c r="L182" s="23"/>
      <c r="M182" s="24"/>
      <c r="N182" s="24"/>
      <c r="O182" s="25"/>
    </row>
    <row r="183" spans="4:15">
      <c r="D183" s="19"/>
      <c r="E183" s="19"/>
      <c r="F183" s="20"/>
      <c r="G183" s="20"/>
      <c r="H183" s="17"/>
      <c r="I183" s="21"/>
      <c r="J183" s="22"/>
      <c r="K183" s="17"/>
      <c r="L183" s="23"/>
      <c r="M183" s="24"/>
      <c r="N183" s="24"/>
      <c r="O183" s="25"/>
    </row>
    <row r="184" spans="4:15">
      <c r="D184" s="19"/>
      <c r="E184" s="19"/>
      <c r="F184" s="20"/>
      <c r="G184" s="20"/>
      <c r="H184" s="17"/>
      <c r="I184" s="21"/>
      <c r="J184" s="22"/>
      <c r="K184" s="17"/>
      <c r="L184" s="23"/>
      <c r="M184" s="24"/>
      <c r="N184" s="24"/>
      <c r="O184" s="25"/>
    </row>
    <row r="185" spans="4:15">
      <c r="D185" s="19"/>
      <c r="E185" s="19"/>
      <c r="F185" s="20"/>
      <c r="G185" s="20"/>
      <c r="H185" s="17"/>
      <c r="I185" s="21"/>
      <c r="J185" s="22"/>
      <c r="K185" s="17"/>
      <c r="L185" s="23"/>
      <c r="M185" s="24"/>
      <c r="N185" s="24"/>
      <c r="O185" s="25"/>
    </row>
    <row r="186" spans="4:15">
      <c r="D186" s="19"/>
      <c r="E186" s="19"/>
      <c r="F186" s="20"/>
      <c r="G186" s="20"/>
      <c r="H186" s="17"/>
      <c r="I186" s="21"/>
      <c r="J186" s="22"/>
      <c r="K186" s="17"/>
      <c r="L186" s="23"/>
      <c r="M186" s="24"/>
      <c r="N186" s="24"/>
      <c r="O186" s="25"/>
    </row>
    <row r="187" spans="4:15">
      <c r="D187" s="19"/>
      <c r="E187" s="19"/>
      <c r="F187" s="20"/>
      <c r="G187" s="20"/>
      <c r="H187" s="17"/>
      <c r="I187" s="21"/>
      <c r="J187" s="22"/>
      <c r="K187" s="17"/>
      <c r="L187" s="23"/>
      <c r="M187" s="24"/>
      <c r="N187" s="24"/>
      <c r="O187" s="25"/>
    </row>
    <row r="188" spans="4:15">
      <c r="D188" s="19"/>
      <c r="E188" s="19"/>
      <c r="F188" s="20"/>
      <c r="G188" s="20"/>
      <c r="H188" s="17"/>
      <c r="I188" s="21"/>
      <c r="J188" s="22"/>
      <c r="K188" s="17"/>
      <c r="L188" s="23"/>
      <c r="M188" s="24"/>
      <c r="N188" s="24"/>
      <c r="O188" s="25"/>
    </row>
    <row r="189" spans="4:15">
      <c r="D189" s="19"/>
      <c r="E189" s="19"/>
      <c r="F189" s="20"/>
      <c r="G189" s="20"/>
      <c r="H189" s="17"/>
      <c r="I189" s="21"/>
      <c r="J189" s="22"/>
      <c r="K189" s="17"/>
      <c r="L189" s="23"/>
      <c r="M189" s="24"/>
      <c r="N189" s="24"/>
      <c r="O189" s="25"/>
    </row>
    <row r="190" spans="4:15">
      <c r="D190" s="19"/>
      <c r="E190" s="19"/>
      <c r="F190" s="20"/>
      <c r="G190" s="20"/>
      <c r="H190" s="17"/>
      <c r="I190" s="21"/>
      <c r="J190" s="22"/>
      <c r="K190" s="17"/>
      <c r="L190" s="23"/>
      <c r="M190" s="24"/>
      <c r="N190" s="24"/>
      <c r="O190" s="25"/>
    </row>
    <row r="191" spans="4:15">
      <c r="D191" s="19"/>
      <c r="E191" s="19"/>
      <c r="F191" s="20"/>
      <c r="G191" s="20"/>
      <c r="H191" s="17"/>
      <c r="I191" s="21"/>
      <c r="J191" s="22"/>
      <c r="K191" s="17"/>
      <c r="L191" s="23"/>
      <c r="M191" s="24"/>
      <c r="N191" s="24"/>
      <c r="O191" s="25"/>
    </row>
    <row r="192" spans="4:15">
      <c r="D192" s="19"/>
      <c r="E192" s="19"/>
      <c r="F192" s="20"/>
      <c r="G192" s="20"/>
      <c r="H192" s="17"/>
      <c r="I192" s="21"/>
      <c r="J192" s="22"/>
      <c r="K192" s="17"/>
      <c r="L192" s="23"/>
      <c r="M192" s="24"/>
      <c r="N192" s="24"/>
      <c r="O192" s="25"/>
    </row>
    <row r="193" spans="4:15">
      <c r="D193" s="19"/>
      <c r="E193" s="19"/>
      <c r="F193" s="20"/>
      <c r="G193" s="20"/>
      <c r="H193" s="17"/>
      <c r="I193" s="21"/>
      <c r="J193" s="22"/>
      <c r="K193" s="17"/>
      <c r="L193" s="23"/>
      <c r="M193" s="24"/>
      <c r="N193" s="24"/>
      <c r="O193" s="25"/>
    </row>
    <row r="194" spans="4:15">
      <c r="D194" s="19"/>
      <c r="E194" s="19"/>
      <c r="F194" s="20"/>
      <c r="G194" s="20"/>
      <c r="H194" s="17"/>
      <c r="I194" s="21"/>
      <c r="J194" s="22"/>
      <c r="K194" s="17"/>
      <c r="L194" s="23"/>
      <c r="M194" s="24"/>
      <c r="N194" s="24"/>
      <c r="O194" s="25"/>
    </row>
    <row r="195" spans="4:15">
      <c r="D195" s="19"/>
      <c r="E195" s="19"/>
      <c r="F195" s="20"/>
      <c r="G195" s="20"/>
      <c r="H195" s="17"/>
      <c r="I195" s="21"/>
      <c r="J195" s="22"/>
      <c r="K195" s="17"/>
      <c r="L195" s="23"/>
      <c r="M195" s="24"/>
      <c r="N195" s="24"/>
      <c r="O195" s="25"/>
    </row>
    <row r="196" spans="4:15">
      <c r="D196" s="19"/>
      <c r="E196" s="19"/>
      <c r="F196" s="20"/>
      <c r="G196" s="20"/>
      <c r="H196" s="17"/>
      <c r="I196" s="21"/>
      <c r="J196" s="22"/>
      <c r="K196" s="17"/>
      <c r="L196" s="23"/>
      <c r="M196" s="24"/>
      <c r="N196" s="24"/>
      <c r="O196" s="25"/>
    </row>
    <row r="197" spans="4:15">
      <c r="D197" s="19"/>
      <c r="E197" s="19"/>
      <c r="F197" s="20"/>
      <c r="G197" s="20"/>
      <c r="H197" s="17"/>
      <c r="I197" s="21"/>
      <c r="J197" s="22"/>
      <c r="K197" s="17"/>
      <c r="L197" s="23"/>
      <c r="M197" s="24"/>
      <c r="N197" s="24"/>
      <c r="O197" s="25"/>
    </row>
    <row r="198" spans="4:15">
      <c r="D198" s="19"/>
      <c r="E198" s="19"/>
      <c r="F198" s="20"/>
      <c r="G198" s="20"/>
      <c r="H198" s="17"/>
      <c r="I198" s="21"/>
      <c r="J198" s="22"/>
      <c r="K198" s="17"/>
      <c r="L198" s="23"/>
      <c r="M198" s="24"/>
      <c r="N198" s="24"/>
      <c r="O198" s="25"/>
    </row>
    <row r="199" spans="4:15">
      <c r="D199" s="19"/>
      <c r="E199" s="19"/>
      <c r="F199" s="20"/>
      <c r="G199" s="20"/>
      <c r="H199" s="17"/>
      <c r="I199" s="21"/>
      <c r="J199" s="22"/>
      <c r="K199" s="17"/>
      <c r="L199" s="23"/>
      <c r="M199" s="24"/>
      <c r="N199" s="24"/>
      <c r="O199" s="25"/>
    </row>
    <row r="200" spans="4:15">
      <c r="D200" s="19"/>
      <c r="E200" s="19"/>
      <c r="F200" s="20"/>
      <c r="G200" s="20"/>
      <c r="H200" s="17"/>
      <c r="I200" s="21"/>
      <c r="J200" s="22"/>
      <c r="K200" s="17"/>
      <c r="L200" s="23"/>
      <c r="M200" s="24"/>
      <c r="N200" s="24"/>
      <c r="O200" s="25"/>
    </row>
    <row r="201" spans="4:15">
      <c r="D201" s="19"/>
      <c r="E201" s="19"/>
      <c r="F201" s="20"/>
      <c r="G201" s="20"/>
      <c r="H201" s="17"/>
      <c r="I201" s="21"/>
      <c r="J201" s="22"/>
      <c r="K201" s="17"/>
      <c r="L201" s="23"/>
      <c r="M201" s="24"/>
      <c r="N201" s="24"/>
      <c r="O201" s="25"/>
    </row>
    <row r="202" spans="4:15">
      <c r="D202" s="19"/>
      <c r="E202" s="19"/>
      <c r="F202" s="20"/>
      <c r="G202" s="20"/>
      <c r="H202" s="17"/>
      <c r="I202" s="21"/>
      <c r="J202" s="22"/>
      <c r="K202" s="17"/>
      <c r="L202" s="23"/>
      <c r="M202" s="24"/>
      <c r="N202" s="24"/>
      <c r="O202" s="25"/>
    </row>
    <row r="203" spans="4:15">
      <c r="D203" s="19"/>
      <c r="E203" s="19"/>
      <c r="F203" s="20"/>
      <c r="G203" s="20"/>
      <c r="H203" s="17"/>
      <c r="I203" s="21"/>
      <c r="J203" s="22"/>
      <c r="K203" s="17"/>
      <c r="L203" s="23"/>
      <c r="M203" s="24"/>
      <c r="N203" s="24"/>
      <c r="O203" s="25"/>
    </row>
    <row r="204" spans="4:15">
      <c r="D204" s="19"/>
      <c r="E204" s="19"/>
      <c r="F204" s="20"/>
      <c r="G204" s="20"/>
      <c r="H204" s="17"/>
      <c r="I204" s="21"/>
      <c r="J204" s="22"/>
      <c r="K204" s="17"/>
      <c r="L204" s="23"/>
      <c r="M204" s="24"/>
      <c r="N204" s="24"/>
      <c r="O204" s="25"/>
    </row>
    <row r="205" spans="4:15">
      <c r="D205" s="19"/>
      <c r="E205" s="19"/>
      <c r="F205" s="20"/>
      <c r="G205" s="20"/>
      <c r="H205" s="17"/>
      <c r="I205" s="21"/>
      <c r="J205" s="22"/>
      <c r="K205" s="17"/>
      <c r="L205" s="23"/>
      <c r="M205" s="24"/>
      <c r="N205" s="24"/>
      <c r="O205" s="25"/>
    </row>
    <row r="206" spans="4:15">
      <c r="D206" s="19"/>
      <c r="E206" s="19"/>
      <c r="F206" s="20"/>
      <c r="G206" s="20"/>
      <c r="H206" s="17"/>
      <c r="I206" s="21"/>
      <c r="J206" s="22"/>
      <c r="K206" s="17"/>
      <c r="L206" s="23"/>
      <c r="M206" s="24"/>
      <c r="N206" s="24"/>
      <c r="O206" s="25"/>
    </row>
    <row r="207" spans="4:15">
      <c r="D207" s="19"/>
      <c r="E207" s="19"/>
      <c r="F207" s="20"/>
      <c r="G207" s="20"/>
      <c r="H207" s="17"/>
      <c r="I207" s="21"/>
      <c r="J207" s="22"/>
      <c r="K207" s="17"/>
      <c r="L207" s="23"/>
      <c r="M207" s="24"/>
      <c r="N207" s="24"/>
      <c r="O207" s="25"/>
    </row>
    <row r="208" spans="4:15">
      <c r="D208" s="19"/>
      <c r="E208" s="19"/>
      <c r="F208" s="20"/>
      <c r="G208" s="20"/>
      <c r="H208" s="17"/>
      <c r="I208" s="21"/>
      <c r="J208" s="22"/>
      <c r="K208" s="17"/>
      <c r="L208" s="23"/>
      <c r="M208" s="24"/>
      <c r="N208" s="24"/>
      <c r="O208" s="25"/>
    </row>
    <row r="209" spans="4:15">
      <c r="D209" s="19"/>
      <c r="E209" s="19"/>
      <c r="F209" s="20"/>
      <c r="G209" s="20"/>
      <c r="H209" s="17"/>
      <c r="I209" s="21"/>
      <c r="J209" s="22"/>
      <c r="K209" s="17"/>
      <c r="L209" s="23"/>
      <c r="M209" s="24"/>
      <c r="N209" s="24"/>
      <c r="O209" s="25"/>
    </row>
    <row r="210" spans="4:15">
      <c r="D210" s="19"/>
      <c r="E210" s="19"/>
      <c r="F210" s="20"/>
      <c r="G210" s="20"/>
      <c r="H210" s="17"/>
      <c r="I210" s="21"/>
      <c r="J210" s="22"/>
      <c r="K210" s="17"/>
      <c r="L210" s="23"/>
      <c r="M210" s="24"/>
      <c r="N210" s="24"/>
      <c r="O210" s="25"/>
    </row>
    <row r="211" spans="4:15">
      <c r="D211" s="19"/>
      <c r="E211" s="19"/>
      <c r="F211" s="20"/>
      <c r="G211" s="20"/>
      <c r="H211" s="17"/>
      <c r="I211" s="21"/>
      <c r="J211" s="22"/>
      <c r="K211" s="17"/>
      <c r="L211" s="23"/>
      <c r="M211" s="24"/>
      <c r="N211" s="24"/>
      <c r="O211" s="25"/>
    </row>
    <row r="212" spans="4:15">
      <c r="D212" s="19"/>
      <c r="E212" s="19"/>
      <c r="F212" s="20"/>
      <c r="G212" s="20"/>
      <c r="H212" s="17"/>
      <c r="I212" s="21"/>
      <c r="J212" s="22"/>
      <c r="K212" s="17"/>
      <c r="L212" s="23"/>
      <c r="M212" s="24"/>
      <c r="N212" s="24"/>
      <c r="O212" s="25"/>
    </row>
    <row r="213" spans="4:15">
      <c r="D213" s="19"/>
      <c r="E213" s="19"/>
      <c r="F213" s="20"/>
      <c r="G213" s="20"/>
      <c r="H213" s="17"/>
      <c r="I213" s="21"/>
      <c r="J213" s="22"/>
      <c r="K213" s="17"/>
      <c r="L213" s="23"/>
      <c r="M213" s="24"/>
      <c r="N213" s="24"/>
      <c r="O213" s="25"/>
    </row>
    <row r="214" spans="4:15">
      <c r="D214" s="19"/>
      <c r="E214" s="19"/>
      <c r="F214" s="20"/>
      <c r="G214" s="20"/>
      <c r="H214" s="17"/>
      <c r="I214" s="21"/>
      <c r="J214" s="22"/>
      <c r="K214" s="17"/>
      <c r="L214" s="23"/>
      <c r="M214" s="24"/>
      <c r="N214" s="24"/>
      <c r="O214" s="25"/>
    </row>
    <row r="215" spans="4:15">
      <c r="D215" s="19"/>
      <c r="E215" s="19"/>
      <c r="F215" s="20"/>
      <c r="G215" s="20"/>
      <c r="H215" s="17"/>
      <c r="I215" s="21"/>
      <c r="J215" s="22"/>
      <c r="K215" s="17"/>
      <c r="L215" s="23"/>
      <c r="M215" s="24"/>
      <c r="N215" s="24"/>
      <c r="O215" s="25"/>
    </row>
    <row r="216" spans="4:15">
      <c r="D216" s="19"/>
      <c r="E216" s="19"/>
      <c r="F216" s="20"/>
      <c r="G216" s="20"/>
      <c r="H216" s="17"/>
      <c r="I216" s="21"/>
      <c r="J216" s="22"/>
      <c r="K216" s="17"/>
      <c r="L216" s="23"/>
      <c r="M216" s="24"/>
      <c r="N216" s="24"/>
      <c r="O216" s="25"/>
    </row>
    <row r="217" spans="4:15">
      <c r="D217" s="19"/>
      <c r="E217" s="19"/>
      <c r="F217" s="20"/>
      <c r="G217" s="20"/>
      <c r="H217" s="17"/>
      <c r="I217" s="21"/>
      <c r="J217" s="22"/>
      <c r="K217" s="17"/>
      <c r="L217" s="23"/>
      <c r="M217" s="24"/>
      <c r="N217" s="24"/>
      <c r="O217" s="25"/>
    </row>
    <row r="218" spans="4:15">
      <c r="D218" s="19"/>
      <c r="E218" s="19"/>
      <c r="F218" s="20"/>
      <c r="G218" s="20"/>
      <c r="H218" s="17"/>
      <c r="I218" s="21"/>
      <c r="J218" s="22"/>
      <c r="K218" s="17"/>
      <c r="L218" s="23"/>
      <c r="M218" s="24"/>
      <c r="N218" s="24"/>
      <c r="O218" s="25"/>
    </row>
    <row r="219" spans="4:15">
      <c r="D219" s="19"/>
      <c r="E219" s="19"/>
      <c r="F219" s="20"/>
      <c r="G219" s="20"/>
      <c r="H219" s="17"/>
      <c r="I219" s="21"/>
      <c r="J219" s="22"/>
      <c r="K219" s="17"/>
      <c r="L219" s="23"/>
      <c r="M219" s="24"/>
      <c r="N219" s="24"/>
      <c r="O219" s="25"/>
    </row>
    <row r="220" spans="4:15">
      <c r="D220" s="19"/>
      <c r="E220" s="19"/>
      <c r="F220" s="20"/>
      <c r="G220" s="20"/>
      <c r="H220" s="17"/>
      <c r="I220" s="21"/>
      <c r="J220" s="22"/>
      <c r="K220" s="17"/>
      <c r="L220" s="23"/>
      <c r="M220" s="24"/>
      <c r="N220" s="24"/>
      <c r="O220" s="25"/>
    </row>
    <row r="221" spans="4:15">
      <c r="D221" s="19"/>
      <c r="E221" s="19"/>
      <c r="F221" s="20"/>
      <c r="G221" s="20"/>
      <c r="H221" s="17"/>
      <c r="I221" s="21"/>
      <c r="J221" s="22"/>
      <c r="K221" s="17"/>
      <c r="L221" s="23"/>
      <c r="M221" s="24"/>
      <c r="N221" s="24"/>
      <c r="O221" s="25"/>
    </row>
    <row r="222" spans="4:15">
      <c r="D222" s="19"/>
      <c r="E222" s="19"/>
      <c r="F222" s="20"/>
      <c r="G222" s="20"/>
      <c r="H222" s="17"/>
      <c r="I222" s="21"/>
      <c r="J222" s="22"/>
      <c r="K222" s="17"/>
      <c r="L222" s="23"/>
      <c r="M222" s="24"/>
      <c r="N222" s="24"/>
      <c r="O222" s="25"/>
    </row>
    <row r="223" spans="4:15">
      <c r="D223" s="19"/>
      <c r="E223" s="19"/>
      <c r="F223" s="20"/>
      <c r="G223" s="20"/>
      <c r="H223" s="17"/>
      <c r="I223" s="21"/>
      <c r="J223" s="22"/>
      <c r="K223" s="17"/>
      <c r="L223" s="23"/>
      <c r="M223" s="24"/>
      <c r="N223" s="24"/>
      <c r="O223" s="25"/>
    </row>
    <row r="224" spans="4:15">
      <c r="D224" s="19"/>
      <c r="E224" s="19"/>
      <c r="F224" s="20"/>
      <c r="G224" s="20"/>
      <c r="H224" s="17"/>
      <c r="I224" s="21"/>
      <c r="J224" s="22"/>
      <c r="K224" s="17"/>
      <c r="L224" s="23"/>
      <c r="M224" s="24"/>
      <c r="N224" s="24"/>
      <c r="O224" s="25"/>
    </row>
    <row r="225" spans="4:15">
      <c r="D225" s="19"/>
      <c r="E225" s="19"/>
      <c r="F225" s="20"/>
      <c r="G225" s="20"/>
      <c r="H225" s="17"/>
      <c r="I225" s="21"/>
      <c r="J225" s="22"/>
      <c r="K225" s="17"/>
      <c r="L225" s="23"/>
      <c r="M225" s="24"/>
      <c r="N225" s="24"/>
      <c r="O225" s="25"/>
    </row>
    <row r="226" spans="4:15">
      <c r="D226" s="19"/>
      <c r="E226" s="19"/>
      <c r="F226" s="20"/>
      <c r="G226" s="20"/>
      <c r="H226" s="17"/>
      <c r="I226" s="21"/>
      <c r="J226" s="22"/>
      <c r="K226" s="17"/>
      <c r="L226" s="23"/>
      <c r="M226" s="24"/>
      <c r="N226" s="24"/>
      <c r="O226" s="25"/>
    </row>
    <row r="227" spans="4:15">
      <c r="D227" s="19"/>
      <c r="E227" s="19"/>
      <c r="F227" s="20"/>
      <c r="G227" s="20"/>
      <c r="H227" s="17"/>
      <c r="I227" s="21"/>
      <c r="J227" s="22"/>
      <c r="K227" s="17"/>
      <c r="L227" s="23"/>
      <c r="M227" s="24"/>
      <c r="N227" s="24"/>
      <c r="O227" s="25"/>
    </row>
    <row r="228" spans="4:15">
      <c r="D228" s="19"/>
      <c r="E228" s="19"/>
      <c r="F228" s="20"/>
      <c r="G228" s="20"/>
      <c r="H228" s="17"/>
      <c r="I228" s="21"/>
      <c r="J228" s="22"/>
      <c r="K228" s="17"/>
      <c r="L228" s="23"/>
      <c r="M228" s="24"/>
      <c r="N228" s="24"/>
      <c r="O228" s="25"/>
    </row>
    <row r="229" spans="4:15">
      <c r="D229" s="19"/>
      <c r="E229" s="19"/>
      <c r="F229" s="20"/>
      <c r="G229" s="20"/>
      <c r="H229" s="17"/>
      <c r="I229" s="21"/>
      <c r="J229" s="22"/>
      <c r="K229" s="17"/>
      <c r="L229" s="23"/>
      <c r="M229" s="24"/>
      <c r="N229" s="24"/>
      <c r="O229" s="25"/>
    </row>
    <row r="230" spans="4:15">
      <c r="D230" s="19"/>
      <c r="E230" s="19"/>
      <c r="F230" s="20"/>
      <c r="G230" s="20"/>
      <c r="H230" s="17"/>
      <c r="I230" s="21"/>
      <c r="J230" s="22"/>
      <c r="K230" s="17"/>
      <c r="L230" s="23"/>
      <c r="M230" s="24"/>
      <c r="N230" s="24"/>
      <c r="O230" s="25"/>
    </row>
    <row r="231" spans="4:15">
      <c r="D231" s="19"/>
      <c r="E231" s="19"/>
      <c r="F231" s="20"/>
      <c r="G231" s="20"/>
      <c r="H231" s="17"/>
      <c r="I231" s="21"/>
      <c r="J231" s="22"/>
      <c r="K231" s="17"/>
      <c r="L231" s="23"/>
      <c r="M231" s="24"/>
      <c r="N231" s="24"/>
      <c r="O231" s="25"/>
    </row>
    <row r="232" spans="4:15">
      <c r="D232" s="19"/>
      <c r="E232" s="19"/>
      <c r="F232" s="20"/>
      <c r="G232" s="20"/>
      <c r="H232" s="17"/>
      <c r="I232" s="21"/>
      <c r="J232" s="22"/>
      <c r="K232" s="17"/>
      <c r="L232" s="23"/>
      <c r="M232" s="24"/>
      <c r="N232" s="24"/>
      <c r="O232" s="25"/>
    </row>
    <row r="233" spans="4:15">
      <c r="D233" s="19"/>
      <c r="E233" s="19"/>
      <c r="F233" s="20"/>
      <c r="G233" s="20"/>
      <c r="H233" s="17"/>
      <c r="I233" s="21"/>
      <c r="J233" s="22"/>
      <c r="K233" s="17"/>
      <c r="L233" s="23"/>
      <c r="M233" s="24"/>
      <c r="N233" s="24"/>
      <c r="O233" s="25"/>
    </row>
    <row r="234" spans="4:15">
      <c r="D234" s="19"/>
      <c r="E234" s="19"/>
      <c r="F234" s="20"/>
      <c r="G234" s="20"/>
      <c r="H234" s="17"/>
      <c r="I234" s="21"/>
      <c r="J234" s="22"/>
      <c r="K234" s="17"/>
      <c r="L234" s="23"/>
      <c r="M234" s="24"/>
      <c r="N234" s="24"/>
      <c r="O234" s="25"/>
    </row>
    <row r="235" spans="4:15">
      <c r="D235" s="19"/>
      <c r="E235" s="19"/>
      <c r="F235" s="20"/>
      <c r="G235" s="20"/>
      <c r="H235" s="17"/>
      <c r="I235" s="21"/>
      <c r="J235" s="22"/>
      <c r="K235" s="17"/>
      <c r="L235" s="23"/>
      <c r="M235" s="24"/>
      <c r="N235" s="24"/>
      <c r="O235" s="25"/>
    </row>
    <row r="236" spans="4:15">
      <c r="D236" s="19"/>
      <c r="E236" s="19"/>
      <c r="F236" s="20"/>
      <c r="G236" s="20"/>
      <c r="H236" s="17"/>
      <c r="I236" s="21"/>
      <c r="J236" s="22"/>
      <c r="K236" s="17"/>
      <c r="L236" s="23"/>
      <c r="M236" s="24"/>
      <c r="N236" s="24"/>
      <c r="O236" s="25"/>
    </row>
    <row r="237" spans="4:15">
      <c r="D237" s="19"/>
      <c r="E237" s="19"/>
      <c r="F237" s="20"/>
      <c r="G237" s="20"/>
      <c r="H237" s="17"/>
      <c r="I237" s="21"/>
      <c r="J237" s="22"/>
      <c r="K237" s="17"/>
      <c r="L237" s="23"/>
      <c r="M237" s="24"/>
      <c r="N237" s="24"/>
      <c r="O237" s="25"/>
    </row>
    <row r="238" spans="4:15">
      <c r="D238" s="19"/>
      <c r="E238" s="19"/>
      <c r="F238" s="20"/>
      <c r="G238" s="20"/>
      <c r="H238" s="17"/>
      <c r="I238" s="21"/>
      <c r="J238" s="22"/>
      <c r="K238" s="17"/>
      <c r="L238" s="23"/>
      <c r="M238" s="24"/>
      <c r="N238" s="24"/>
      <c r="O238" s="25"/>
    </row>
    <row r="239" spans="4:15">
      <c r="D239" s="19"/>
      <c r="E239" s="19"/>
      <c r="F239" s="20"/>
      <c r="G239" s="20"/>
      <c r="H239" s="17"/>
      <c r="I239" s="21"/>
      <c r="J239" s="22"/>
      <c r="K239" s="17"/>
      <c r="L239" s="23"/>
      <c r="M239" s="24"/>
      <c r="N239" s="24"/>
      <c r="O239" s="25"/>
    </row>
    <row r="240" spans="4:15">
      <c r="D240" s="19"/>
      <c r="E240" s="19"/>
      <c r="F240" s="20"/>
      <c r="G240" s="20"/>
      <c r="H240" s="17"/>
      <c r="I240" s="21"/>
      <c r="J240" s="22"/>
      <c r="K240" s="17"/>
      <c r="L240" s="23"/>
      <c r="M240" s="24"/>
      <c r="N240" s="24"/>
      <c r="O240" s="25"/>
    </row>
    <row r="241" spans="4:15">
      <c r="D241" s="19"/>
      <c r="E241" s="19"/>
      <c r="F241" s="20"/>
      <c r="G241" s="20"/>
      <c r="H241" s="17"/>
      <c r="I241" s="21"/>
      <c r="J241" s="22"/>
      <c r="K241" s="17"/>
      <c r="L241" s="23"/>
      <c r="M241" s="24"/>
      <c r="N241" s="24"/>
      <c r="O241" s="25"/>
    </row>
    <row r="242" spans="4:15">
      <c r="D242" s="19"/>
      <c r="E242" s="19"/>
      <c r="F242" s="20"/>
      <c r="G242" s="20"/>
      <c r="H242" s="17"/>
      <c r="I242" s="21"/>
      <c r="J242" s="22"/>
      <c r="K242" s="17"/>
      <c r="L242" s="23"/>
      <c r="M242" s="24"/>
      <c r="N242" s="24"/>
      <c r="O242" s="25"/>
    </row>
    <row r="243" spans="4:15">
      <c r="D243" s="19"/>
      <c r="E243" s="19"/>
      <c r="F243" s="20"/>
      <c r="G243" s="20"/>
      <c r="H243" s="17"/>
      <c r="I243" s="21"/>
      <c r="J243" s="22"/>
      <c r="K243" s="17"/>
      <c r="L243" s="23"/>
      <c r="M243" s="24"/>
      <c r="N243" s="24"/>
      <c r="O243" s="25"/>
    </row>
    <row r="244" spans="4:15">
      <c r="D244" s="19"/>
      <c r="E244" s="19"/>
      <c r="F244" s="20"/>
      <c r="G244" s="20"/>
      <c r="H244" s="17"/>
      <c r="I244" s="21"/>
      <c r="J244" s="22"/>
      <c r="K244" s="17"/>
      <c r="L244" s="23"/>
      <c r="M244" s="24"/>
      <c r="N244" s="24"/>
      <c r="O244" s="25"/>
    </row>
    <row r="245" spans="4:15">
      <c r="D245" s="19"/>
      <c r="E245" s="19"/>
      <c r="F245" s="20"/>
      <c r="G245" s="20"/>
      <c r="H245" s="17"/>
      <c r="I245" s="21"/>
      <c r="J245" s="22"/>
      <c r="K245" s="17"/>
      <c r="L245" s="23"/>
      <c r="M245" s="24"/>
      <c r="N245" s="24"/>
      <c r="O245" s="25"/>
    </row>
    <row r="246" spans="4:15">
      <c r="D246" s="19"/>
      <c r="E246" s="19"/>
      <c r="F246" s="20"/>
      <c r="G246" s="20"/>
      <c r="H246" s="17"/>
      <c r="I246" s="21"/>
      <c r="J246" s="22"/>
      <c r="K246" s="17"/>
      <c r="L246" s="23"/>
      <c r="M246" s="24"/>
      <c r="N246" s="24"/>
      <c r="O246" s="25"/>
    </row>
    <row r="247" spans="4:15">
      <c r="D247" s="19"/>
      <c r="E247" s="19"/>
      <c r="F247" s="20"/>
      <c r="G247" s="20"/>
      <c r="H247" s="17"/>
      <c r="I247" s="21"/>
      <c r="J247" s="22"/>
      <c r="K247" s="17"/>
      <c r="L247" s="23"/>
      <c r="M247" s="24"/>
      <c r="N247" s="24"/>
      <c r="O247" s="25"/>
    </row>
    <row r="248" spans="4:15">
      <c r="D248" s="19"/>
      <c r="E248" s="19"/>
      <c r="F248" s="20"/>
      <c r="G248" s="20"/>
      <c r="H248" s="17"/>
      <c r="I248" s="21"/>
      <c r="J248" s="22"/>
      <c r="K248" s="17"/>
      <c r="L248" s="23"/>
      <c r="M248" s="24"/>
      <c r="N248" s="24"/>
      <c r="O248" s="25"/>
    </row>
    <row r="249" spans="4:15">
      <c r="D249" s="19"/>
      <c r="E249" s="19"/>
      <c r="F249" s="20"/>
      <c r="G249" s="20"/>
      <c r="H249" s="17"/>
      <c r="I249" s="21"/>
      <c r="J249" s="22"/>
      <c r="K249" s="17"/>
      <c r="L249" s="23"/>
      <c r="M249" s="24"/>
      <c r="N249" s="24"/>
      <c r="O249" s="25"/>
    </row>
    <row r="250" spans="4:15">
      <c r="D250" s="19"/>
      <c r="E250" s="19"/>
      <c r="F250" s="20"/>
      <c r="G250" s="20"/>
      <c r="H250" s="17"/>
      <c r="I250" s="21"/>
      <c r="J250" s="22"/>
      <c r="K250" s="17"/>
      <c r="L250" s="23"/>
      <c r="M250" s="24"/>
      <c r="N250" s="24"/>
      <c r="O250" s="25"/>
    </row>
    <row r="251" spans="4:15">
      <c r="D251" s="19"/>
      <c r="E251" s="19"/>
      <c r="F251" s="20"/>
      <c r="G251" s="20"/>
      <c r="H251" s="17"/>
      <c r="I251" s="21"/>
      <c r="J251" s="22"/>
      <c r="K251" s="17"/>
      <c r="L251" s="23"/>
      <c r="M251" s="24"/>
      <c r="N251" s="24"/>
      <c r="O251" s="25"/>
    </row>
    <row r="252" spans="4:15">
      <c r="D252" s="19"/>
      <c r="E252" s="19"/>
      <c r="F252" s="20"/>
      <c r="G252" s="20"/>
      <c r="H252" s="17"/>
      <c r="I252" s="21"/>
      <c r="J252" s="22"/>
      <c r="K252" s="17"/>
      <c r="L252" s="23"/>
      <c r="M252" s="24"/>
      <c r="N252" s="24"/>
      <c r="O252" s="25"/>
    </row>
    <row r="253" spans="4:15">
      <c r="D253" s="19"/>
      <c r="E253" s="19"/>
      <c r="F253" s="20"/>
      <c r="G253" s="20"/>
      <c r="H253" s="17"/>
      <c r="I253" s="21"/>
      <c r="J253" s="22"/>
      <c r="K253" s="17"/>
      <c r="L253" s="23"/>
      <c r="M253" s="24"/>
      <c r="N253" s="24"/>
      <c r="O253" s="25"/>
    </row>
    <row r="254" spans="4:15">
      <c r="D254" s="19"/>
      <c r="E254" s="19"/>
      <c r="F254" s="20"/>
      <c r="G254" s="20"/>
      <c r="H254" s="17"/>
      <c r="I254" s="21"/>
      <c r="J254" s="22"/>
      <c r="K254" s="17"/>
      <c r="L254" s="23"/>
      <c r="M254" s="24"/>
      <c r="N254" s="24"/>
      <c r="O254" s="25"/>
    </row>
    <row r="255" spans="4:15">
      <c r="D255" s="19"/>
      <c r="E255" s="19"/>
      <c r="F255" s="20"/>
      <c r="G255" s="20"/>
      <c r="H255" s="17"/>
      <c r="I255" s="21"/>
      <c r="J255" s="22"/>
      <c r="K255" s="17"/>
      <c r="L255" s="23"/>
      <c r="M255" s="24"/>
      <c r="N255" s="24"/>
      <c r="O255" s="25"/>
    </row>
    <row r="256" spans="4:15">
      <c r="D256" s="19"/>
      <c r="E256" s="19"/>
      <c r="F256" s="20"/>
      <c r="G256" s="20"/>
      <c r="H256" s="17"/>
      <c r="I256" s="21"/>
      <c r="J256" s="22"/>
      <c r="K256" s="17"/>
      <c r="L256" s="23"/>
      <c r="M256" s="24"/>
      <c r="N256" s="24"/>
      <c r="O256" s="25"/>
    </row>
    <row r="257" spans="4:15">
      <c r="D257" s="19"/>
      <c r="E257" s="19"/>
      <c r="F257" s="20"/>
      <c r="G257" s="20"/>
      <c r="H257" s="17"/>
      <c r="I257" s="21"/>
      <c r="J257" s="22"/>
      <c r="K257" s="17"/>
      <c r="L257" s="23"/>
      <c r="M257" s="24"/>
      <c r="N257" s="24"/>
      <c r="O257" s="25"/>
    </row>
    <row r="258" spans="4:15">
      <c r="D258" s="19"/>
      <c r="E258" s="19"/>
      <c r="F258" s="20"/>
      <c r="G258" s="20"/>
      <c r="H258" s="17"/>
      <c r="I258" s="21"/>
      <c r="J258" s="22"/>
      <c r="K258" s="17"/>
      <c r="L258" s="23"/>
      <c r="M258" s="24"/>
      <c r="N258" s="24"/>
      <c r="O258" s="25"/>
    </row>
    <row r="259" spans="4:15">
      <c r="D259" s="19"/>
      <c r="E259" s="19"/>
      <c r="F259" s="20"/>
      <c r="G259" s="20"/>
      <c r="H259" s="17"/>
      <c r="I259" s="21"/>
      <c r="J259" s="22"/>
      <c r="K259" s="17"/>
      <c r="L259" s="23"/>
      <c r="M259" s="24"/>
      <c r="N259" s="24"/>
      <c r="O259" s="25"/>
    </row>
    <row r="260" spans="4:15">
      <c r="D260" s="19"/>
      <c r="E260" s="19"/>
      <c r="F260" s="20"/>
      <c r="G260" s="20"/>
      <c r="H260" s="17"/>
      <c r="I260" s="21"/>
      <c r="J260" s="22"/>
      <c r="K260" s="17"/>
      <c r="L260" s="23"/>
      <c r="M260" s="24"/>
      <c r="N260" s="24"/>
      <c r="O260" s="25"/>
    </row>
    <row r="261" spans="4:15">
      <c r="D261" s="19"/>
      <c r="E261" s="19"/>
      <c r="F261" s="20"/>
      <c r="G261" s="20"/>
      <c r="H261" s="17"/>
      <c r="I261" s="21"/>
      <c r="J261" s="22"/>
      <c r="K261" s="17"/>
      <c r="L261" s="23"/>
      <c r="M261" s="24"/>
      <c r="N261" s="24"/>
      <c r="O261" s="25"/>
    </row>
    <row r="262" spans="4:15">
      <c r="D262" s="19"/>
      <c r="E262" s="19"/>
      <c r="F262" s="20"/>
      <c r="G262" s="20"/>
      <c r="H262" s="17"/>
      <c r="I262" s="21"/>
      <c r="J262" s="22"/>
      <c r="K262" s="17"/>
      <c r="L262" s="23"/>
      <c r="M262" s="24"/>
      <c r="N262" s="24"/>
      <c r="O262" s="25"/>
    </row>
    <row r="263" spans="4:15">
      <c r="D263" s="19"/>
      <c r="E263" s="19"/>
      <c r="F263" s="20"/>
      <c r="G263" s="20"/>
      <c r="H263" s="17"/>
      <c r="I263" s="21"/>
      <c r="J263" s="22"/>
      <c r="K263" s="17"/>
      <c r="L263" s="23"/>
      <c r="M263" s="24"/>
      <c r="N263" s="24"/>
      <c r="O263" s="25"/>
    </row>
    <row r="264" spans="4:15">
      <c r="D264" s="19"/>
      <c r="E264" s="19"/>
      <c r="F264" s="20"/>
      <c r="G264" s="20"/>
      <c r="H264" s="17"/>
      <c r="I264" s="21"/>
      <c r="J264" s="22"/>
      <c r="K264" s="17"/>
      <c r="L264" s="23"/>
      <c r="M264" s="24"/>
      <c r="N264" s="24"/>
      <c r="O264" s="25"/>
    </row>
    <row r="265" spans="4:15">
      <c r="D265" s="19"/>
      <c r="E265" s="19"/>
      <c r="F265" s="20"/>
      <c r="G265" s="20"/>
      <c r="H265" s="17"/>
      <c r="I265" s="21"/>
      <c r="J265" s="22"/>
      <c r="K265" s="17"/>
      <c r="L265" s="23"/>
      <c r="M265" s="24"/>
      <c r="N265" s="24"/>
      <c r="O265" s="25"/>
    </row>
    <row r="266" spans="4:15">
      <c r="D266" s="19"/>
      <c r="E266" s="19"/>
      <c r="F266" s="20"/>
      <c r="G266" s="20"/>
      <c r="H266" s="17"/>
      <c r="I266" s="21"/>
      <c r="J266" s="22"/>
      <c r="K266" s="17"/>
      <c r="L266" s="23"/>
      <c r="M266" s="24"/>
      <c r="N266" s="24"/>
      <c r="O266" s="25"/>
    </row>
    <row r="267" spans="4:15">
      <c r="D267" s="19"/>
      <c r="E267" s="19"/>
      <c r="F267" s="20"/>
      <c r="G267" s="20"/>
      <c r="H267" s="17"/>
      <c r="I267" s="21"/>
      <c r="J267" s="22"/>
      <c r="K267" s="17"/>
      <c r="L267" s="23"/>
      <c r="M267" s="24"/>
      <c r="N267" s="24"/>
      <c r="O267" s="25"/>
    </row>
    <row r="268" spans="4:15">
      <c r="D268" s="19"/>
      <c r="E268" s="19"/>
      <c r="F268" s="20"/>
      <c r="G268" s="20"/>
      <c r="H268" s="17"/>
      <c r="I268" s="21"/>
      <c r="J268" s="22"/>
      <c r="K268" s="17"/>
      <c r="L268" s="23"/>
      <c r="M268" s="24"/>
      <c r="N268" s="24"/>
      <c r="O268" s="25"/>
    </row>
    <row r="269" spans="4:15">
      <c r="D269" s="19"/>
      <c r="E269" s="19"/>
      <c r="F269" s="20"/>
      <c r="G269" s="20"/>
      <c r="H269" s="17"/>
      <c r="I269" s="21"/>
      <c r="J269" s="22"/>
      <c r="K269" s="17"/>
      <c r="L269" s="23"/>
      <c r="M269" s="24"/>
      <c r="N269" s="24"/>
      <c r="O269" s="25"/>
    </row>
    <row r="270" spans="4:15">
      <c r="D270" s="19"/>
      <c r="E270" s="19"/>
      <c r="F270" s="20"/>
      <c r="G270" s="20"/>
      <c r="H270" s="17"/>
      <c r="I270" s="21"/>
      <c r="J270" s="22"/>
      <c r="K270" s="17"/>
      <c r="L270" s="23"/>
      <c r="M270" s="24"/>
      <c r="N270" s="24"/>
      <c r="O270" s="25"/>
    </row>
    <row r="271" spans="4:15">
      <c r="D271" s="19"/>
      <c r="E271" s="19"/>
      <c r="F271" s="20"/>
      <c r="G271" s="20"/>
      <c r="H271" s="17"/>
      <c r="I271" s="21"/>
      <c r="J271" s="22"/>
      <c r="K271" s="17"/>
      <c r="L271" s="23"/>
      <c r="M271" s="24"/>
      <c r="N271" s="24"/>
      <c r="O271" s="25"/>
    </row>
    <row r="272" spans="4:15">
      <c r="D272" s="19"/>
      <c r="E272" s="19"/>
      <c r="F272" s="20"/>
      <c r="G272" s="20"/>
      <c r="H272" s="17"/>
      <c r="I272" s="21"/>
      <c r="J272" s="22"/>
      <c r="K272" s="17"/>
      <c r="L272" s="23"/>
      <c r="M272" s="24"/>
      <c r="N272" s="24"/>
      <c r="O272" s="25"/>
    </row>
    <row r="273" spans="4:15">
      <c r="D273" s="19"/>
      <c r="E273" s="19"/>
      <c r="F273" s="20"/>
      <c r="G273" s="20"/>
      <c r="H273" s="17"/>
      <c r="I273" s="21"/>
      <c r="J273" s="22"/>
      <c r="K273" s="17"/>
      <c r="L273" s="23"/>
      <c r="M273" s="24"/>
      <c r="N273" s="24"/>
      <c r="O273" s="25"/>
    </row>
    <row r="274" spans="4:15">
      <c r="D274" s="19"/>
      <c r="E274" s="19"/>
      <c r="F274" s="20"/>
      <c r="G274" s="20"/>
      <c r="H274" s="17"/>
      <c r="I274" s="21"/>
      <c r="J274" s="22"/>
      <c r="K274" s="17"/>
      <c r="L274" s="23"/>
      <c r="M274" s="24"/>
      <c r="N274" s="24"/>
      <c r="O274" s="25"/>
    </row>
    <row r="275" spans="4:15">
      <c r="D275" s="19"/>
      <c r="E275" s="19"/>
      <c r="F275" s="20"/>
      <c r="G275" s="20"/>
      <c r="H275" s="17"/>
      <c r="I275" s="21"/>
      <c r="J275" s="22"/>
      <c r="K275" s="17"/>
      <c r="L275" s="23"/>
      <c r="M275" s="24"/>
      <c r="N275" s="24"/>
      <c r="O275" s="25"/>
    </row>
    <row r="276" spans="4:15">
      <c r="D276" s="19"/>
      <c r="E276" s="19"/>
      <c r="F276" s="20"/>
      <c r="G276" s="20"/>
      <c r="H276" s="17"/>
      <c r="I276" s="21"/>
      <c r="J276" s="22"/>
      <c r="K276" s="17"/>
      <c r="L276" s="23"/>
      <c r="M276" s="24"/>
      <c r="N276" s="24"/>
      <c r="O276" s="25"/>
    </row>
    <row r="277" spans="4:15">
      <c r="D277" s="19"/>
      <c r="E277" s="19"/>
      <c r="F277" s="20"/>
      <c r="G277" s="20"/>
      <c r="H277" s="17"/>
      <c r="I277" s="21"/>
      <c r="J277" s="22"/>
      <c r="K277" s="17"/>
      <c r="L277" s="23"/>
      <c r="M277" s="24"/>
      <c r="N277" s="24"/>
      <c r="O277" s="25"/>
    </row>
    <row r="278" spans="4:15">
      <c r="D278" s="19"/>
      <c r="E278" s="19"/>
      <c r="F278" s="20"/>
      <c r="G278" s="20"/>
      <c r="H278" s="17"/>
      <c r="I278" s="21"/>
      <c r="J278" s="22"/>
      <c r="K278" s="17"/>
      <c r="L278" s="23"/>
      <c r="M278" s="24"/>
      <c r="N278" s="24"/>
      <c r="O278" s="25"/>
    </row>
    <row r="279" spans="4:15">
      <c r="D279" s="19"/>
      <c r="E279" s="19"/>
      <c r="F279" s="20"/>
      <c r="G279" s="20"/>
      <c r="H279" s="17"/>
      <c r="I279" s="21"/>
      <c r="J279" s="22"/>
      <c r="K279" s="17"/>
      <c r="L279" s="23"/>
      <c r="M279" s="24"/>
      <c r="N279" s="24"/>
      <c r="O279" s="25"/>
    </row>
    <row r="280" spans="4:15">
      <c r="D280" s="19"/>
      <c r="E280" s="19"/>
      <c r="F280" s="20"/>
      <c r="G280" s="20"/>
      <c r="H280" s="17"/>
      <c r="I280" s="21"/>
      <c r="J280" s="22"/>
      <c r="K280" s="17"/>
      <c r="L280" s="23"/>
      <c r="M280" s="24"/>
      <c r="N280" s="24"/>
      <c r="O280" s="25"/>
    </row>
    <row r="281" spans="4:15">
      <c r="D281" s="19"/>
      <c r="E281" s="19"/>
      <c r="F281" s="20"/>
      <c r="G281" s="20"/>
      <c r="H281" s="17"/>
      <c r="I281" s="21"/>
      <c r="J281" s="22"/>
      <c r="K281" s="17"/>
      <c r="L281" s="23"/>
      <c r="M281" s="24"/>
      <c r="N281" s="24"/>
      <c r="O281" s="25"/>
    </row>
    <row r="282" spans="4:15">
      <c r="D282" s="19"/>
      <c r="E282" s="19"/>
      <c r="F282" s="20"/>
      <c r="G282" s="20"/>
      <c r="H282" s="17"/>
      <c r="I282" s="21"/>
      <c r="J282" s="22"/>
      <c r="K282" s="17"/>
      <c r="L282" s="23"/>
      <c r="M282" s="24"/>
      <c r="N282" s="24"/>
      <c r="O282" s="25"/>
    </row>
    <row r="283" spans="4:15">
      <c r="D283" s="19"/>
      <c r="E283" s="19"/>
      <c r="F283" s="20"/>
      <c r="G283" s="20"/>
      <c r="H283" s="17"/>
      <c r="I283" s="21"/>
      <c r="J283" s="22"/>
      <c r="K283" s="17"/>
      <c r="L283" s="23"/>
      <c r="M283" s="24"/>
      <c r="N283" s="24"/>
      <c r="O283" s="25"/>
    </row>
    <row r="284" spans="4:15">
      <c r="D284" s="19"/>
      <c r="E284" s="19"/>
      <c r="F284" s="20"/>
      <c r="G284" s="20"/>
      <c r="H284" s="17"/>
      <c r="I284" s="21"/>
      <c r="J284" s="22"/>
      <c r="K284" s="17"/>
      <c r="L284" s="23"/>
      <c r="M284" s="24"/>
      <c r="N284" s="24"/>
      <c r="O284" s="25"/>
    </row>
    <row r="285" spans="4:15">
      <c r="D285" s="19"/>
      <c r="E285" s="19"/>
      <c r="F285" s="20"/>
      <c r="G285" s="20"/>
      <c r="H285" s="17"/>
      <c r="I285" s="21"/>
      <c r="J285" s="22"/>
      <c r="K285" s="17"/>
      <c r="L285" s="23"/>
      <c r="M285" s="24"/>
      <c r="N285" s="24"/>
      <c r="O285" s="25"/>
    </row>
    <row r="286" spans="4:15">
      <c r="D286" s="19"/>
      <c r="E286" s="19"/>
      <c r="F286" s="20"/>
      <c r="G286" s="20"/>
      <c r="H286" s="17"/>
      <c r="I286" s="21"/>
      <c r="J286" s="22"/>
      <c r="K286" s="17"/>
      <c r="L286" s="23"/>
      <c r="M286" s="24"/>
      <c r="N286" s="24"/>
      <c r="O286" s="25"/>
    </row>
    <row r="287" spans="4:15">
      <c r="D287" s="19"/>
      <c r="E287" s="19"/>
      <c r="F287" s="20"/>
      <c r="G287" s="20"/>
      <c r="H287" s="17"/>
      <c r="I287" s="21"/>
      <c r="J287" s="22"/>
      <c r="K287" s="17"/>
      <c r="L287" s="23"/>
      <c r="M287" s="24"/>
      <c r="N287" s="24"/>
      <c r="O287" s="25"/>
    </row>
    <row r="288" spans="4:15">
      <c r="D288" s="19"/>
      <c r="E288" s="19"/>
      <c r="F288" s="20"/>
      <c r="G288" s="20"/>
      <c r="H288" s="17"/>
      <c r="I288" s="21"/>
      <c r="J288" s="22"/>
      <c r="K288" s="17"/>
      <c r="L288" s="23"/>
      <c r="M288" s="24"/>
      <c r="N288" s="24"/>
      <c r="O288" s="25"/>
    </row>
    <row r="289" spans="4:15">
      <c r="D289" s="19"/>
      <c r="E289" s="19"/>
      <c r="F289" s="20"/>
      <c r="G289" s="20"/>
      <c r="H289" s="17"/>
      <c r="I289" s="21"/>
      <c r="J289" s="22"/>
      <c r="K289" s="17"/>
      <c r="L289" s="23"/>
      <c r="M289" s="24"/>
      <c r="N289" s="24"/>
      <c r="O289" s="25"/>
    </row>
    <row r="290" spans="4:15">
      <c r="D290" s="19"/>
      <c r="E290" s="19"/>
      <c r="F290" s="20"/>
      <c r="G290" s="20"/>
      <c r="H290" s="17"/>
      <c r="I290" s="21"/>
      <c r="J290" s="22"/>
      <c r="K290" s="17"/>
      <c r="L290" s="23"/>
      <c r="M290" s="24"/>
      <c r="N290" s="24"/>
      <c r="O290" s="25"/>
    </row>
    <row r="291" spans="4:15">
      <c r="D291" s="19"/>
      <c r="E291" s="19"/>
      <c r="F291" s="20"/>
      <c r="G291" s="20"/>
      <c r="H291" s="17"/>
      <c r="I291" s="21"/>
      <c r="J291" s="22"/>
      <c r="K291" s="17"/>
      <c r="L291" s="23"/>
      <c r="M291" s="24"/>
      <c r="N291" s="24"/>
      <c r="O291" s="25"/>
    </row>
    <row r="292" spans="4:15">
      <c r="D292" s="19"/>
      <c r="E292" s="19"/>
      <c r="F292" s="20"/>
      <c r="G292" s="20"/>
      <c r="H292" s="17"/>
      <c r="I292" s="21"/>
      <c r="J292" s="22"/>
      <c r="K292" s="17"/>
      <c r="L292" s="23"/>
      <c r="M292" s="24"/>
      <c r="N292" s="24"/>
      <c r="O292" s="25"/>
    </row>
    <row r="293" spans="4:15">
      <c r="D293" s="19"/>
      <c r="E293" s="19"/>
      <c r="F293" s="20"/>
      <c r="G293" s="20"/>
      <c r="H293" s="17"/>
      <c r="I293" s="21"/>
      <c r="J293" s="22"/>
      <c r="K293" s="17"/>
      <c r="L293" s="23"/>
      <c r="M293" s="24"/>
      <c r="N293" s="24"/>
      <c r="O293" s="25"/>
    </row>
    <row r="294" spans="4:15">
      <c r="D294" s="19"/>
      <c r="E294" s="19"/>
      <c r="F294" s="20"/>
      <c r="G294" s="20"/>
      <c r="H294" s="17"/>
      <c r="I294" s="21"/>
      <c r="J294" s="22"/>
      <c r="K294" s="17"/>
      <c r="L294" s="23"/>
      <c r="M294" s="24"/>
      <c r="N294" s="24"/>
      <c r="O294" s="25"/>
    </row>
    <row r="295" spans="4:15">
      <c r="D295" s="19"/>
      <c r="E295" s="19"/>
      <c r="F295" s="20"/>
      <c r="G295" s="20"/>
      <c r="H295" s="17"/>
      <c r="I295" s="21"/>
      <c r="J295" s="22"/>
      <c r="K295" s="17"/>
      <c r="L295" s="23"/>
      <c r="M295" s="24"/>
      <c r="N295" s="24"/>
      <c r="O295" s="25"/>
    </row>
    <row r="296" spans="4:15">
      <c r="D296" s="19"/>
      <c r="E296" s="19"/>
      <c r="F296" s="20"/>
      <c r="G296" s="20"/>
      <c r="H296" s="17"/>
      <c r="I296" s="21"/>
      <c r="J296" s="22"/>
      <c r="K296" s="17"/>
      <c r="L296" s="23"/>
      <c r="M296" s="24"/>
      <c r="N296" s="24"/>
      <c r="O296" s="25"/>
    </row>
    <row r="297" spans="4:15">
      <c r="D297" s="19"/>
      <c r="E297" s="19"/>
      <c r="F297" s="20"/>
      <c r="G297" s="20"/>
      <c r="H297" s="17"/>
      <c r="I297" s="21"/>
      <c r="J297" s="22"/>
      <c r="K297" s="17"/>
      <c r="L297" s="23"/>
      <c r="M297" s="24"/>
      <c r="N297" s="24"/>
      <c r="O297" s="25"/>
    </row>
    <row r="298" spans="4:15">
      <c r="D298" s="19"/>
      <c r="E298" s="19"/>
      <c r="F298" s="20"/>
      <c r="G298" s="20"/>
      <c r="H298" s="17"/>
      <c r="I298" s="21"/>
      <c r="J298" s="22"/>
      <c r="K298" s="17"/>
      <c r="L298" s="23"/>
      <c r="M298" s="24"/>
      <c r="N298" s="24"/>
      <c r="O298" s="25"/>
    </row>
    <row r="299" spans="4:15">
      <c r="D299" s="19"/>
      <c r="E299" s="19"/>
      <c r="F299" s="20"/>
      <c r="G299" s="20"/>
      <c r="H299" s="17"/>
      <c r="I299" s="21"/>
      <c r="J299" s="22"/>
      <c r="K299" s="17"/>
      <c r="L299" s="23"/>
      <c r="M299" s="24"/>
      <c r="N299" s="24"/>
      <c r="O299" s="25"/>
    </row>
    <row r="300" spans="4:15">
      <c r="D300" s="19"/>
      <c r="E300" s="19"/>
      <c r="F300" s="20"/>
      <c r="G300" s="20"/>
      <c r="H300" s="17"/>
      <c r="I300" s="21"/>
      <c r="J300" s="22"/>
      <c r="K300" s="17"/>
      <c r="L300" s="23"/>
      <c r="M300" s="24"/>
      <c r="N300" s="24"/>
      <c r="O300" s="25"/>
    </row>
    <row r="301" spans="4:15">
      <c r="D301" s="19"/>
      <c r="E301" s="19"/>
      <c r="F301" s="20"/>
      <c r="G301" s="20"/>
      <c r="H301" s="17"/>
      <c r="I301" s="21"/>
      <c r="J301" s="22"/>
      <c r="K301" s="17"/>
      <c r="L301" s="23"/>
      <c r="M301" s="24"/>
      <c r="N301" s="24"/>
      <c r="O301" s="25"/>
    </row>
    <row r="302" spans="4:15">
      <c r="D302" s="19"/>
      <c r="E302" s="19"/>
      <c r="F302" s="20"/>
      <c r="G302" s="20"/>
      <c r="H302" s="17"/>
      <c r="I302" s="21"/>
      <c r="J302" s="22"/>
      <c r="K302" s="17"/>
      <c r="L302" s="23"/>
      <c r="M302" s="24"/>
      <c r="N302" s="24"/>
      <c r="O302" s="25"/>
    </row>
    <row r="303" spans="4:15">
      <c r="D303" s="19"/>
      <c r="E303" s="19"/>
      <c r="F303" s="20"/>
      <c r="G303" s="20"/>
      <c r="H303" s="17"/>
      <c r="I303" s="21"/>
      <c r="J303" s="22"/>
      <c r="K303" s="17"/>
      <c r="L303" s="23"/>
      <c r="M303" s="24"/>
      <c r="N303" s="24"/>
      <c r="O303" s="25"/>
    </row>
    <row r="304" spans="4:15">
      <c r="D304" s="19"/>
      <c r="E304" s="19"/>
      <c r="F304" s="20"/>
      <c r="G304" s="20"/>
      <c r="H304" s="17"/>
      <c r="I304" s="21"/>
      <c r="J304" s="22"/>
      <c r="K304" s="17"/>
      <c r="L304" s="23"/>
      <c r="M304" s="24"/>
      <c r="N304" s="24"/>
      <c r="O304" s="25"/>
    </row>
    <row r="305" spans="4:15">
      <c r="D305" s="19"/>
      <c r="E305" s="19"/>
      <c r="F305" s="20"/>
      <c r="G305" s="20"/>
      <c r="H305" s="17"/>
      <c r="I305" s="21"/>
      <c r="J305" s="22"/>
      <c r="K305" s="17"/>
      <c r="L305" s="23"/>
      <c r="M305" s="24"/>
      <c r="N305" s="24"/>
      <c r="O305" s="25"/>
    </row>
    <row r="306" spans="4:15">
      <c r="D306" s="19"/>
      <c r="E306" s="19"/>
      <c r="F306" s="20"/>
      <c r="G306" s="20"/>
      <c r="H306" s="17"/>
      <c r="I306" s="21"/>
      <c r="J306" s="22"/>
      <c r="K306" s="17"/>
      <c r="L306" s="23"/>
      <c r="M306" s="24"/>
      <c r="N306" s="24"/>
      <c r="O306" s="25"/>
    </row>
    <row r="307" spans="4:15">
      <c r="D307" s="19"/>
      <c r="E307" s="19"/>
      <c r="F307" s="20"/>
      <c r="G307" s="20"/>
      <c r="H307" s="17"/>
      <c r="I307" s="21"/>
      <c r="J307" s="22"/>
      <c r="K307" s="17"/>
      <c r="L307" s="23"/>
      <c r="M307" s="24"/>
      <c r="N307" s="24"/>
      <c r="O307" s="25"/>
    </row>
    <row r="308" spans="4:15">
      <c r="D308" s="19"/>
      <c r="E308" s="19"/>
      <c r="F308" s="20"/>
      <c r="G308" s="20"/>
      <c r="H308" s="17"/>
      <c r="I308" s="21"/>
      <c r="J308" s="22"/>
      <c r="K308" s="17"/>
      <c r="L308" s="23"/>
      <c r="M308" s="24"/>
      <c r="N308" s="24"/>
      <c r="O308" s="25"/>
    </row>
    <row r="309" spans="4:15">
      <c r="D309" s="19"/>
      <c r="E309" s="19"/>
      <c r="F309" s="20"/>
      <c r="G309" s="20"/>
      <c r="H309" s="17"/>
      <c r="I309" s="21"/>
      <c r="J309" s="22"/>
      <c r="K309" s="17"/>
      <c r="L309" s="23"/>
      <c r="M309" s="24"/>
      <c r="N309" s="24"/>
      <c r="O309" s="25"/>
    </row>
    <row r="310" spans="4:15">
      <c r="D310" s="19"/>
      <c r="E310" s="19"/>
      <c r="F310" s="20"/>
      <c r="G310" s="20"/>
      <c r="H310" s="17"/>
      <c r="I310" s="21"/>
      <c r="J310" s="22"/>
      <c r="K310" s="17"/>
      <c r="L310" s="23"/>
      <c r="M310" s="24"/>
      <c r="N310" s="24"/>
      <c r="O310" s="25"/>
    </row>
    <row r="311" spans="4:15">
      <c r="D311" s="19"/>
      <c r="E311" s="19"/>
      <c r="F311" s="20"/>
      <c r="G311" s="20"/>
      <c r="H311" s="17"/>
      <c r="I311" s="21"/>
      <c r="J311" s="22"/>
      <c r="K311" s="17"/>
      <c r="L311" s="23"/>
      <c r="M311" s="24"/>
      <c r="N311" s="24"/>
      <c r="O311" s="25"/>
    </row>
    <row r="312" spans="4:15">
      <c r="D312" s="19"/>
      <c r="E312" s="19"/>
      <c r="F312" s="20"/>
      <c r="G312" s="20"/>
      <c r="H312" s="17"/>
      <c r="I312" s="21"/>
      <c r="J312" s="22"/>
      <c r="K312" s="17"/>
      <c r="L312" s="23"/>
      <c r="M312" s="24"/>
      <c r="N312" s="24"/>
      <c r="O312" s="25"/>
    </row>
    <row r="313" spans="4:15">
      <c r="D313" s="19"/>
      <c r="E313" s="19"/>
      <c r="F313" s="20"/>
      <c r="G313" s="20"/>
      <c r="H313" s="17"/>
      <c r="I313" s="21"/>
      <c r="J313" s="22"/>
      <c r="K313" s="17"/>
      <c r="L313" s="23"/>
      <c r="M313" s="24"/>
      <c r="N313" s="24"/>
      <c r="O313" s="25"/>
    </row>
    <row r="314" spans="4:15">
      <c r="D314" s="19"/>
      <c r="E314" s="19"/>
      <c r="F314" s="20"/>
      <c r="G314" s="20"/>
      <c r="H314" s="17"/>
      <c r="I314" s="21"/>
      <c r="J314" s="22"/>
      <c r="K314" s="17"/>
      <c r="L314" s="23"/>
      <c r="M314" s="24"/>
      <c r="N314" s="24"/>
      <c r="O314" s="25"/>
    </row>
    <row r="315" spans="4:15">
      <c r="D315" s="19"/>
      <c r="E315" s="19"/>
      <c r="F315" s="20"/>
      <c r="G315" s="20"/>
      <c r="H315" s="17"/>
      <c r="I315" s="21"/>
      <c r="J315" s="22"/>
      <c r="K315" s="17"/>
      <c r="L315" s="23"/>
      <c r="M315" s="24"/>
      <c r="N315" s="24"/>
      <c r="O315" s="25"/>
    </row>
    <row r="316" spans="4:15">
      <c r="D316" s="19"/>
      <c r="E316" s="19"/>
      <c r="F316" s="20"/>
      <c r="G316" s="20"/>
      <c r="H316" s="17"/>
      <c r="I316" s="21"/>
      <c r="J316" s="22"/>
      <c r="K316" s="17"/>
      <c r="L316" s="23"/>
      <c r="M316" s="24"/>
      <c r="N316" s="24"/>
      <c r="O316" s="25"/>
    </row>
    <row r="317" spans="4:15">
      <c r="D317" s="19"/>
      <c r="E317" s="19"/>
      <c r="F317" s="20"/>
      <c r="G317" s="20"/>
      <c r="H317" s="17"/>
      <c r="I317" s="21"/>
      <c r="J317" s="22"/>
      <c r="K317" s="17"/>
      <c r="L317" s="23"/>
      <c r="M317" s="24"/>
      <c r="N317" s="24"/>
      <c r="O317" s="25"/>
    </row>
    <row r="318" spans="4:15">
      <c r="D318" s="19"/>
      <c r="E318" s="19"/>
      <c r="F318" s="20"/>
      <c r="G318" s="20"/>
      <c r="H318" s="17"/>
      <c r="I318" s="21"/>
      <c r="J318" s="22"/>
      <c r="K318" s="17"/>
      <c r="L318" s="23"/>
      <c r="M318" s="24"/>
      <c r="N318" s="24"/>
      <c r="O318" s="25"/>
    </row>
    <row r="319" spans="4:15">
      <c r="D319" s="19"/>
      <c r="E319" s="19"/>
      <c r="F319" s="20"/>
      <c r="G319" s="20"/>
      <c r="H319" s="17"/>
      <c r="I319" s="21"/>
      <c r="J319" s="22"/>
      <c r="K319" s="17"/>
      <c r="L319" s="23"/>
      <c r="M319" s="24"/>
      <c r="N319" s="24"/>
      <c r="O319" s="25"/>
    </row>
    <row r="320" spans="4:15">
      <c r="D320" s="19"/>
      <c r="E320" s="19"/>
      <c r="F320" s="20"/>
      <c r="G320" s="20"/>
      <c r="H320" s="17"/>
      <c r="I320" s="21"/>
      <c r="J320" s="22"/>
      <c r="K320" s="17"/>
      <c r="L320" s="23"/>
      <c r="M320" s="24"/>
      <c r="N320" s="24"/>
      <c r="O320" s="25"/>
    </row>
    <row r="321" spans="4:15">
      <c r="D321" s="19"/>
      <c r="E321" s="19"/>
      <c r="F321" s="20"/>
      <c r="G321" s="20"/>
      <c r="H321" s="17"/>
      <c r="I321" s="21"/>
      <c r="J321" s="22"/>
      <c r="K321" s="17"/>
      <c r="L321" s="23"/>
      <c r="M321" s="24"/>
      <c r="N321" s="24"/>
      <c r="O321" s="25"/>
    </row>
    <row r="322" spans="4:15">
      <c r="D322" s="19"/>
      <c r="E322" s="19"/>
      <c r="F322" s="20"/>
      <c r="G322" s="20"/>
      <c r="H322" s="17"/>
      <c r="I322" s="21"/>
      <c r="J322" s="22"/>
      <c r="K322" s="17"/>
      <c r="L322" s="23"/>
      <c r="M322" s="24"/>
      <c r="N322" s="24"/>
      <c r="O322" s="25"/>
    </row>
    <row r="323" spans="4:15">
      <c r="D323" s="19"/>
      <c r="E323" s="19"/>
      <c r="F323" s="20"/>
      <c r="G323" s="20"/>
      <c r="H323" s="17"/>
      <c r="I323" s="21"/>
      <c r="J323" s="22"/>
      <c r="K323" s="17"/>
      <c r="L323" s="23"/>
      <c r="M323" s="24"/>
      <c r="N323" s="24"/>
      <c r="O323" s="25"/>
    </row>
    <row r="324" spans="4:15">
      <c r="D324" s="19"/>
      <c r="E324" s="19"/>
      <c r="F324" s="20"/>
      <c r="G324" s="20"/>
      <c r="H324" s="17"/>
      <c r="I324" s="21"/>
      <c r="J324" s="22"/>
      <c r="K324" s="17"/>
      <c r="L324" s="23"/>
      <c r="M324" s="24"/>
      <c r="N324" s="24"/>
      <c r="O324" s="25"/>
    </row>
    <row r="325" spans="4:15">
      <c r="D325" s="19"/>
      <c r="E325" s="19"/>
      <c r="F325" s="20"/>
      <c r="G325" s="20"/>
      <c r="H325" s="17"/>
      <c r="I325" s="21"/>
      <c r="J325" s="22"/>
      <c r="K325" s="17"/>
      <c r="L325" s="23"/>
      <c r="M325" s="24"/>
      <c r="N325" s="24"/>
      <c r="O325" s="25"/>
    </row>
    <row r="326" spans="4:15">
      <c r="D326" s="19"/>
      <c r="E326" s="19"/>
      <c r="F326" s="20"/>
      <c r="G326" s="20"/>
      <c r="H326" s="17"/>
      <c r="I326" s="21"/>
      <c r="J326" s="22"/>
      <c r="K326" s="17"/>
      <c r="L326" s="23"/>
      <c r="M326" s="24"/>
      <c r="N326" s="24"/>
      <c r="O326" s="25"/>
    </row>
    <row r="327" spans="4:15">
      <c r="D327" s="19"/>
      <c r="E327" s="19"/>
      <c r="F327" s="20"/>
      <c r="G327" s="20"/>
      <c r="H327" s="17"/>
      <c r="I327" s="21"/>
      <c r="J327" s="22"/>
      <c r="K327" s="17"/>
      <c r="L327" s="23"/>
      <c r="M327" s="24"/>
      <c r="N327" s="24"/>
      <c r="O327" s="25"/>
    </row>
    <row r="328" spans="4:15">
      <c r="D328" s="19"/>
      <c r="E328" s="19"/>
      <c r="F328" s="20"/>
      <c r="G328" s="20"/>
      <c r="H328" s="17"/>
      <c r="I328" s="21"/>
      <c r="J328" s="22"/>
      <c r="K328" s="17"/>
      <c r="L328" s="23"/>
      <c r="M328" s="24"/>
      <c r="N328" s="24"/>
      <c r="O328" s="25"/>
    </row>
    <row r="329" spans="4:15">
      <c r="D329" s="19"/>
      <c r="E329" s="19"/>
      <c r="F329" s="20"/>
      <c r="G329" s="20"/>
      <c r="H329" s="17"/>
      <c r="I329" s="21"/>
      <c r="J329" s="22"/>
      <c r="K329" s="17"/>
      <c r="L329" s="23"/>
      <c r="M329" s="24"/>
      <c r="N329" s="24"/>
      <c r="O329" s="25"/>
    </row>
    <row r="330" spans="4:15">
      <c r="D330" s="19"/>
      <c r="E330" s="19"/>
      <c r="F330" s="20"/>
      <c r="G330" s="20"/>
      <c r="H330" s="17"/>
      <c r="I330" s="21"/>
      <c r="J330" s="22"/>
      <c r="K330" s="17"/>
      <c r="L330" s="23"/>
      <c r="M330" s="24"/>
      <c r="N330" s="24"/>
      <c r="O330" s="25"/>
    </row>
    <row r="331" spans="4:15">
      <c r="D331" s="19"/>
      <c r="E331" s="19"/>
      <c r="F331" s="20"/>
      <c r="G331" s="20"/>
      <c r="H331" s="17"/>
      <c r="I331" s="21"/>
      <c r="J331" s="22"/>
      <c r="K331" s="17"/>
      <c r="L331" s="23"/>
      <c r="M331" s="24"/>
      <c r="N331" s="24"/>
      <c r="O331" s="25"/>
    </row>
    <row r="332" spans="4:15">
      <c r="D332" s="19"/>
      <c r="E332" s="19"/>
      <c r="F332" s="20"/>
      <c r="G332" s="20"/>
      <c r="H332" s="17"/>
      <c r="I332" s="21"/>
      <c r="J332" s="22"/>
      <c r="K332" s="17"/>
      <c r="L332" s="23"/>
      <c r="M332" s="24"/>
      <c r="N332" s="24"/>
      <c r="O332" s="25"/>
    </row>
    <row r="333" spans="4:15">
      <c r="D333" s="19"/>
      <c r="E333" s="19"/>
      <c r="F333" s="20"/>
      <c r="G333" s="20"/>
      <c r="H333" s="17"/>
      <c r="I333" s="21"/>
      <c r="J333" s="22"/>
      <c r="K333" s="17"/>
      <c r="L333" s="23"/>
      <c r="M333" s="24"/>
      <c r="N333" s="24"/>
      <c r="O333" s="25"/>
    </row>
    <row r="334" spans="4:15">
      <c r="D334" s="19"/>
      <c r="E334" s="19"/>
      <c r="F334" s="20"/>
      <c r="G334" s="20"/>
      <c r="H334" s="17"/>
      <c r="I334" s="21"/>
      <c r="J334" s="22"/>
      <c r="K334" s="17"/>
      <c r="L334" s="23"/>
      <c r="M334" s="24"/>
      <c r="N334" s="24"/>
      <c r="O334" s="25"/>
    </row>
    <row r="335" spans="4:15">
      <c r="D335" s="19"/>
      <c r="E335" s="19"/>
      <c r="F335" s="20"/>
      <c r="G335" s="20"/>
      <c r="H335" s="17"/>
      <c r="I335" s="21"/>
      <c r="J335" s="22"/>
      <c r="K335" s="17"/>
      <c r="L335" s="23"/>
      <c r="M335" s="24"/>
      <c r="N335" s="24"/>
      <c r="O335" s="25"/>
    </row>
    <row r="336" spans="4:15">
      <c r="D336" s="19"/>
      <c r="E336" s="19"/>
      <c r="F336" s="20"/>
      <c r="G336" s="20"/>
      <c r="H336" s="17"/>
      <c r="I336" s="21"/>
      <c r="J336" s="22"/>
      <c r="K336" s="17"/>
      <c r="L336" s="23"/>
      <c r="M336" s="24"/>
      <c r="N336" s="24"/>
      <c r="O336" s="25"/>
    </row>
    <row r="337" spans="4:15">
      <c r="D337" s="19"/>
      <c r="E337" s="19"/>
      <c r="F337" s="20"/>
      <c r="G337" s="20"/>
      <c r="H337" s="17"/>
      <c r="I337" s="21"/>
      <c r="J337" s="22"/>
      <c r="K337" s="17"/>
      <c r="L337" s="23"/>
      <c r="M337" s="24"/>
      <c r="N337" s="24"/>
      <c r="O337" s="25"/>
    </row>
    <row r="338" spans="4:15">
      <c r="D338" s="19"/>
      <c r="E338" s="19"/>
      <c r="F338" s="20"/>
      <c r="G338" s="20"/>
      <c r="H338" s="17"/>
      <c r="I338" s="21"/>
      <c r="J338" s="22"/>
      <c r="K338" s="17"/>
      <c r="L338" s="23"/>
      <c r="M338" s="24"/>
      <c r="N338" s="24"/>
      <c r="O338" s="25"/>
    </row>
    <row r="339" spans="4:15">
      <c r="D339" s="19"/>
      <c r="E339" s="19"/>
      <c r="F339" s="20"/>
      <c r="G339" s="20"/>
      <c r="H339" s="17"/>
      <c r="I339" s="21"/>
      <c r="J339" s="22"/>
      <c r="K339" s="17"/>
      <c r="L339" s="23"/>
      <c r="M339" s="24"/>
      <c r="N339" s="24"/>
      <c r="O339" s="25"/>
    </row>
    <row r="340" spans="4:15">
      <c r="D340" s="19"/>
      <c r="E340" s="19"/>
      <c r="F340" s="20"/>
      <c r="G340" s="20"/>
      <c r="H340" s="17"/>
      <c r="I340" s="21"/>
      <c r="J340" s="22"/>
      <c r="K340" s="17"/>
      <c r="L340" s="23"/>
      <c r="M340" s="24"/>
      <c r="N340" s="24"/>
      <c r="O340" s="25"/>
    </row>
    <row r="341" spans="4:15">
      <c r="D341" s="19"/>
      <c r="E341" s="19"/>
      <c r="F341" s="20"/>
      <c r="G341" s="20"/>
      <c r="H341" s="17"/>
      <c r="I341" s="21"/>
      <c r="J341" s="22"/>
      <c r="K341" s="17"/>
      <c r="L341" s="23"/>
      <c r="M341" s="24"/>
      <c r="N341" s="24"/>
      <c r="O341" s="25"/>
    </row>
    <row r="342" spans="4:15">
      <c r="D342" s="19"/>
      <c r="E342" s="19"/>
      <c r="F342" s="20"/>
      <c r="G342" s="20"/>
      <c r="H342" s="17"/>
      <c r="I342" s="21"/>
      <c r="J342" s="22"/>
      <c r="K342" s="17"/>
      <c r="L342" s="23"/>
      <c r="M342" s="24"/>
      <c r="N342" s="24"/>
      <c r="O342" s="25"/>
    </row>
    <row r="343" spans="4:15">
      <c r="D343" s="19"/>
      <c r="E343" s="19"/>
      <c r="F343" s="20"/>
      <c r="G343" s="20"/>
      <c r="H343" s="17"/>
      <c r="I343" s="21"/>
      <c r="J343" s="22"/>
      <c r="K343" s="17"/>
      <c r="L343" s="23"/>
      <c r="M343" s="24"/>
      <c r="N343" s="24"/>
      <c r="O343" s="25"/>
    </row>
    <row r="344" spans="4:15">
      <c r="D344" s="19"/>
      <c r="E344" s="19"/>
      <c r="F344" s="20"/>
      <c r="G344" s="20"/>
      <c r="H344" s="17"/>
      <c r="I344" s="21"/>
      <c r="J344" s="22"/>
      <c r="K344" s="17"/>
      <c r="L344" s="23"/>
      <c r="M344" s="24"/>
      <c r="N344" s="24"/>
      <c r="O344" s="25"/>
    </row>
    <row r="345" spans="4:15">
      <c r="D345" s="19"/>
      <c r="E345" s="19"/>
      <c r="F345" s="20"/>
      <c r="G345" s="20"/>
      <c r="H345" s="17"/>
      <c r="I345" s="21"/>
      <c r="J345" s="22"/>
      <c r="K345" s="17"/>
      <c r="L345" s="23"/>
      <c r="M345" s="24"/>
      <c r="N345" s="24"/>
      <c r="O345" s="25"/>
    </row>
    <row r="346" spans="4:15">
      <c r="D346" s="19"/>
      <c r="E346" s="19"/>
      <c r="F346" s="20"/>
      <c r="G346" s="20"/>
      <c r="H346" s="17"/>
      <c r="I346" s="21"/>
      <c r="J346" s="22"/>
      <c r="K346" s="17"/>
      <c r="L346" s="23"/>
      <c r="M346" s="24"/>
      <c r="N346" s="24"/>
      <c r="O346" s="25"/>
    </row>
    <row r="347" spans="4:15">
      <c r="D347" s="19"/>
      <c r="E347" s="19"/>
      <c r="F347" s="20"/>
      <c r="G347" s="20"/>
      <c r="H347" s="17"/>
      <c r="I347" s="21"/>
      <c r="J347" s="22"/>
      <c r="K347" s="17"/>
      <c r="L347" s="23"/>
      <c r="M347" s="24"/>
      <c r="N347" s="24"/>
      <c r="O347" s="25"/>
    </row>
    <row r="348" spans="4:15">
      <c r="D348" s="19"/>
      <c r="E348" s="19"/>
      <c r="F348" s="20"/>
      <c r="G348" s="20"/>
      <c r="H348" s="17"/>
      <c r="I348" s="21"/>
      <c r="J348" s="22"/>
      <c r="K348" s="17"/>
      <c r="L348" s="23"/>
      <c r="M348" s="24"/>
      <c r="N348" s="24"/>
      <c r="O348" s="25"/>
    </row>
    <row r="349" spans="4:15">
      <c r="D349" s="19"/>
      <c r="E349" s="19"/>
      <c r="F349" s="20"/>
      <c r="G349" s="20"/>
      <c r="H349" s="17"/>
      <c r="I349" s="21"/>
      <c r="J349" s="22"/>
      <c r="K349" s="17"/>
      <c r="L349" s="23"/>
      <c r="M349" s="24"/>
      <c r="N349" s="24"/>
      <c r="O349" s="25"/>
    </row>
    <row r="350" spans="4:15">
      <c r="D350" s="19"/>
      <c r="E350" s="19"/>
      <c r="F350" s="20"/>
      <c r="G350" s="20"/>
      <c r="H350" s="17"/>
      <c r="I350" s="21"/>
      <c r="J350" s="22"/>
      <c r="K350" s="17"/>
      <c r="L350" s="23"/>
      <c r="M350" s="24"/>
      <c r="N350" s="24"/>
      <c r="O350" s="25"/>
    </row>
    <row r="351" spans="4:15">
      <c r="D351" s="19"/>
      <c r="E351" s="19"/>
      <c r="F351" s="20"/>
      <c r="G351" s="20"/>
      <c r="H351" s="17"/>
      <c r="I351" s="21"/>
      <c r="J351" s="22"/>
      <c r="K351" s="17"/>
      <c r="L351" s="23"/>
      <c r="M351" s="24"/>
      <c r="N351" s="24"/>
      <c r="O351" s="25"/>
    </row>
    <row r="352" spans="4:15">
      <c r="D352" s="19"/>
      <c r="E352" s="19"/>
      <c r="F352" s="20"/>
      <c r="G352" s="20"/>
      <c r="H352" s="17"/>
      <c r="I352" s="21"/>
      <c r="J352" s="22"/>
      <c r="K352" s="17"/>
      <c r="L352" s="23"/>
      <c r="M352" s="24"/>
      <c r="N352" s="24"/>
      <c r="O352" s="25"/>
    </row>
    <row r="353" spans="4:15">
      <c r="D353" s="19"/>
      <c r="E353" s="19"/>
      <c r="F353" s="20"/>
      <c r="G353" s="20"/>
      <c r="H353" s="17"/>
      <c r="I353" s="21"/>
      <c r="J353" s="22"/>
      <c r="K353" s="17"/>
      <c r="L353" s="23"/>
      <c r="M353" s="24"/>
      <c r="N353" s="24"/>
      <c r="O353" s="25"/>
    </row>
    <row r="354" spans="4:15">
      <c r="D354" s="19"/>
      <c r="E354" s="19"/>
      <c r="F354" s="20"/>
      <c r="G354" s="20"/>
      <c r="H354" s="17"/>
      <c r="I354" s="21"/>
      <c r="J354" s="22"/>
      <c r="K354" s="17"/>
      <c r="L354" s="23"/>
      <c r="M354" s="24"/>
      <c r="N354" s="24"/>
      <c r="O354" s="25"/>
    </row>
    <row r="355" spans="4:15">
      <c r="D355" s="19"/>
      <c r="E355" s="19"/>
      <c r="F355" s="20"/>
      <c r="G355" s="20"/>
      <c r="H355" s="17"/>
      <c r="I355" s="21"/>
      <c r="J355" s="22"/>
      <c r="K355" s="17"/>
      <c r="L355" s="23"/>
      <c r="M355" s="24"/>
      <c r="N355" s="24"/>
      <c r="O355" s="25"/>
    </row>
    <row r="356" spans="4:15">
      <c r="D356" s="19"/>
      <c r="E356" s="19"/>
      <c r="F356" s="20"/>
      <c r="G356" s="20"/>
      <c r="H356" s="17"/>
      <c r="I356" s="21"/>
      <c r="J356" s="22"/>
      <c r="K356" s="17"/>
      <c r="L356" s="23"/>
      <c r="M356" s="24"/>
      <c r="N356" s="24"/>
      <c r="O356" s="25"/>
    </row>
    <row r="357" spans="4:15">
      <c r="D357" s="19"/>
      <c r="E357" s="19"/>
      <c r="F357" s="20"/>
      <c r="G357" s="20"/>
      <c r="H357" s="17"/>
      <c r="I357" s="21"/>
      <c r="J357" s="22"/>
      <c r="K357" s="17"/>
      <c r="L357" s="23"/>
      <c r="M357" s="24"/>
      <c r="N357" s="24"/>
      <c r="O357" s="25"/>
    </row>
    <row r="358" spans="4:15">
      <c r="D358" s="19"/>
      <c r="E358" s="19"/>
      <c r="F358" s="20"/>
      <c r="G358" s="20"/>
      <c r="H358" s="17"/>
      <c r="I358" s="21"/>
      <c r="J358" s="22"/>
      <c r="K358" s="17"/>
      <c r="L358" s="23"/>
      <c r="M358" s="24"/>
      <c r="N358" s="24"/>
      <c r="O358" s="25"/>
    </row>
    <row r="359" spans="4:15">
      <c r="D359" s="19"/>
      <c r="E359" s="19"/>
      <c r="F359" s="20"/>
      <c r="G359" s="20"/>
      <c r="H359" s="17"/>
      <c r="I359" s="21"/>
      <c r="J359" s="22"/>
      <c r="K359" s="17"/>
      <c r="L359" s="23"/>
      <c r="M359" s="24"/>
      <c r="N359" s="24"/>
      <c r="O359" s="25"/>
    </row>
    <row r="360" spans="4:15">
      <c r="D360" s="19"/>
      <c r="E360" s="19"/>
      <c r="F360" s="20"/>
      <c r="G360" s="20"/>
      <c r="H360" s="17"/>
      <c r="I360" s="21"/>
      <c r="J360" s="22"/>
      <c r="K360" s="17"/>
      <c r="L360" s="23"/>
      <c r="M360" s="24"/>
      <c r="N360" s="24"/>
      <c r="O360" s="25"/>
    </row>
    <row r="361" spans="4:15">
      <c r="D361" s="19"/>
      <c r="E361" s="19"/>
      <c r="F361" s="20"/>
      <c r="G361" s="20"/>
      <c r="H361" s="17"/>
      <c r="I361" s="21"/>
      <c r="J361" s="22"/>
      <c r="K361" s="17"/>
      <c r="L361" s="23"/>
      <c r="M361" s="24"/>
      <c r="N361" s="24"/>
      <c r="O361" s="25"/>
    </row>
    <row r="362" spans="4:15">
      <c r="D362" s="19"/>
      <c r="E362" s="19"/>
      <c r="F362" s="20"/>
      <c r="G362" s="20"/>
      <c r="H362" s="17"/>
      <c r="I362" s="21"/>
      <c r="J362" s="22"/>
      <c r="K362" s="17"/>
      <c r="L362" s="23"/>
      <c r="M362" s="24"/>
      <c r="N362" s="24"/>
      <c r="O362" s="25"/>
    </row>
    <row r="363" spans="4:15">
      <c r="D363" s="19"/>
      <c r="E363" s="19"/>
      <c r="F363" s="20"/>
      <c r="G363" s="20"/>
      <c r="H363" s="17"/>
      <c r="I363" s="21"/>
      <c r="J363" s="22"/>
      <c r="K363" s="17"/>
      <c r="L363" s="23"/>
      <c r="M363" s="24"/>
      <c r="N363" s="24"/>
      <c r="O363" s="25"/>
    </row>
    <row r="364" spans="4:15">
      <c r="D364" s="19"/>
      <c r="E364" s="19"/>
      <c r="F364" s="20"/>
      <c r="G364" s="20"/>
      <c r="H364" s="17"/>
      <c r="I364" s="21"/>
      <c r="J364" s="22"/>
      <c r="K364" s="17"/>
      <c r="L364" s="23"/>
      <c r="M364" s="24"/>
      <c r="N364" s="24"/>
      <c r="O364" s="25"/>
    </row>
    <row r="365" spans="4:15">
      <c r="D365" s="19"/>
      <c r="E365" s="19"/>
      <c r="F365" s="20"/>
      <c r="G365" s="20"/>
      <c r="H365" s="17"/>
      <c r="I365" s="21"/>
      <c r="J365" s="22"/>
      <c r="K365" s="17"/>
      <c r="L365" s="23"/>
      <c r="M365" s="24"/>
      <c r="N365" s="24"/>
      <c r="O365" s="25"/>
    </row>
    <row r="366" spans="4:15">
      <c r="D366" s="19"/>
      <c r="E366" s="19"/>
      <c r="F366" s="20"/>
      <c r="G366" s="20"/>
      <c r="H366" s="17"/>
      <c r="I366" s="21"/>
      <c r="J366" s="22"/>
      <c r="K366" s="17"/>
      <c r="L366" s="23"/>
      <c r="M366" s="24"/>
      <c r="N366" s="24"/>
      <c r="O366" s="25"/>
    </row>
    <row r="367" spans="4:15">
      <c r="D367" s="19"/>
      <c r="E367" s="19"/>
      <c r="F367" s="20"/>
      <c r="G367" s="20"/>
      <c r="H367" s="17"/>
      <c r="I367" s="21"/>
      <c r="J367" s="22"/>
      <c r="K367" s="17"/>
      <c r="L367" s="23"/>
      <c r="M367" s="24"/>
      <c r="N367" s="24"/>
      <c r="O367" s="25"/>
    </row>
    <row r="368" spans="4:15">
      <c r="D368" s="19"/>
      <c r="E368" s="19"/>
      <c r="F368" s="20"/>
      <c r="G368" s="20"/>
      <c r="H368" s="17"/>
      <c r="I368" s="21"/>
      <c r="J368" s="22"/>
      <c r="K368" s="17"/>
      <c r="L368" s="23"/>
      <c r="M368" s="24"/>
      <c r="N368" s="24"/>
      <c r="O368" s="25"/>
    </row>
    <row r="369" spans="4:15">
      <c r="D369" s="19"/>
      <c r="E369" s="19"/>
      <c r="F369" s="20"/>
      <c r="G369" s="20"/>
      <c r="H369" s="17"/>
      <c r="I369" s="21"/>
      <c r="J369" s="22"/>
      <c r="K369" s="17"/>
      <c r="L369" s="23"/>
      <c r="M369" s="24"/>
      <c r="N369" s="24"/>
      <c r="O369" s="25"/>
    </row>
    <row r="370" spans="4:15">
      <c r="D370" s="19"/>
      <c r="E370" s="19"/>
      <c r="F370" s="20"/>
      <c r="G370" s="20"/>
      <c r="H370" s="17"/>
      <c r="I370" s="21"/>
      <c r="J370" s="22"/>
      <c r="K370" s="17"/>
      <c r="L370" s="23"/>
      <c r="M370" s="24"/>
      <c r="N370" s="24"/>
      <c r="O370" s="25"/>
    </row>
    <row r="371" spans="4:15">
      <c r="D371" s="19"/>
      <c r="E371" s="19"/>
      <c r="F371" s="20"/>
      <c r="G371" s="20"/>
      <c r="H371" s="17"/>
      <c r="I371" s="21"/>
      <c r="J371" s="22"/>
      <c r="K371" s="17"/>
      <c r="L371" s="23"/>
      <c r="M371" s="24"/>
      <c r="N371" s="24"/>
      <c r="O371" s="25"/>
    </row>
    <row r="372" spans="4:15">
      <c r="D372" s="19"/>
      <c r="E372" s="19"/>
      <c r="F372" s="20"/>
      <c r="G372" s="20"/>
      <c r="H372" s="17"/>
      <c r="I372" s="21"/>
      <c r="J372" s="22"/>
      <c r="K372" s="17"/>
      <c r="L372" s="23"/>
      <c r="M372" s="24"/>
      <c r="N372" s="24"/>
      <c r="O372" s="25"/>
    </row>
    <row r="373" spans="4:15">
      <c r="D373" s="19"/>
      <c r="E373" s="19"/>
      <c r="F373" s="20"/>
      <c r="G373" s="20"/>
      <c r="H373" s="17"/>
      <c r="I373" s="21"/>
      <c r="J373" s="22"/>
      <c r="K373" s="17"/>
      <c r="L373" s="23"/>
      <c r="M373" s="24"/>
      <c r="N373" s="24"/>
      <c r="O373" s="25"/>
    </row>
    <row r="374" spans="4:15">
      <c r="D374" s="19"/>
      <c r="E374" s="19"/>
      <c r="F374" s="20"/>
      <c r="G374" s="20"/>
      <c r="H374" s="17"/>
      <c r="I374" s="21"/>
      <c r="J374" s="22"/>
      <c r="K374" s="17"/>
      <c r="L374" s="23"/>
      <c r="M374" s="24"/>
      <c r="N374" s="24"/>
      <c r="O374" s="25"/>
    </row>
    <row r="375" spans="4:15">
      <c r="D375" s="19"/>
      <c r="E375" s="19"/>
      <c r="F375" s="20"/>
      <c r="G375" s="20"/>
      <c r="H375" s="17"/>
      <c r="I375" s="21"/>
      <c r="J375" s="22"/>
      <c r="K375" s="17"/>
      <c r="L375" s="23"/>
      <c r="M375" s="24"/>
      <c r="N375" s="24"/>
      <c r="O375" s="25"/>
    </row>
    <row r="376" spans="4:15">
      <c r="D376" s="19"/>
      <c r="E376" s="19"/>
      <c r="F376" s="20"/>
      <c r="G376" s="20"/>
      <c r="H376" s="17"/>
      <c r="I376" s="21"/>
      <c r="J376" s="22"/>
      <c r="K376" s="17"/>
      <c r="L376" s="23"/>
      <c r="M376" s="24"/>
      <c r="N376" s="24"/>
      <c r="O376" s="25"/>
    </row>
    <row r="377" spans="4:15">
      <c r="D377" s="19"/>
      <c r="E377" s="19"/>
      <c r="F377" s="20"/>
      <c r="G377" s="20"/>
      <c r="H377" s="17"/>
      <c r="I377" s="21"/>
      <c r="J377" s="22"/>
      <c r="K377" s="17"/>
      <c r="L377" s="23"/>
      <c r="M377" s="24"/>
      <c r="N377" s="24"/>
      <c r="O377" s="25"/>
    </row>
    <row r="378" spans="4:15">
      <c r="D378" s="19"/>
      <c r="E378" s="19"/>
      <c r="F378" s="20"/>
      <c r="G378" s="20"/>
      <c r="H378" s="17"/>
      <c r="I378" s="21"/>
      <c r="J378" s="22"/>
      <c r="K378" s="17"/>
      <c r="L378" s="23"/>
      <c r="M378" s="24"/>
      <c r="N378" s="24"/>
      <c r="O378" s="25"/>
    </row>
    <row r="379" spans="4:15">
      <c r="D379" s="19"/>
      <c r="E379" s="19"/>
      <c r="F379" s="20"/>
      <c r="G379" s="20"/>
      <c r="H379" s="17"/>
      <c r="I379" s="21"/>
      <c r="J379" s="22"/>
      <c r="K379" s="17"/>
      <c r="L379" s="23"/>
      <c r="M379" s="24"/>
      <c r="N379" s="24"/>
      <c r="O379" s="25"/>
    </row>
    <row r="380" spans="4:15">
      <c r="D380" s="19"/>
      <c r="E380" s="19"/>
      <c r="F380" s="20"/>
      <c r="G380" s="20"/>
      <c r="H380" s="17"/>
      <c r="I380" s="21"/>
      <c r="J380" s="22"/>
      <c r="K380" s="17"/>
      <c r="L380" s="23"/>
      <c r="M380" s="24"/>
      <c r="N380" s="24"/>
      <c r="O380" s="25"/>
    </row>
    <row r="381" spans="4:15">
      <c r="D381" s="19"/>
      <c r="E381" s="19"/>
      <c r="F381" s="20"/>
      <c r="G381" s="20"/>
      <c r="H381" s="17"/>
      <c r="I381" s="21"/>
      <c r="J381" s="22"/>
      <c r="K381" s="17"/>
      <c r="L381" s="23"/>
      <c r="M381" s="24"/>
      <c r="N381" s="24"/>
      <c r="O381" s="25"/>
    </row>
    <row r="382" spans="4:15">
      <c r="D382" s="19"/>
      <c r="E382" s="19"/>
      <c r="F382" s="20"/>
      <c r="G382" s="20"/>
      <c r="H382" s="17"/>
      <c r="I382" s="21"/>
      <c r="J382" s="22"/>
      <c r="K382" s="17"/>
      <c r="L382" s="23"/>
      <c r="M382" s="24"/>
      <c r="N382" s="24"/>
      <c r="O382" s="25"/>
    </row>
    <row r="383" spans="4:15">
      <c r="D383" s="19"/>
      <c r="E383" s="19"/>
      <c r="F383" s="20"/>
      <c r="G383" s="20"/>
      <c r="H383" s="17"/>
      <c r="I383" s="21"/>
      <c r="J383" s="22"/>
      <c r="K383" s="17"/>
      <c r="L383" s="23"/>
      <c r="M383" s="24"/>
      <c r="N383" s="24"/>
      <c r="O383" s="25"/>
    </row>
    <row r="384" spans="4:15">
      <c r="D384" s="19"/>
      <c r="E384" s="19"/>
      <c r="F384" s="20"/>
      <c r="G384" s="20"/>
      <c r="H384" s="17"/>
      <c r="I384" s="21"/>
      <c r="J384" s="22"/>
      <c r="K384" s="17"/>
      <c r="L384" s="23"/>
      <c r="M384" s="24"/>
      <c r="N384" s="24"/>
      <c r="O384" s="25"/>
    </row>
    <row r="385" spans="4:15">
      <c r="D385" s="19"/>
      <c r="E385" s="19"/>
      <c r="F385" s="20"/>
      <c r="G385" s="20"/>
      <c r="H385" s="17"/>
      <c r="I385" s="21"/>
      <c r="J385" s="22"/>
      <c r="K385" s="17"/>
      <c r="L385" s="23"/>
      <c r="M385" s="24"/>
      <c r="N385" s="24"/>
      <c r="O385" s="25"/>
    </row>
    <row r="386" spans="4:15">
      <c r="D386" s="19"/>
      <c r="E386" s="19"/>
      <c r="F386" s="20"/>
      <c r="G386" s="20"/>
      <c r="H386" s="17"/>
      <c r="I386" s="21"/>
      <c r="J386" s="22"/>
      <c r="K386" s="17"/>
      <c r="L386" s="23"/>
      <c r="M386" s="24"/>
      <c r="N386" s="24"/>
      <c r="O386" s="25"/>
    </row>
    <row r="387" spans="4:15">
      <c r="D387" s="19"/>
      <c r="E387" s="19"/>
      <c r="F387" s="20"/>
      <c r="G387" s="20"/>
      <c r="H387" s="17"/>
      <c r="I387" s="21"/>
      <c r="J387" s="22"/>
      <c r="K387" s="17"/>
      <c r="L387" s="23"/>
      <c r="M387" s="24"/>
      <c r="N387" s="24"/>
      <c r="O387" s="25"/>
    </row>
    <row r="388" spans="4:15">
      <c r="D388" s="19"/>
      <c r="E388" s="19"/>
      <c r="F388" s="20"/>
      <c r="G388" s="20"/>
      <c r="H388" s="17"/>
      <c r="I388" s="21"/>
      <c r="J388" s="22"/>
      <c r="K388" s="17"/>
      <c r="L388" s="23"/>
      <c r="M388" s="24"/>
      <c r="N388" s="24"/>
      <c r="O388" s="25"/>
    </row>
    <row r="389" spans="4:15">
      <c r="D389" s="19"/>
      <c r="E389" s="19"/>
      <c r="F389" s="20"/>
      <c r="G389" s="20"/>
      <c r="H389" s="17"/>
      <c r="I389" s="21"/>
      <c r="J389" s="22"/>
      <c r="K389" s="17"/>
      <c r="L389" s="23"/>
      <c r="M389" s="24"/>
      <c r="N389" s="24"/>
      <c r="O389" s="25"/>
    </row>
    <row r="390" spans="4:15">
      <c r="D390" s="19"/>
      <c r="E390" s="19"/>
      <c r="F390" s="20"/>
      <c r="G390" s="20"/>
      <c r="H390" s="17"/>
      <c r="I390" s="21"/>
      <c r="J390" s="22"/>
      <c r="K390" s="17"/>
      <c r="L390" s="23"/>
      <c r="M390" s="24"/>
      <c r="N390" s="24"/>
      <c r="O390" s="25"/>
    </row>
    <row r="391" spans="4:15">
      <c r="D391" s="19"/>
      <c r="E391" s="19"/>
      <c r="F391" s="20"/>
      <c r="G391" s="20"/>
      <c r="H391" s="17"/>
      <c r="I391" s="21"/>
      <c r="J391" s="22"/>
      <c r="K391" s="17"/>
      <c r="L391" s="23"/>
      <c r="M391" s="24"/>
      <c r="N391" s="24"/>
      <c r="O391" s="25"/>
    </row>
    <row r="392" spans="4:15">
      <c r="D392" s="19"/>
      <c r="E392" s="19"/>
      <c r="F392" s="20"/>
      <c r="G392" s="20"/>
      <c r="H392" s="17"/>
      <c r="I392" s="21"/>
      <c r="J392" s="22"/>
      <c r="K392" s="17"/>
      <c r="L392" s="23"/>
      <c r="M392" s="24"/>
      <c r="N392" s="24"/>
      <c r="O392" s="25"/>
    </row>
    <row r="393" spans="4:15">
      <c r="D393" s="19"/>
      <c r="E393" s="19"/>
      <c r="F393" s="20"/>
      <c r="G393" s="20"/>
      <c r="H393" s="17"/>
      <c r="I393" s="21"/>
      <c r="J393" s="22"/>
      <c r="K393" s="17"/>
      <c r="L393" s="23"/>
      <c r="M393" s="24"/>
      <c r="N393" s="24"/>
      <c r="O393" s="25"/>
    </row>
    <row r="394" spans="4:15">
      <c r="D394" s="19"/>
      <c r="E394" s="19"/>
      <c r="F394" s="20"/>
      <c r="G394" s="20"/>
      <c r="H394" s="17"/>
      <c r="I394" s="21"/>
      <c r="J394" s="22"/>
      <c r="K394" s="17"/>
      <c r="L394" s="23"/>
      <c r="M394" s="24"/>
      <c r="N394" s="24"/>
      <c r="O394" s="25"/>
    </row>
    <row r="395" spans="4:15">
      <c r="D395" s="19"/>
      <c r="E395" s="19"/>
      <c r="F395" s="20"/>
      <c r="G395" s="20"/>
      <c r="H395" s="17"/>
      <c r="I395" s="21"/>
      <c r="J395" s="22"/>
      <c r="K395" s="17"/>
      <c r="L395" s="23"/>
      <c r="M395" s="24"/>
      <c r="N395" s="24"/>
      <c r="O395" s="25"/>
    </row>
    <row r="396" spans="4:15">
      <c r="D396" s="19"/>
      <c r="E396" s="19"/>
      <c r="F396" s="20"/>
      <c r="G396" s="20"/>
      <c r="H396" s="17"/>
      <c r="I396" s="21"/>
      <c r="J396" s="22"/>
      <c r="K396" s="17"/>
      <c r="L396" s="23"/>
      <c r="M396" s="24"/>
      <c r="N396" s="24"/>
      <c r="O396" s="25"/>
    </row>
    <row r="397" spans="4:15">
      <c r="D397" s="19"/>
      <c r="E397" s="19"/>
      <c r="F397" s="20"/>
      <c r="G397" s="20"/>
      <c r="H397" s="17"/>
      <c r="I397" s="21"/>
      <c r="J397" s="22"/>
      <c r="K397" s="17"/>
      <c r="L397" s="23"/>
      <c r="M397" s="24"/>
      <c r="N397" s="24"/>
      <c r="O397" s="25"/>
    </row>
    <row r="398" spans="4:15">
      <c r="D398" s="19"/>
      <c r="E398" s="19"/>
      <c r="F398" s="20"/>
      <c r="G398" s="20"/>
      <c r="H398" s="17"/>
      <c r="I398" s="21"/>
      <c r="J398" s="22"/>
      <c r="K398" s="17"/>
      <c r="L398" s="23"/>
      <c r="M398" s="24"/>
      <c r="N398" s="24"/>
      <c r="O398" s="25"/>
    </row>
    <row r="399" spans="4:15">
      <c r="D399" s="19"/>
      <c r="E399" s="19"/>
      <c r="F399" s="20"/>
      <c r="G399" s="20"/>
      <c r="H399" s="17"/>
      <c r="I399" s="21"/>
      <c r="J399" s="22"/>
      <c r="K399" s="17"/>
      <c r="L399" s="23"/>
      <c r="M399" s="24"/>
      <c r="N399" s="24"/>
      <c r="O399" s="25"/>
    </row>
    <row r="400" spans="4:15">
      <c r="D400" s="19"/>
      <c r="E400" s="19"/>
      <c r="F400" s="20"/>
      <c r="G400" s="20"/>
      <c r="H400" s="17"/>
      <c r="I400" s="21"/>
      <c r="J400" s="22"/>
      <c r="K400" s="17"/>
      <c r="L400" s="23"/>
      <c r="M400" s="24"/>
      <c r="N400" s="24"/>
      <c r="O400" s="25"/>
    </row>
    <row r="401" spans="4:15">
      <c r="D401" s="19"/>
      <c r="E401" s="19"/>
      <c r="F401" s="20"/>
      <c r="G401" s="20"/>
      <c r="H401" s="17"/>
      <c r="I401" s="21"/>
      <c r="J401" s="22"/>
      <c r="K401" s="17"/>
      <c r="L401" s="23"/>
      <c r="M401" s="24"/>
      <c r="N401" s="24"/>
      <c r="O401" s="25"/>
    </row>
    <row r="402" spans="4:15">
      <c r="D402" s="19"/>
      <c r="E402" s="19"/>
      <c r="F402" s="20"/>
      <c r="G402" s="20"/>
      <c r="H402" s="17"/>
      <c r="I402" s="21"/>
      <c r="J402" s="22"/>
      <c r="K402" s="17"/>
      <c r="L402" s="23"/>
      <c r="M402" s="24"/>
      <c r="N402" s="24"/>
      <c r="O402" s="25"/>
    </row>
    <row r="403" spans="4:15">
      <c r="D403" s="19"/>
      <c r="E403" s="19"/>
      <c r="F403" s="20"/>
      <c r="G403" s="20"/>
      <c r="H403" s="17"/>
      <c r="I403" s="21"/>
      <c r="J403" s="22"/>
      <c r="K403" s="17"/>
      <c r="L403" s="23"/>
      <c r="M403" s="24"/>
      <c r="N403" s="24"/>
      <c r="O403" s="25"/>
    </row>
    <row r="404" spans="4:15">
      <c r="D404" s="19"/>
      <c r="E404" s="19"/>
      <c r="F404" s="20"/>
      <c r="G404" s="20"/>
      <c r="H404" s="17"/>
      <c r="I404" s="21"/>
      <c r="J404" s="22"/>
      <c r="K404" s="17"/>
      <c r="L404" s="23"/>
      <c r="M404" s="24"/>
      <c r="N404" s="24"/>
      <c r="O404" s="25"/>
    </row>
    <row r="405" spans="4:15">
      <c r="D405" s="19"/>
      <c r="E405" s="19"/>
      <c r="F405" s="20"/>
      <c r="G405" s="20"/>
      <c r="H405" s="17"/>
      <c r="I405" s="21"/>
      <c r="J405" s="22"/>
      <c r="K405" s="17"/>
      <c r="L405" s="23"/>
      <c r="M405" s="24"/>
      <c r="N405" s="24"/>
      <c r="O405" s="25"/>
    </row>
    <row r="406" spans="4:15">
      <c r="D406" s="19"/>
      <c r="E406" s="19"/>
      <c r="F406" s="20"/>
      <c r="G406" s="20"/>
      <c r="H406" s="17"/>
      <c r="I406" s="21"/>
      <c r="J406" s="22"/>
      <c r="K406" s="17"/>
      <c r="L406" s="23"/>
      <c r="M406" s="24"/>
      <c r="N406" s="24"/>
      <c r="O406" s="25"/>
    </row>
    <row r="407" spans="4:15">
      <c r="D407" s="19"/>
      <c r="E407" s="19"/>
      <c r="F407" s="20"/>
      <c r="G407" s="20"/>
      <c r="H407" s="17"/>
      <c r="I407" s="21"/>
      <c r="J407" s="22"/>
      <c r="K407" s="17"/>
      <c r="L407" s="23"/>
      <c r="M407" s="24"/>
      <c r="N407" s="24"/>
      <c r="O407" s="25"/>
    </row>
    <row r="408" spans="4:15">
      <c r="D408" s="19"/>
      <c r="E408" s="19"/>
      <c r="F408" s="20"/>
      <c r="G408" s="20"/>
      <c r="H408" s="17"/>
      <c r="I408" s="21"/>
      <c r="J408" s="22"/>
      <c r="K408" s="17"/>
      <c r="L408" s="23"/>
      <c r="M408" s="24"/>
      <c r="N408" s="24"/>
      <c r="O408" s="25"/>
    </row>
    <row r="409" spans="4:15">
      <c r="D409" s="19"/>
      <c r="E409" s="19"/>
      <c r="F409" s="20"/>
      <c r="G409" s="20"/>
      <c r="H409" s="17"/>
      <c r="I409" s="21"/>
      <c r="J409" s="22"/>
      <c r="K409" s="17"/>
      <c r="L409" s="23"/>
      <c r="M409" s="24"/>
      <c r="N409" s="24"/>
      <c r="O409" s="25"/>
    </row>
    <row r="410" spans="4:15">
      <c r="D410" s="19"/>
      <c r="E410" s="19"/>
      <c r="F410" s="20"/>
      <c r="G410" s="20"/>
      <c r="H410" s="17"/>
      <c r="I410" s="21"/>
      <c r="J410" s="22"/>
      <c r="K410" s="17"/>
      <c r="L410" s="23"/>
      <c r="M410" s="24"/>
      <c r="N410" s="24"/>
      <c r="O410" s="25"/>
    </row>
    <row r="411" spans="4:15">
      <c r="D411" s="19"/>
      <c r="E411" s="19"/>
      <c r="F411" s="20"/>
      <c r="G411" s="20"/>
      <c r="H411" s="17"/>
      <c r="I411" s="21"/>
      <c r="J411" s="22"/>
      <c r="K411" s="17"/>
      <c r="L411" s="23"/>
      <c r="M411" s="24"/>
      <c r="N411" s="24"/>
      <c r="O411" s="25"/>
    </row>
    <row r="412" spans="4:15">
      <c r="D412" s="19"/>
      <c r="E412" s="19"/>
      <c r="F412" s="20"/>
      <c r="G412" s="20"/>
      <c r="H412" s="17"/>
      <c r="I412" s="21"/>
      <c r="J412" s="22"/>
      <c r="K412" s="17"/>
      <c r="L412" s="23"/>
      <c r="M412" s="24"/>
      <c r="N412" s="24"/>
      <c r="O412" s="25"/>
    </row>
    <row r="413" spans="4:15">
      <c r="D413" s="19"/>
      <c r="E413" s="19"/>
      <c r="F413" s="20"/>
      <c r="G413" s="20"/>
      <c r="H413" s="17"/>
      <c r="I413" s="21"/>
      <c r="J413" s="22"/>
      <c r="K413" s="17"/>
      <c r="L413" s="23"/>
      <c r="M413" s="24"/>
      <c r="N413" s="24"/>
      <c r="O413" s="25"/>
    </row>
    <row r="414" spans="4:15">
      <c r="D414" s="19"/>
      <c r="E414" s="19"/>
      <c r="F414" s="20"/>
      <c r="G414" s="20"/>
      <c r="H414" s="17"/>
      <c r="I414" s="21"/>
      <c r="J414" s="22"/>
      <c r="K414" s="17"/>
      <c r="L414" s="23"/>
      <c r="M414" s="24"/>
      <c r="N414" s="24"/>
      <c r="O414" s="25"/>
    </row>
    <row r="415" spans="4:15">
      <c r="D415" s="19"/>
      <c r="E415" s="19"/>
      <c r="F415" s="20"/>
      <c r="G415" s="20"/>
      <c r="H415" s="17"/>
      <c r="I415" s="21"/>
      <c r="J415" s="22"/>
      <c r="K415" s="17"/>
      <c r="L415" s="23"/>
      <c r="M415" s="24"/>
      <c r="N415" s="24"/>
      <c r="O415" s="25"/>
    </row>
    <row r="416" spans="4:15">
      <c r="D416" s="19"/>
      <c r="E416" s="19"/>
      <c r="F416" s="20"/>
      <c r="G416" s="20"/>
      <c r="H416" s="17"/>
      <c r="I416" s="21"/>
      <c r="J416" s="22"/>
      <c r="K416" s="17"/>
      <c r="L416" s="23"/>
      <c r="M416" s="24"/>
      <c r="N416" s="24"/>
      <c r="O416" s="25"/>
    </row>
    <row r="417" spans="4:15">
      <c r="D417" s="19"/>
      <c r="E417" s="19"/>
      <c r="F417" s="20"/>
      <c r="G417" s="20"/>
      <c r="H417" s="17"/>
      <c r="I417" s="21"/>
      <c r="J417" s="22"/>
      <c r="K417" s="17"/>
      <c r="L417" s="23"/>
      <c r="M417" s="24"/>
      <c r="N417" s="24"/>
      <c r="O417" s="25"/>
    </row>
    <row r="418" spans="4:15">
      <c r="D418" s="19"/>
      <c r="E418" s="19"/>
      <c r="F418" s="20"/>
      <c r="G418" s="20"/>
      <c r="H418" s="17"/>
      <c r="I418" s="21"/>
      <c r="J418" s="22"/>
      <c r="K418" s="17"/>
      <c r="L418" s="23"/>
      <c r="M418" s="24"/>
      <c r="N418" s="24"/>
      <c r="O418" s="25"/>
    </row>
    <row r="419" spans="4:15">
      <c r="D419" s="19"/>
      <c r="E419" s="19"/>
      <c r="F419" s="20"/>
      <c r="G419" s="20"/>
      <c r="H419" s="17"/>
      <c r="I419" s="21"/>
      <c r="J419" s="22"/>
      <c r="K419" s="17"/>
      <c r="L419" s="23"/>
      <c r="M419" s="24"/>
      <c r="N419" s="24"/>
      <c r="O419" s="25"/>
    </row>
    <row r="420" spans="4:15">
      <c r="D420" s="19"/>
      <c r="E420" s="19"/>
      <c r="F420" s="20"/>
      <c r="G420" s="20"/>
      <c r="H420" s="17"/>
      <c r="I420" s="21"/>
      <c r="J420" s="22"/>
      <c r="K420" s="17"/>
      <c r="L420" s="23"/>
      <c r="M420" s="24"/>
      <c r="N420" s="24"/>
      <c r="O420" s="25"/>
    </row>
    <row r="421" spans="4:15">
      <c r="D421" s="19"/>
      <c r="E421" s="19"/>
      <c r="F421" s="20"/>
      <c r="G421" s="20"/>
      <c r="H421" s="17"/>
      <c r="I421" s="21"/>
      <c r="J421" s="22"/>
      <c r="K421" s="17"/>
      <c r="L421" s="23"/>
      <c r="M421" s="24"/>
      <c r="N421" s="24"/>
      <c r="O421" s="25"/>
    </row>
    <row r="422" spans="4:15">
      <c r="D422" s="19"/>
      <c r="E422" s="19"/>
      <c r="F422" s="20"/>
      <c r="G422" s="20"/>
      <c r="H422" s="17"/>
      <c r="I422" s="21"/>
      <c r="J422" s="22"/>
      <c r="K422" s="17"/>
      <c r="L422" s="23"/>
      <c r="M422" s="24"/>
      <c r="N422" s="24"/>
      <c r="O422" s="25"/>
    </row>
    <row r="423" spans="4:15">
      <c r="D423" s="19"/>
      <c r="E423" s="19"/>
      <c r="F423" s="20"/>
      <c r="G423" s="20"/>
      <c r="H423" s="17"/>
      <c r="I423" s="21"/>
      <c r="J423" s="22"/>
      <c r="K423" s="17"/>
      <c r="L423" s="23"/>
      <c r="M423" s="24"/>
      <c r="N423" s="24"/>
      <c r="O423" s="25"/>
    </row>
    <row r="424" spans="4:15">
      <c r="D424" s="19"/>
      <c r="E424" s="19"/>
      <c r="F424" s="20"/>
      <c r="G424" s="20"/>
      <c r="H424" s="17"/>
      <c r="I424" s="21"/>
      <c r="J424" s="22"/>
      <c r="K424" s="17"/>
      <c r="L424" s="23"/>
      <c r="M424" s="24"/>
      <c r="N424" s="24"/>
      <c r="O424" s="25"/>
    </row>
    <row r="425" spans="4:15">
      <c r="D425" s="19"/>
      <c r="E425" s="19"/>
      <c r="F425" s="20"/>
      <c r="G425" s="20"/>
      <c r="H425" s="17"/>
      <c r="I425" s="21"/>
      <c r="J425" s="22"/>
      <c r="K425" s="17"/>
      <c r="L425" s="23"/>
      <c r="M425" s="24"/>
      <c r="N425" s="24"/>
      <c r="O425" s="25"/>
    </row>
    <row r="426" spans="4:15">
      <c r="D426" s="19"/>
      <c r="E426" s="19"/>
      <c r="F426" s="20"/>
      <c r="G426" s="20"/>
      <c r="H426" s="17"/>
      <c r="I426" s="21"/>
      <c r="J426" s="22"/>
      <c r="K426" s="17"/>
      <c r="L426" s="23"/>
      <c r="M426" s="24"/>
      <c r="N426" s="24"/>
      <c r="O426" s="25"/>
    </row>
    <row r="427" spans="4:15">
      <c r="D427" s="19"/>
      <c r="E427" s="19"/>
      <c r="F427" s="20"/>
      <c r="G427" s="20"/>
      <c r="H427" s="17"/>
      <c r="I427" s="21"/>
      <c r="J427" s="22"/>
      <c r="K427" s="17"/>
      <c r="L427" s="23"/>
      <c r="M427" s="24"/>
      <c r="N427" s="24"/>
      <c r="O427" s="25"/>
    </row>
    <row r="428" spans="4:15">
      <c r="D428" s="19"/>
      <c r="E428" s="19"/>
      <c r="F428" s="20"/>
      <c r="G428" s="20"/>
      <c r="H428" s="17"/>
      <c r="I428" s="21"/>
      <c r="J428" s="22"/>
      <c r="K428" s="17"/>
      <c r="L428" s="23"/>
      <c r="M428" s="24"/>
      <c r="N428" s="24"/>
      <c r="O428" s="25"/>
    </row>
    <row r="429" spans="4:15">
      <c r="D429" s="19"/>
      <c r="E429" s="19"/>
      <c r="F429" s="20"/>
      <c r="G429" s="20"/>
      <c r="H429" s="17"/>
      <c r="I429" s="21"/>
      <c r="J429" s="22"/>
      <c r="K429" s="17"/>
      <c r="L429" s="23"/>
      <c r="M429" s="24"/>
      <c r="N429" s="24"/>
      <c r="O429" s="25"/>
    </row>
    <row r="430" spans="4:15">
      <c r="D430" s="19"/>
      <c r="E430" s="19"/>
      <c r="F430" s="20"/>
      <c r="G430" s="20"/>
      <c r="H430" s="17"/>
      <c r="I430" s="21"/>
      <c r="J430" s="22"/>
      <c r="K430" s="17"/>
      <c r="L430" s="23"/>
      <c r="M430" s="24"/>
      <c r="N430" s="24"/>
      <c r="O430" s="25"/>
    </row>
    <row r="431" spans="4:15">
      <c r="D431" s="19"/>
      <c r="E431" s="19"/>
      <c r="F431" s="20"/>
      <c r="G431" s="20"/>
      <c r="H431" s="17"/>
      <c r="I431" s="21"/>
      <c r="J431" s="22"/>
      <c r="K431" s="17"/>
      <c r="L431" s="23"/>
      <c r="M431" s="24"/>
      <c r="N431" s="24"/>
      <c r="O431" s="25"/>
    </row>
    <row r="432" spans="4:15">
      <c r="D432" s="19"/>
      <c r="E432" s="19"/>
      <c r="F432" s="20"/>
      <c r="G432" s="20"/>
      <c r="H432" s="17"/>
      <c r="I432" s="21"/>
      <c r="J432" s="22"/>
      <c r="K432" s="17"/>
      <c r="L432" s="23"/>
      <c r="M432" s="24"/>
      <c r="N432" s="24"/>
      <c r="O432" s="25"/>
    </row>
    <row r="433" spans="4:15">
      <c r="D433" s="19"/>
      <c r="E433" s="19"/>
      <c r="F433" s="20"/>
      <c r="G433" s="20"/>
      <c r="H433" s="17"/>
      <c r="I433" s="21"/>
      <c r="J433" s="22"/>
      <c r="K433" s="17"/>
      <c r="L433" s="23"/>
      <c r="M433" s="24"/>
      <c r="N433" s="24"/>
      <c r="O433" s="25"/>
    </row>
    <row r="434" spans="4:15">
      <c r="D434" s="19"/>
      <c r="E434" s="19"/>
      <c r="F434" s="20"/>
      <c r="G434" s="20"/>
      <c r="H434" s="17"/>
      <c r="I434" s="21"/>
      <c r="J434" s="22"/>
      <c r="K434" s="17"/>
      <c r="L434" s="23"/>
      <c r="M434" s="24"/>
      <c r="N434" s="24"/>
      <c r="O434" s="25"/>
    </row>
    <row r="435" spans="4:15">
      <c r="D435" s="19"/>
      <c r="E435" s="19"/>
      <c r="F435" s="20"/>
      <c r="G435" s="20"/>
      <c r="H435" s="17"/>
      <c r="I435" s="21"/>
      <c r="J435" s="22"/>
      <c r="K435" s="17"/>
      <c r="L435" s="23"/>
      <c r="M435" s="24"/>
      <c r="N435" s="24"/>
      <c r="O435" s="25"/>
    </row>
    <row r="436" spans="4:15">
      <c r="D436" s="19"/>
      <c r="E436" s="19"/>
      <c r="F436" s="20"/>
      <c r="G436" s="20"/>
      <c r="H436" s="17"/>
      <c r="I436" s="21"/>
      <c r="J436" s="22"/>
      <c r="K436" s="17"/>
      <c r="L436" s="23"/>
      <c r="M436" s="24"/>
      <c r="N436" s="24"/>
      <c r="O436" s="25"/>
    </row>
    <row r="437" spans="4:15">
      <c r="D437" s="19"/>
      <c r="E437" s="19"/>
      <c r="F437" s="20"/>
      <c r="G437" s="20"/>
      <c r="H437" s="17"/>
      <c r="I437" s="21"/>
      <c r="J437" s="22"/>
      <c r="K437" s="17"/>
      <c r="L437" s="23"/>
      <c r="M437" s="24"/>
      <c r="N437" s="24"/>
      <c r="O437" s="25"/>
    </row>
    <row r="438" spans="4:15">
      <c r="D438" s="19"/>
      <c r="E438" s="19"/>
      <c r="F438" s="20"/>
      <c r="G438" s="20"/>
      <c r="H438" s="17"/>
      <c r="I438" s="21"/>
      <c r="J438" s="22"/>
      <c r="K438" s="17"/>
      <c r="L438" s="23"/>
      <c r="M438" s="24"/>
      <c r="N438" s="24"/>
      <c r="O438" s="25"/>
    </row>
    <row r="439" spans="4:15">
      <c r="D439" s="19"/>
      <c r="E439" s="19"/>
      <c r="F439" s="20"/>
      <c r="G439" s="20"/>
      <c r="H439" s="17"/>
      <c r="I439" s="21"/>
      <c r="J439" s="22"/>
      <c r="K439" s="17"/>
      <c r="L439" s="23"/>
      <c r="M439" s="24"/>
      <c r="N439" s="24"/>
      <c r="O439" s="25"/>
    </row>
    <row r="440" spans="4:15">
      <c r="D440" s="19"/>
      <c r="E440" s="19"/>
      <c r="F440" s="20"/>
      <c r="G440" s="20"/>
      <c r="H440" s="17"/>
      <c r="I440" s="21"/>
      <c r="J440" s="22"/>
      <c r="K440" s="17"/>
      <c r="L440" s="23"/>
      <c r="M440" s="24"/>
      <c r="N440" s="24"/>
      <c r="O440" s="25"/>
    </row>
    <row r="441" spans="4:15">
      <c r="D441" s="19"/>
      <c r="E441" s="19"/>
      <c r="F441" s="20"/>
      <c r="G441" s="20"/>
      <c r="H441" s="17"/>
      <c r="I441" s="21"/>
      <c r="J441" s="22"/>
      <c r="K441" s="17"/>
      <c r="L441" s="23"/>
      <c r="M441" s="24"/>
      <c r="N441" s="24"/>
      <c r="O441" s="25"/>
    </row>
    <row r="442" spans="4:15">
      <c r="D442" s="19"/>
      <c r="E442" s="19"/>
      <c r="F442" s="20"/>
      <c r="G442" s="20"/>
      <c r="H442" s="17"/>
      <c r="I442" s="21"/>
      <c r="J442" s="22"/>
      <c r="K442" s="17"/>
      <c r="L442" s="23"/>
      <c r="M442" s="24"/>
      <c r="N442" s="24"/>
      <c r="O442" s="25"/>
    </row>
    <row r="443" spans="4:15">
      <c r="D443" s="19"/>
      <c r="E443" s="19"/>
      <c r="F443" s="20"/>
      <c r="G443" s="20"/>
      <c r="H443" s="17"/>
      <c r="I443" s="21"/>
      <c r="J443" s="22"/>
      <c r="K443" s="17"/>
      <c r="L443" s="23"/>
      <c r="M443" s="24"/>
      <c r="N443" s="24"/>
      <c r="O443" s="25"/>
    </row>
    <row r="444" spans="4:15">
      <c r="D444" s="19"/>
      <c r="E444" s="19"/>
      <c r="F444" s="20"/>
      <c r="G444" s="20"/>
      <c r="H444" s="17"/>
      <c r="I444" s="21"/>
      <c r="J444" s="22"/>
      <c r="K444" s="17"/>
      <c r="L444" s="23"/>
      <c r="M444" s="24"/>
      <c r="N444" s="24"/>
      <c r="O444" s="25"/>
    </row>
    <row r="445" spans="4:15">
      <c r="D445" s="19"/>
      <c r="E445" s="19"/>
      <c r="F445" s="20"/>
      <c r="G445" s="20"/>
      <c r="H445" s="17"/>
      <c r="I445" s="21"/>
      <c r="J445" s="22"/>
      <c r="K445" s="17"/>
      <c r="L445" s="23"/>
      <c r="M445" s="24"/>
      <c r="N445" s="24"/>
      <c r="O445" s="25"/>
    </row>
    <row r="446" spans="4:15">
      <c r="D446" s="19"/>
      <c r="E446" s="19"/>
      <c r="F446" s="20"/>
      <c r="G446" s="20"/>
      <c r="H446" s="17"/>
      <c r="I446" s="21"/>
      <c r="J446" s="22"/>
      <c r="K446" s="17"/>
      <c r="L446" s="23"/>
      <c r="M446" s="24"/>
      <c r="N446" s="24"/>
      <c r="O446" s="25"/>
    </row>
    <row r="447" spans="4:15">
      <c r="D447" s="19"/>
      <c r="E447" s="19"/>
      <c r="F447" s="20"/>
      <c r="G447" s="20"/>
      <c r="H447" s="17"/>
      <c r="I447" s="21"/>
      <c r="J447" s="22"/>
      <c r="K447" s="17"/>
      <c r="L447" s="23"/>
      <c r="M447" s="24"/>
      <c r="N447" s="24"/>
      <c r="O447" s="25"/>
    </row>
    <row r="448" spans="4:15">
      <c r="D448" s="19"/>
      <c r="E448" s="19"/>
      <c r="F448" s="20"/>
      <c r="G448" s="20"/>
      <c r="H448" s="17"/>
      <c r="I448" s="21"/>
      <c r="J448" s="22"/>
      <c r="K448" s="17"/>
      <c r="L448" s="23"/>
      <c r="M448" s="24"/>
      <c r="N448" s="24"/>
      <c r="O448" s="25"/>
    </row>
    <row r="449" spans="4:15">
      <c r="D449" s="19"/>
      <c r="E449" s="19"/>
      <c r="F449" s="20"/>
      <c r="G449" s="20"/>
      <c r="H449" s="17"/>
      <c r="I449" s="21"/>
      <c r="J449" s="22"/>
      <c r="K449" s="17"/>
      <c r="L449" s="23"/>
      <c r="M449" s="24"/>
      <c r="N449" s="24"/>
      <c r="O449" s="25"/>
    </row>
    <row r="450" spans="4:15">
      <c r="D450" s="19"/>
      <c r="E450" s="19"/>
      <c r="F450" s="20"/>
      <c r="G450" s="20"/>
      <c r="H450" s="17"/>
      <c r="I450" s="21"/>
      <c r="J450" s="22"/>
      <c r="K450" s="17"/>
      <c r="L450" s="23"/>
      <c r="M450" s="24"/>
      <c r="N450" s="24"/>
      <c r="O450" s="25"/>
    </row>
    <row r="451" spans="4:15">
      <c r="D451" s="19"/>
      <c r="E451" s="19"/>
      <c r="F451" s="20"/>
      <c r="G451" s="20"/>
      <c r="H451" s="17"/>
      <c r="I451" s="21"/>
      <c r="J451" s="22"/>
      <c r="K451" s="17"/>
      <c r="L451" s="23"/>
      <c r="M451" s="24"/>
      <c r="N451" s="24"/>
      <c r="O451" s="25"/>
    </row>
    <row r="452" spans="4:15">
      <c r="D452" s="19"/>
      <c r="E452" s="19"/>
      <c r="F452" s="20"/>
      <c r="G452" s="20"/>
      <c r="H452" s="17"/>
      <c r="I452" s="21"/>
      <c r="J452" s="22"/>
      <c r="K452" s="17"/>
      <c r="L452" s="23"/>
      <c r="M452" s="24"/>
      <c r="N452" s="24"/>
      <c r="O452" s="25"/>
    </row>
    <row r="453" spans="4:15">
      <c r="D453" s="19"/>
      <c r="E453" s="19"/>
      <c r="F453" s="20"/>
      <c r="G453" s="20"/>
      <c r="H453" s="17"/>
      <c r="I453" s="21"/>
      <c r="J453" s="22"/>
      <c r="K453" s="17"/>
      <c r="L453" s="23"/>
      <c r="M453" s="24"/>
      <c r="N453" s="24"/>
      <c r="O453" s="25"/>
    </row>
    <row r="454" spans="4:15">
      <c r="D454" s="19"/>
      <c r="E454" s="19"/>
      <c r="F454" s="20"/>
      <c r="G454" s="20"/>
      <c r="H454" s="17"/>
      <c r="I454" s="21"/>
      <c r="J454" s="22"/>
      <c r="K454" s="17"/>
      <c r="L454" s="23"/>
      <c r="M454" s="24"/>
      <c r="N454" s="24"/>
      <c r="O454" s="25"/>
    </row>
    <row r="455" spans="4:15">
      <c r="D455" s="19"/>
      <c r="E455" s="19"/>
      <c r="F455" s="20"/>
      <c r="G455" s="20"/>
      <c r="H455" s="17"/>
      <c r="I455" s="21"/>
      <c r="J455" s="22"/>
      <c r="K455" s="17"/>
      <c r="L455" s="23"/>
      <c r="M455" s="24"/>
      <c r="N455" s="24"/>
      <c r="O455" s="25"/>
    </row>
    <row r="456" spans="4:15">
      <c r="D456" s="19"/>
      <c r="E456" s="19"/>
      <c r="F456" s="20"/>
      <c r="G456" s="20"/>
      <c r="H456" s="17"/>
      <c r="I456" s="21"/>
      <c r="J456" s="22"/>
      <c r="K456" s="17"/>
      <c r="L456" s="23"/>
      <c r="M456" s="24"/>
      <c r="N456" s="24"/>
      <c r="O456" s="25"/>
    </row>
    <row r="457" spans="4:15">
      <c r="D457" s="19"/>
      <c r="E457" s="19"/>
      <c r="F457" s="20"/>
      <c r="G457" s="20"/>
      <c r="H457" s="17"/>
      <c r="I457" s="21"/>
      <c r="J457" s="22"/>
      <c r="K457" s="17"/>
      <c r="L457" s="23"/>
      <c r="M457" s="24"/>
      <c r="N457" s="24"/>
      <c r="O457" s="25"/>
    </row>
    <row r="458" spans="4:15">
      <c r="D458" s="19"/>
      <c r="E458" s="19"/>
      <c r="F458" s="20"/>
      <c r="G458" s="20"/>
      <c r="H458" s="17"/>
      <c r="I458" s="21"/>
      <c r="J458" s="22"/>
      <c r="K458" s="17"/>
      <c r="L458" s="23"/>
      <c r="M458" s="24"/>
      <c r="N458" s="24"/>
      <c r="O458" s="25"/>
    </row>
    <row r="459" spans="4:15">
      <c r="D459" s="19"/>
      <c r="E459" s="19"/>
      <c r="F459" s="20"/>
      <c r="G459" s="20"/>
      <c r="H459" s="17"/>
      <c r="I459" s="21"/>
      <c r="J459" s="22"/>
      <c r="K459" s="17"/>
      <c r="L459" s="23"/>
      <c r="M459" s="24"/>
      <c r="N459" s="24"/>
      <c r="O459" s="25"/>
    </row>
    <row r="460" spans="4:15">
      <c r="D460" s="19"/>
      <c r="E460" s="19"/>
      <c r="F460" s="20"/>
      <c r="G460" s="20"/>
      <c r="H460" s="17"/>
      <c r="I460" s="21"/>
      <c r="J460" s="22"/>
      <c r="K460" s="17"/>
      <c r="L460" s="23"/>
      <c r="M460" s="24"/>
      <c r="N460" s="24"/>
      <c r="O460" s="25"/>
    </row>
    <row r="461" spans="4:15">
      <c r="D461" s="19"/>
      <c r="E461" s="19"/>
      <c r="F461" s="20"/>
      <c r="G461" s="20"/>
      <c r="H461" s="17"/>
      <c r="I461" s="21"/>
      <c r="J461" s="22"/>
      <c r="K461" s="17"/>
      <c r="L461" s="23"/>
      <c r="M461" s="24"/>
      <c r="N461" s="24"/>
      <c r="O461" s="25"/>
    </row>
    <row r="462" spans="4:15">
      <c r="D462" s="19"/>
      <c r="E462" s="19"/>
      <c r="F462" s="20"/>
      <c r="G462" s="20"/>
      <c r="H462" s="17"/>
      <c r="I462" s="21"/>
      <c r="J462" s="22"/>
      <c r="K462" s="17"/>
      <c r="L462" s="23"/>
      <c r="M462" s="24"/>
      <c r="N462" s="24"/>
      <c r="O462" s="25"/>
    </row>
    <row r="463" spans="4:15">
      <c r="D463" s="19"/>
      <c r="E463" s="19"/>
      <c r="F463" s="20"/>
      <c r="G463" s="20"/>
      <c r="H463" s="17"/>
      <c r="I463" s="21"/>
      <c r="J463" s="22"/>
      <c r="K463" s="17"/>
      <c r="L463" s="23"/>
      <c r="M463" s="24"/>
      <c r="N463" s="24"/>
      <c r="O463" s="25"/>
    </row>
    <row r="464" spans="4:15">
      <c r="D464" s="19"/>
      <c r="E464" s="19"/>
      <c r="F464" s="20"/>
      <c r="G464" s="20"/>
      <c r="H464" s="17"/>
      <c r="I464" s="21"/>
      <c r="J464" s="22"/>
      <c r="K464" s="17"/>
      <c r="L464" s="23"/>
      <c r="M464" s="24"/>
      <c r="N464" s="24"/>
      <c r="O464" s="25"/>
    </row>
    <row r="465" spans="4:15">
      <c r="D465" s="19"/>
      <c r="E465" s="19"/>
      <c r="F465" s="20"/>
      <c r="G465" s="20"/>
      <c r="H465" s="17"/>
      <c r="I465" s="21"/>
      <c r="J465" s="22"/>
      <c r="K465" s="17"/>
      <c r="L465" s="23"/>
      <c r="M465" s="24"/>
      <c r="N465" s="24"/>
      <c r="O465" s="25"/>
    </row>
    <row r="466" spans="4:15">
      <c r="D466" s="19"/>
      <c r="E466" s="19"/>
      <c r="F466" s="20"/>
      <c r="G466" s="20"/>
      <c r="H466" s="17"/>
      <c r="I466" s="21"/>
      <c r="J466" s="22"/>
      <c r="K466" s="17"/>
      <c r="L466" s="23"/>
      <c r="M466" s="24"/>
      <c r="N466" s="24"/>
      <c r="O466" s="25"/>
    </row>
    <row r="467" spans="4:15">
      <c r="D467" s="19"/>
      <c r="E467" s="19"/>
      <c r="F467" s="20"/>
      <c r="G467" s="20"/>
      <c r="H467" s="17"/>
      <c r="I467" s="21"/>
      <c r="J467" s="22"/>
      <c r="K467" s="17"/>
      <c r="L467" s="23"/>
      <c r="M467" s="24"/>
      <c r="N467" s="24"/>
      <c r="O467" s="25"/>
    </row>
    <row r="468" spans="4:15">
      <c r="D468" s="19"/>
      <c r="E468" s="19"/>
      <c r="F468" s="20"/>
      <c r="G468" s="20"/>
      <c r="H468" s="17"/>
      <c r="I468" s="21"/>
      <c r="J468" s="22"/>
      <c r="K468" s="17"/>
      <c r="L468" s="23"/>
      <c r="M468" s="24"/>
      <c r="N468" s="24"/>
      <c r="O468" s="25"/>
    </row>
    <row r="469" spans="4:15">
      <c r="D469" s="19"/>
      <c r="E469" s="19"/>
      <c r="F469" s="20"/>
      <c r="G469" s="20"/>
      <c r="H469" s="17"/>
      <c r="I469" s="21"/>
      <c r="J469" s="22"/>
      <c r="K469" s="17"/>
      <c r="L469" s="23"/>
      <c r="M469" s="24"/>
      <c r="N469" s="24"/>
      <c r="O469" s="25"/>
    </row>
    <row r="470" spans="4:15">
      <c r="D470" s="19"/>
      <c r="E470" s="19"/>
      <c r="F470" s="20"/>
      <c r="G470" s="20"/>
      <c r="H470" s="17"/>
      <c r="I470" s="21"/>
      <c r="J470" s="22"/>
      <c r="K470" s="17"/>
      <c r="L470" s="23"/>
      <c r="M470" s="24"/>
      <c r="N470" s="24"/>
      <c r="O470" s="25"/>
    </row>
    <row r="471" spans="4:15">
      <c r="D471" s="19"/>
      <c r="E471" s="19"/>
      <c r="F471" s="20"/>
      <c r="G471" s="20"/>
      <c r="H471" s="17"/>
      <c r="I471" s="21"/>
      <c r="J471" s="22"/>
      <c r="K471" s="17"/>
      <c r="L471" s="23"/>
      <c r="M471" s="24"/>
      <c r="N471" s="24"/>
      <c r="O471" s="25"/>
    </row>
    <row r="472" spans="4:15">
      <c r="D472" s="19"/>
      <c r="E472" s="19"/>
      <c r="F472" s="20"/>
      <c r="G472" s="20"/>
      <c r="H472" s="17"/>
      <c r="I472" s="21"/>
      <c r="J472" s="22"/>
      <c r="K472" s="17"/>
      <c r="L472" s="23"/>
      <c r="M472" s="24"/>
      <c r="N472" s="24"/>
      <c r="O472" s="25"/>
    </row>
    <row r="473" spans="4:15">
      <c r="D473" s="19"/>
      <c r="E473" s="19"/>
      <c r="F473" s="20"/>
      <c r="G473" s="20"/>
      <c r="H473" s="17"/>
      <c r="I473" s="21"/>
      <c r="J473" s="22"/>
      <c r="K473" s="17"/>
      <c r="L473" s="23"/>
      <c r="M473" s="24"/>
      <c r="N473" s="24"/>
      <c r="O473" s="25"/>
    </row>
    <row r="474" spans="4:15">
      <c r="D474" s="19"/>
      <c r="E474" s="19"/>
      <c r="F474" s="20"/>
      <c r="G474" s="20"/>
      <c r="H474" s="17"/>
      <c r="I474" s="21"/>
      <c r="J474" s="22"/>
      <c r="K474" s="17"/>
      <c r="L474" s="23"/>
      <c r="M474" s="24"/>
      <c r="N474" s="24"/>
      <c r="O474" s="25"/>
    </row>
    <row r="475" spans="4:15">
      <c r="D475" s="19"/>
      <c r="E475" s="19"/>
      <c r="F475" s="20"/>
      <c r="G475" s="20"/>
      <c r="H475" s="17"/>
      <c r="I475" s="21"/>
      <c r="J475" s="22"/>
      <c r="K475" s="17"/>
      <c r="L475" s="23"/>
      <c r="M475" s="24"/>
      <c r="N475" s="24"/>
      <c r="O475" s="25"/>
    </row>
    <row r="476" spans="4:15">
      <c r="D476" s="19"/>
      <c r="E476" s="19"/>
      <c r="F476" s="20"/>
      <c r="G476" s="20"/>
      <c r="H476" s="17"/>
      <c r="I476" s="21"/>
      <c r="J476" s="22"/>
      <c r="K476" s="17"/>
      <c r="L476" s="23"/>
      <c r="M476" s="24"/>
      <c r="N476" s="24"/>
      <c r="O476" s="25"/>
    </row>
    <row r="477" spans="4:15">
      <c r="D477" s="19"/>
      <c r="E477" s="19"/>
      <c r="F477" s="20"/>
      <c r="G477" s="20"/>
      <c r="H477" s="17"/>
      <c r="I477" s="21"/>
      <c r="J477" s="22"/>
      <c r="K477" s="17"/>
      <c r="L477" s="23"/>
      <c r="M477" s="24"/>
      <c r="N477" s="24"/>
      <c r="O477" s="25"/>
    </row>
    <row r="478" spans="4:15">
      <c r="D478" s="19"/>
      <c r="E478" s="19"/>
      <c r="F478" s="20"/>
      <c r="G478" s="20"/>
      <c r="H478" s="17"/>
      <c r="I478" s="21"/>
      <c r="J478" s="22"/>
      <c r="K478" s="17"/>
      <c r="L478" s="23"/>
      <c r="M478" s="24"/>
      <c r="N478" s="24"/>
      <c r="O478" s="25"/>
    </row>
    <row r="479" spans="4:15">
      <c r="D479" s="19"/>
      <c r="E479" s="19"/>
      <c r="F479" s="20"/>
      <c r="G479" s="20"/>
      <c r="H479" s="17"/>
      <c r="I479" s="21"/>
      <c r="J479" s="22"/>
      <c r="K479" s="17"/>
      <c r="L479" s="23"/>
      <c r="M479" s="24"/>
      <c r="N479" s="24"/>
      <c r="O479" s="25"/>
    </row>
    <row r="480" spans="4:15">
      <c r="D480" s="19"/>
      <c r="E480" s="19"/>
      <c r="F480" s="20"/>
      <c r="G480" s="20"/>
      <c r="H480" s="17"/>
      <c r="I480" s="21"/>
      <c r="J480" s="22"/>
      <c r="K480" s="17"/>
      <c r="L480" s="23"/>
      <c r="M480" s="24"/>
      <c r="N480" s="24"/>
      <c r="O480" s="25"/>
    </row>
    <row r="481" spans="4:15">
      <c r="D481" s="19"/>
      <c r="E481" s="19"/>
      <c r="F481" s="20"/>
      <c r="G481" s="20"/>
      <c r="H481" s="17"/>
      <c r="I481" s="21"/>
      <c r="J481" s="22"/>
      <c r="K481" s="17"/>
      <c r="L481" s="23"/>
      <c r="M481" s="24"/>
      <c r="N481" s="24"/>
      <c r="O481" s="25"/>
    </row>
    <row r="482" spans="4:15">
      <c r="D482" s="19"/>
      <c r="E482" s="19"/>
      <c r="F482" s="20"/>
      <c r="G482" s="20"/>
      <c r="H482" s="17"/>
      <c r="I482" s="21"/>
      <c r="J482" s="22"/>
      <c r="K482" s="17"/>
      <c r="L482" s="23"/>
      <c r="M482" s="24"/>
      <c r="N482" s="24"/>
      <c r="O482" s="25"/>
    </row>
    <row r="483" spans="4:15">
      <c r="D483" s="19"/>
      <c r="E483" s="19"/>
      <c r="F483" s="20"/>
      <c r="G483" s="20"/>
      <c r="H483" s="17"/>
      <c r="I483" s="21"/>
      <c r="J483" s="22"/>
      <c r="K483" s="17"/>
      <c r="L483" s="23"/>
      <c r="M483" s="24"/>
      <c r="N483" s="24"/>
      <c r="O483" s="25"/>
    </row>
    <row r="484" spans="4:15">
      <c r="D484" s="19"/>
      <c r="E484" s="19"/>
      <c r="F484" s="20"/>
      <c r="G484" s="20"/>
      <c r="H484" s="17"/>
      <c r="I484" s="21"/>
      <c r="J484" s="22"/>
      <c r="K484" s="17"/>
      <c r="L484" s="23"/>
      <c r="M484" s="24"/>
      <c r="N484" s="24"/>
      <c r="O484" s="25"/>
    </row>
    <row r="485" spans="4:15">
      <c r="D485" s="19"/>
      <c r="E485" s="19"/>
      <c r="F485" s="20"/>
      <c r="G485" s="20"/>
      <c r="H485" s="17"/>
      <c r="I485" s="21"/>
      <c r="J485" s="22"/>
      <c r="K485" s="17"/>
      <c r="L485" s="23"/>
      <c r="M485" s="24"/>
      <c r="N485" s="24"/>
      <c r="O485" s="25"/>
    </row>
    <row r="486" spans="4:15">
      <c r="D486" s="19"/>
      <c r="E486" s="19"/>
      <c r="F486" s="20"/>
      <c r="G486" s="20"/>
      <c r="H486" s="17"/>
      <c r="I486" s="21"/>
      <c r="J486" s="22"/>
      <c r="K486" s="17"/>
      <c r="L486" s="23"/>
      <c r="M486" s="24"/>
      <c r="N486" s="24"/>
      <c r="O486" s="25"/>
    </row>
    <row r="487" spans="4:15">
      <c r="D487" s="19"/>
      <c r="E487" s="19"/>
      <c r="F487" s="20"/>
      <c r="G487" s="20"/>
      <c r="H487" s="17"/>
      <c r="I487" s="21"/>
      <c r="J487" s="22"/>
      <c r="K487" s="17"/>
      <c r="L487" s="23"/>
      <c r="M487" s="24"/>
      <c r="N487" s="24"/>
      <c r="O487" s="25"/>
    </row>
    <row r="488" spans="4:15">
      <c r="D488" s="19"/>
      <c r="E488" s="19"/>
      <c r="F488" s="20"/>
      <c r="G488" s="20"/>
      <c r="H488" s="17"/>
      <c r="I488" s="21"/>
      <c r="J488" s="22"/>
      <c r="K488" s="17"/>
      <c r="L488" s="23"/>
      <c r="M488" s="24"/>
      <c r="N488" s="24"/>
      <c r="O488" s="25"/>
    </row>
    <row r="489" spans="4:15">
      <c r="D489" s="19"/>
      <c r="E489" s="19"/>
      <c r="F489" s="20"/>
      <c r="G489" s="20"/>
      <c r="H489" s="17"/>
      <c r="I489" s="21"/>
      <c r="J489" s="22"/>
      <c r="K489" s="17"/>
      <c r="L489" s="23"/>
      <c r="M489" s="24"/>
      <c r="N489" s="24"/>
      <c r="O489" s="25"/>
    </row>
    <row r="490" spans="4:15">
      <c r="D490" s="19"/>
      <c r="E490" s="19"/>
      <c r="F490" s="20"/>
      <c r="G490" s="20"/>
      <c r="H490" s="17"/>
      <c r="I490" s="21"/>
      <c r="J490" s="22"/>
      <c r="K490" s="17"/>
      <c r="L490" s="23"/>
      <c r="M490" s="24"/>
      <c r="N490" s="24"/>
      <c r="O490" s="25"/>
    </row>
    <row r="491" spans="4:15">
      <c r="D491" s="19"/>
      <c r="E491" s="19"/>
      <c r="F491" s="20"/>
      <c r="G491" s="20"/>
      <c r="H491" s="17"/>
      <c r="I491" s="21"/>
      <c r="J491" s="22"/>
      <c r="K491" s="17"/>
      <c r="L491" s="23"/>
      <c r="M491" s="24"/>
      <c r="N491" s="24"/>
      <c r="O491" s="25"/>
    </row>
    <row r="492" spans="4:15">
      <c r="D492" s="19"/>
      <c r="E492" s="19"/>
      <c r="F492" s="20"/>
      <c r="G492" s="20"/>
      <c r="H492" s="17"/>
      <c r="I492" s="21"/>
      <c r="J492" s="22"/>
      <c r="K492" s="17"/>
      <c r="L492" s="23"/>
      <c r="M492" s="24"/>
      <c r="N492" s="24"/>
      <c r="O492" s="25"/>
    </row>
    <row r="493" spans="4:15">
      <c r="D493" s="19"/>
      <c r="E493" s="19"/>
      <c r="F493" s="20"/>
      <c r="G493" s="20"/>
      <c r="H493" s="17"/>
      <c r="I493" s="21"/>
      <c r="J493" s="22"/>
      <c r="K493" s="17"/>
      <c r="L493" s="23"/>
      <c r="M493" s="24"/>
      <c r="N493" s="24"/>
      <c r="O493" s="25"/>
    </row>
    <row r="494" spans="4:15">
      <c r="D494" s="19"/>
      <c r="E494" s="19"/>
      <c r="F494" s="20"/>
      <c r="G494" s="20"/>
      <c r="H494" s="17"/>
      <c r="I494" s="21"/>
      <c r="J494" s="22"/>
      <c r="K494" s="17"/>
      <c r="L494" s="23"/>
      <c r="M494" s="24"/>
      <c r="N494" s="24"/>
      <c r="O494" s="25"/>
    </row>
    <row r="495" spans="4:15">
      <c r="D495" s="19"/>
      <c r="E495" s="19"/>
      <c r="F495" s="20"/>
      <c r="G495" s="20"/>
      <c r="H495" s="17"/>
      <c r="I495" s="21"/>
      <c r="J495" s="22"/>
      <c r="K495" s="17"/>
      <c r="L495" s="23"/>
      <c r="M495" s="24"/>
      <c r="N495" s="24"/>
      <c r="O495" s="25"/>
    </row>
    <row r="496" spans="4:15">
      <c r="D496" s="19"/>
      <c r="E496" s="19"/>
      <c r="F496" s="20"/>
      <c r="G496" s="20"/>
      <c r="H496" s="17"/>
      <c r="I496" s="21"/>
      <c r="J496" s="22"/>
      <c r="K496" s="17"/>
      <c r="L496" s="23"/>
      <c r="M496" s="24"/>
      <c r="N496" s="24"/>
      <c r="O496" s="25"/>
    </row>
    <row r="497" spans="4:15">
      <c r="D497" s="19"/>
      <c r="E497" s="19"/>
      <c r="F497" s="20"/>
      <c r="G497" s="20"/>
      <c r="H497" s="17"/>
      <c r="I497" s="21"/>
      <c r="J497" s="22"/>
      <c r="K497" s="17"/>
      <c r="L497" s="23"/>
      <c r="M497" s="24"/>
      <c r="N497" s="24"/>
      <c r="O497" s="25"/>
    </row>
    <row r="498" spans="4:15">
      <c r="D498" s="19"/>
      <c r="E498" s="19"/>
      <c r="F498" s="20"/>
      <c r="G498" s="20"/>
      <c r="H498" s="17"/>
      <c r="I498" s="21"/>
      <c r="J498" s="22"/>
      <c r="K498" s="17"/>
      <c r="L498" s="23"/>
      <c r="M498" s="24"/>
      <c r="N498" s="24"/>
      <c r="O498" s="25"/>
    </row>
    <row r="499" spans="4:15">
      <c r="D499" s="19"/>
      <c r="E499" s="19"/>
      <c r="F499" s="20"/>
      <c r="G499" s="20"/>
      <c r="H499" s="17"/>
      <c r="I499" s="21"/>
      <c r="J499" s="22"/>
      <c r="K499" s="17"/>
      <c r="L499" s="23"/>
      <c r="M499" s="24"/>
      <c r="N499" s="24"/>
      <c r="O499" s="25"/>
    </row>
    <row r="500" spans="4:15">
      <c r="D500" s="19"/>
      <c r="E500" s="19"/>
      <c r="F500" s="20"/>
      <c r="G500" s="20"/>
      <c r="H500" s="17"/>
      <c r="I500" s="21"/>
      <c r="J500" s="22"/>
      <c r="K500" s="17"/>
      <c r="L500" s="23"/>
      <c r="M500" s="24"/>
      <c r="N500" s="24"/>
      <c r="O500" s="25"/>
    </row>
    <row r="501" spans="4:15">
      <c r="D501" s="19"/>
      <c r="E501" s="19"/>
      <c r="F501" s="20"/>
      <c r="G501" s="20"/>
      <c r="H501" s="17"/>
      <c r="I501" s="21"/>
      <c r="J501" s="22"/>
      <c r="K501" s="17"/>
      <c r="L501" s="23"/>
      <c r="M501" s="24"/>
      <c r="N501" s="24"/>
      <c r="O501" s="25"/>
    </row>
    <row r="502" spans="4:15">
      <c r="D502" s="19"/>
      <c r="E502" s="19"/>
      <c r="F502" s="20"/>
      <c r="G502" s="20"/>
      <c r="H502" s="17"/>
      <c r="I502" s="21"/>
      <c r="J502" s="22"/>
      <c r="K502" s="17"/>
      <c r="L502" s="23"/>
      <c r="M502" s="24"/>
      <c r="N502" s="24"/>
      <c r="O502" s="25"/>
    </row>
    <row r="503" spans="4:15">
      <c r="D503" s="19"/>
      <c r="E503" s="19"/>
      <c r="F503" s="20"/>
      <c r="G503" s="20"/>
      <c r="H503" s="17"/>
      <c r="I503" s="21"/>
      <c r="J503" s="22"/>
      <c r="K503" s="17"/>
      <c r="L503" s="23"/>
      <c r="M503" s="24"/>
      <c r="N503" s="24"/>
      <c r="O503" s="25"/>
    </row>
    <row r="504" spans="4:15">
      <c r="D504" s="19"/>
      <c r="E504" s="19"/>
      <c r="F504" s="20"/>
      <c r="G504" s="20"/>
      <c r="H504" s="17"/>
      <c r="I504" s="21"/>
      <c r="J504" s="22"/>
      <c r="K504" s="17"/>
      <c r="L504" s="23"/>
      <c r="M504" s="24"/>
      <c r="N504" s="24"/>
      <c r="O504" s="25"/>
    </row>
    <row r="505" spans="4:15">
      <c r="D505" s="19"/>
      <c r="E505" s="19"/>
      <c r="F505" s="20"/>
      <c r="G505" s="20"/>
      <c r="H505" s="17"/>
      <c r="I505" s="21"/>
      <c r="J505" s="22"/>
      <c r="K505" s="17"/>
      <c r="L505" s="23"/>
      <c r="M505" s="24"/>
      <c r="N505" s="24"/>
      <c r="O505" s="25"/>
    </row>
    <row r="506" spans="4:15">
      <c r="D506" s="19"/>
      <c r="E506" s="19"/>
      <c r="F506" s="20"/>
      <c r="G506" s="20"/>
      <c r="H506" s="17"/>
      <c r="I506" s="21"/>
      <c r="J506" s="22"/>
      <c r="K506" s="17"/>
      <c r="L506" s="23"/>
      <c r="M506" s="24"/>
      <c r="N506" s="24"/>
      <c r="O506" s="25"/>
    </row>
    <row r="507" spans="4:15">
      <c r="D507" s="19"/>
      <c r="E507" s="19"/>
      <c r="F507" s="20"/>
      <c r="G507" s="20"/>
      <c r="H507" s="17"/>
      <c r="I507" s="21"/>
      <c r="J507" s="22"/>
      <c r="K507" s="17"/>
      <c r="L507" s="23"/>
      <c r="M507" s="24"/>
      <c r="N507" s="24"/>
      <c r="O507" s="25"/>
    </row>
    <row r="508" spans="4:15">
      <c r="D508" s="19"/>
      <c r="E508" s="19"/>
      <c r="F508" s="20"/>
      <c r="G508" s="20"/>
      <c r="H508" s="17"/>
      <c r="I508" s="21"/>
      <c r="J508" s="22"/>
      <c r="K508" s="17"/>
      <c r="L508" s="23"/>
      <c r="M508" s="24"/>
      <c r="N508" s="24"/>
      <c r="O508" s="25"/>
    </row>
    <row r="509" spans="4:15">
      <c r="D509" s="19"/>
      <c r="E509" s="19"/>
      <c r="F509" s="20"/>
      <c r="G509" s="20"/>
      <c r="H509" s="17"/>
      <c r="I509" s="21"/>
      <c r="J509" s="22"/>
      <c r="K509" s="17"/>
      <c r="L509" s="23"/>
      <c r="M509" s="24"/>
      <c r="N509" s="24"/>
      <c r="O509" s="25"/>
    </row>
    <row r="510" spans="4:15">
      <c r="D510" s="19"/>
      <c r="E510" s="19"/>
      <c r="F510" s="20"/>
      <c r="G510" s="20"/>
      <c r="H510" s="17"/>
      <c r="I510" s="21"/>
      <c r="J510" s="22"/>
      <c r="K510" s="17"/>
      <c r="L510" s="23"/>
      <c r="M510" s="24"/>
      <c r="N510" s="24"/>
      <c r="O510" s="25"/>
    </row>
  </sheetData>
  <sortState ref="B21:O36">
    <sortCondition ref="E21:E36"/>
  </sortState>
  <mergeCells count="6">
    <mergeCell ref="H7:I7"/>
    <mergeCell ref="L6:M6"/>
    <mergeCell ref="A1:P1"/>
    <mergeCell ref="A2:P2"/>
    <mergeCell ref="A3:P3"/>
    <mergeCell ref="A4:P4"/>
  </mergeCells>
  <phoneticPr fontId="4" type="noConversion"/>
  <printOptions horizontalCentered="1"/>
  <pageMargins left="0.5" right="0.5" top="0.7" bottom="0.55000000000000004" header="0.5" footer="0.5"/>
  <pageSetup scale="6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58CAA1D-27F0-49F8-B9A5-CA7AACFB64E7}"/>
</file>

<file path=customXml/itemProps2.xml><?xml version="1.0" encoding="utf-8"?>
<ds:datastoreItem xmlns:ds="http://schemas.openxmlformats.org/officeDocument/2006/customXml" ds:itemID="{2C11D2DF-4AEA-4840-B6CD-D3F76113BCEB}"/>
</file>

<file path=customXml/itemProps3.xml><?xml version="1.0" encoding="utf-8"?>
<ds:datastoreItem xmlns:ds="http://schemas.openxmlformats.org/officeDocument/2006/customXml" ds:itemID="{3641F182-547B-47A7-8F2A-BA04E3D4C90D}"/>
</file>

<file path=customXml/itemProps4.xml><?xml version="1.0" encoding="utf-8"?>
<ds:datastoreItem xmlns:ds="http://schemas.openxmlformats.org/officeDocument/2006/customXml" ds:itemID="{D41B7A3C-A2CE-4DC2-BB83-146D566184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p29576</cp:lastModifiedBy>
  <cp:lastPrinted>2013-01-09T01:54:05Z</cp:lastPrinted>
  <dcterms:created xsi:type="dcterms:W3CDTF">1997-02-11T16:29:17Z</dcterms:created>
  <dcterms:modified xsi:type="dcterms:W3CDTF">2013-01-09T01:56:34Z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