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860" tabRatio="951" activeTab="0"/>
  </bookViews>
  <sheets>
    <sheet name="KSM-NCS-2 Rev Req" sheetId="1" r:id="rId1"/>
    <sheet name="KSM-NCS-3 p1 Test Year Results" sheetId="2" r:id="rId2"/>
    <sheet name="KSM-NCS-3 p2&amp;3 O&amp;M" sheetId="3" r:id="rId3"/>
    <sheet name="KSM-NCS-3 p4&amp;5 Factors" sheetId="4" r:id="rId4"/>
    <sheet name="KSM-NCS-3 p6&amp;7 Rate Base" sheetId="5" r:id="rId5"/>
    <sheet name="KSM-NCS-3 p8 Taxes" sheetId="6" r:id="rId6"/>
    <sheet name="KSM-NCS-3 p9 Other Rev&amp;Tax" sheetId="7" r:id="rId7"/>
    <sheet name="KSM-NCS-3 p10 Cost of Cap" sheetId="8" r:id="rId8"/>
    <sheet name="KSM-NCS-4 p1 Rev Req" sheetId="9" r:id="rId9"/>
    <sheet name="KSM-NCS-4 p2&amp;3 Adjust Issues" sheetId="10" r:id="rId10"/>
    <sheet name="KSM-NCS-4 p4&amp;5 Adjust Tax" sheetId="11" r:id="rId11"/>
    <sheet name="KSM-NCS-4 p6 Rev &amp; Cost" sheetId="12" r:id="rId12"/>
    <sheet name="KSM-NCS-4 p7 Misc Rev Adjs" sheetId="13" r:id="rId13"/>
    <sheet name="KSM-NCS-4 p8 Bonuses" sheetId="14" r:id="rId14"/>
    <sheet name="KSM-NCS-4 p9 Severance" sheetId="15" r:id="rId15"/>
    <sheet name="KSM-NCS-4 p10 Property Taxes" sheetId="16" r:id="rId16"/>
    <sheet name="KSM-NCS-4 p11 Uncollectibles" sheetId="17" r:id="rId17"/>
    <sheet name="KSM-NCS-4 p12 Working Cap" sheetId="18" r:id="rId18"/>
    <sheet name="KSM-NCS-4 p13 Marketing" sheetId="19" r:id="rId19"/>
    <sheet name="KSM-NCS-4 p14 Claims" sheetId="20" r:id="rId20"/>
    <sheet name="KSM-NCS-4 p15 AMR" sheetId="21" r:id="rId21"/>
    <sheet name="KSM-NCS-4 p16 Rate Case Exp" sheetId="22" r:id="rId22"/>
    <sheet name="KSM-NCS-4 p17 Clearing" sheetId="23" r:id="rId23"/>
    <sheet name="KSM-NCS-4 p18 Payroll 1" sheetId="24" r:id="rId24"/>
    <sheet name="KSM-NCS-4 p19 Payroll 2" sheetId="25" r:id="rId25"/>
    <sheet name="KSM-NCS-4 p20 Pay Overheads" sheetId="26" r:id="rId26"/>
    <sheet name="KSM-NCS-4 p21 Depreciation" sheetId="27" r:id="rId27"/>
    <sheet name="KSM-NCS-4 p24 Pre-81 Taxes" sheetId="28" r:id="rId28"/>
    <sheet name="KSM-NCS-4 p27 SAP" sheetId="29" r:id="rId29"/>
  </sheets>
  <externalReferences>
    <externalReference r:id="rId32"/>
  </externalReferences>
  <definedNames>
    <definedName name="calcsheet1">#N/A</definedName>
    <definedName name="calcsheet2">#N/A</definedName>
    <definedName name="calcsheet3">#N/A</definedName>
    <definedName name="casepg1">#N/A</definedName>
    <definedName name="I">"a1..m50"</definedName>
    <definedName name="NORMALIZE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PG3">#N/A</definedName>
    <definedName name="_xlnm.Print_Area" localSheetId="0">'KSM-NCS-2 Rev Req'!$A$1:$G$40</definedName>
    <definedName name="_xlnm.Print_Area" localSheetId="1">'KSM-NCS-3 p1 Test Year Results'!$A$1:$E$41</definedName>
    <definedName name="_xlnm.Print_Area" localSheetId="7">'KSM-NCS-3 p10 Cost of Cap'!$A$1:$E$49</definedName>
    <definedName name="_xlnm.Print_Area" localSheetId="2">'KSM-NCS-3 p2&amp;3 O&amp;M'!$A$7:$G$105</definedName>
    <definedName name="_xlnm.Print_Area" localSheetId="3">'KSM-NCS-3 p4&amp;5 Factors'!$A$1:$F$128</definedName>
    <definedName name="_xlnm.Print_Area" localSheetId="4">'KSM-NCS-3 p6&amp;7 Rate Base'!$A$1:$Q$98</definedName>
    <definedName name="_xlnm.Print_Area" localSheetId="5">'KSM-NCS-3 p8 Taxes'!$A$1:$C$27</definedName>
    <definedName name="_xlnm.Print_Area" localSheetId="6">'KSM-NCS-3 p9 Other Rev&amp;Tax'!$A$1:$G$43</definedName>
    <definedName name="_xlnm.Print_Area" localSheetId="8">'KSM-NCS-4 p1 Rev Req'!$A$1:$G$40</definedName>
    <definedName name="_xlnm.Print_Area" localSheetId="16">'KSM-NCS-4 p11 Uncollectibles'!$A$1:$F$48</definedName>
    <definedName name="_xlnm.Print_Area" localSheetId="17">'KSM-NCS-4 p12 Working Cap'!$A$1:$D$65</definedName>
    <definedName name="_xlnm.Print_Area" localSheetId="19">'KSM-NCS-4 p14 Claims'!$A$1:$E$23</definedName>
    <definedName name="_xlnm.Print_Area" localSheetId="20">'KSM-NCS-4 p15 AMR'!$A$1:$C$29</definedName>
    <definedName name="_xlnm.Print_Area" localSheetId="21">'KSM-NCS-4 p16 Rate Case Exp'!$A$1:$C$13</definedName>
    <definedName name="_xlnm.Print_Area" localSheetId="22">'KSM-NCS-4 p17 Clearing'!$A$1:$D$21</definedName>
    <definedName name="_xlnm.Print_Area" localSheetId="23">'KSM-NCS-4 p18 Payroll 1'!$A$1:$G$42</definedName>
    <definedName name="_xlnm.Print_Area" localSheetId="9">'KSM-NCS-4 p2&amp;3 Adjust Issues'!$C$1:$V$50</definedName>
    <definedName name="_xlnm.Print_Area" localSheetId="25">'KSM-NCS-4 p20 Pay Overheads'!$A$1:$E$50</definedName>
    <definedName name="_xlnm.Print_Area" localSheetId="26">'KSM-NCS-4 p21 Depreciation'!$A$1:$C$15</definedName>
    <definedName name="_xlnm.Print_Area" localSheetId="27">'KSM-NCS-4 p24 Pre-81 Taxes'!$A$1:$C$26</definedName>
    <definedName name="_xlnm.Print_Area" localSheetId="28">'KSM-NCS-4 p27 SAP'!$A$1:$C$38</definedName>
    <definedName name="_xlnm.Print_Area" localSheetId="10">'KSM-NCS-4 p4&amp;5 Adjust Tax'!$C$1:$V$47</definedName>
    <definedName name="_xlnm.Print_Area" localSheetId="12">'KSM-NCS-4 p7 Misc Rev Adjs'!$A$1:$F$32</definedName>
    <definedName name="_xlnm.Print_Area" localSheetId="13">'KSM-NCS-4 p8 Bonuses'!$A$1:$H$40</definedName>
    <definedName name="_xlnm.Print_Titles" localSheetId="2">'KSM-NCS-3 p2&amp;3 O&amp;M'!$1:$6</definedName>
    <definedName name="_xlnm.Print_Titles" localSheetId="4">'KSM-NCS-3 p6&amp;7 Rate Base'!$1:$6</definedName>
    <definedName name="_xlnm.Print_Titles" localSheetId="9">'KSM-NCS-4 p2&amp;3 Adjust Issues'!$A:$B</definedName>
    <definedName name="_xlnm.Print_Titles" localSheetId="10">'KSM-NCS-4 p4&amp;5 Adjust Tax'!$A:$B</definedName>
    <definedName name="print55">#REF!</definedName>
    <definedName name="ror_1">#N/A</definedName>
    <definedName name="ror_2">#N/A</definedName>
    <definedName name="sue">#N/A</definedName>
    <definedName name="WS3A2">#N/A</definedName>
  </definedNames>
  <calcPr fullCalcOnLoad="1"/>
</workbook>
</file>

<file path=xl/sharedStrings.xml><?xml version="1.0" encoding="utf-8"?>
<sst xmlns="http://schemas.openxmlformats.org/spreadsheetml/2006/main" count="1415" uniqueCount="780">
  <si>
    <t>NW Natural</t>
  </si>
  <si>
    <t>Northwest Natural Gas Company</t>
  </si>
  <si>
    <t>Worksheet g</t>
  </si>
  <si>
    <t>Worksheet h</t>
  </si>
  <si>
    <t>Washington Rate Case</t>
  </si>
  <si>
    <t>State Allocation Factors</t>
  </si>
  <si>
    <t>Test Period Actuals Tax Adjustment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</si>
  <si>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</si>
  <si>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</si>
  <si>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</si>
  <si>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</si>
  <si>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</si>
  <si>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</si>
  <si>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</si>
  <si>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 xml:space="preserve">($000 - except Washington amounts) </t>
  </si>
  <si>
    <t>Test Year</t>
  </si>
  <si>
    <t>Proposed</t>
  </si>
  <si>
    <t>Test Year at</t>
  </si>
  <si>
    <t>Customers</t>
  </si>
  <si>
    <t>Weather</t>
  </si>
  <si>
    <t>Line</t>
  </si>
  <si>
    <t>Results</t>
  </si>
  <si>
    <t>Rate</t>
  </si>
  <si>
    <t>May</t>
  </si>
  <si>
    <t xml:space="preserve">Line </t>
  </si>
  <si>
    <t>Percent of</t>
  </si>
  <si>
    <t>Weighted</t>
  </si>
  <si>
    <t xml:space="preserve">Normalized </t>
  </si>
  <si>
    <t>Payroll</t>
  </si>
  <si>
    <t>Working</t>
  </si>
  <si>
    <t>Marketing and</t>
  </si>
  <si>
    <t>Net</t>
  </si>
  <si>
    <t>Adjustment</t>
  </si>
  <si>
    <t>Three Year</t>
  </si>
  <si>
    <t>Expensed</t>
  </si>
  <si>
    <t>Disallowance</t>
  </si>
  <si>
    <t>Disallowed</t>
  </si>
  <si>
    <t>No.</t>
  </si>
  <si>
    <t>Adjustments</t>
  </si>
  <si>
    <t>Adjusted</t>
  </si>
  <si>
    <t>Increase</t>
  </si>
  <si>
    <t>Equity Return</t>
  </si>
  <si>
    <t>Total Customers</t>
  </si>
  <si>
    <t>Gross Plant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</si>
  <si>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</si>
  <si>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</si>
  <si>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</si>
  <si>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</si>
  <si>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</si>
  <si>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</si>
  <si>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</si>
  <si>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</si>
  <si>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</si>
  <si>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Claims</t>
  </si>
  <si>
    <t xml:space="preserve">Total </t>
  </si>
  <si>
    <t>Normalized</t>
  </si>
  <si>
    <t>Normalizing</t>
  </si>
  <si>
    <t>Allocation</t>
  </si>
  <si>
    <t>Accrual</t>
  </si>
  <si>
    <t>Amount</t>
  </si>
  <si>
    <t>Percent</t>
  </si>
  <si>
    <t>Customers-all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</si>
  <si>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</si>
  <si>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</si>
  <si>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</si>
  <si>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</si>
  <si>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</si>
  <si>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</si>
  <si>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</si>
  <si>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</si>
  <si>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Therms</t>
  </si>
  <si>
    <t>Revenue</t>
  </si>
  <si>
    <t>Revenues</t>
  </si>
  <si>
    <t>Effect</t>
  </si>
  <si>
    <t>(f)=(d)-(e)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</si>
  <si>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</si>
  <si>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</si>
  <si>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</si>
  <si>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</si>
  <si>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</si>
  <si>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</si>
  <si>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</si>
  <si>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</si>
  <si>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</si>
  <si>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(n)</t>
  </si>
  <si>
    <t>(o)</t>
  </si>
  <si>
    <t>Performance Bonus - O &amp; M</t>
  </si>
  <si>
    <t>Operating Revenues</t>
  </si>
  <si>
    <t xml:space="preserve">   Average</t>
  </si>
  <si>
    <t>Gas Revenues</t>
  </si>
  <si>
    <t>Marketing Expenses</t>
  </si>
  <si>
    <t xml:space="preserve">   Sale of Gas                                                     </t>
  </si>
  <si>
    <t xml:space="preserve">      % of System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</si>
  <si>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</si>
  <si>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</si>
  <si>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</si>
  <si>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</si>
  <si>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</si>
  <si>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</si>
  <si>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</si>
  <si>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</si>
  <si>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</si>
  <si>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>Promotional Expenses</t>
  </si>
  <si>
    <t xml:space="preserve">   Miscellaneous Revenues</t>
  </si>
  <si>
    <t>Residential Customers</t>
  </si>
  <si>
    <t>Interest on Historic Average Rate Base</t>
  </si>
  <si>
    <t xml:space="preserve">   Preferred Stock</t>
  </si>
  <si>
    <t xml:space="preserve">   Transportation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</si>
  <si>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</si>
  <si>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</si>
  <si>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</si>
  <si>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</si>
  <si>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</si>
  <si>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  Total</t>
  </si>
  <si>
    <t xml:space="preserve">    Interruptible</t>
  </si>
  <si>
    <t xml:space="preserve">   Total Expense Disallowed - Washington</t>
  </si>
  <si>
    <t xml:space="preserve">   Actual Claims - Ordinary </t>
  </si>
  <si>
    <t xml:space="preserve">      Total Operating Revenues</t>
  </si>
  <si>
    <t>Pre-Tax Net Income</t>
  </si>
  <si>
    <t xml:space="preserve">       Total </t>
  </si>
  <si>
    <t xml:space="preserve">   3-Year Average Claims - Extraordinary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</si>
  <si>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</si>
  <si>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</si>
  <si>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</si>
  <si>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</si>
  <si>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</si>
  <si>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 xml:space="preserve">   % of System</t>
  </si>
  <si>
    <t>Less:  Permanent Differences</t>
  </si>
  <si>
    <t>Total Sales</t>
  </si>
  <si>
    <t>Net Write-Offs</t>
  </si>
  <si>
    <t xml:space="preserve">   Gas Purchased</t>
  </si>
  <si>
    <t>Customer Advances</t>
  </si>
  <si>
    <t>Direct</t>
  </si>
  <si>
    <t>Revenue Sensitive Costs</t>
  </si>
  <si>
    <t>Adjustment - System (line 4 - line 1)</t>
  </si>
  <si>
    <t xml:space="preserve">   Uncollectible Accrual for Gas Sales </t>
  </si>
  <si>
    <t>Commercial Customers</t>
  </si>
  <si>
    <t>Taxable Income</t>
  </si>
  <si>
    <t xml:space="preserve">   Other Operating &amp; Maintenance Expenses   </t>
  </si>
  <si>
    <t>Water Heater Program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</si>
  <si>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</si>
  <si>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</si>
  <si>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</si>
  <si>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</si>
  <si>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</si>
  <si>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</si>
  <si>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</si>
  <si>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</si>
  <si>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</si>
  <si>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</si>
  <si>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Key Goals Bonus - O &amp; M</t>
  </si>
  <si>
    <t>Deferred Taxes</t>
  </si>
  <si>
    <t>State</t>
  </si>
  <si>
    <t>Write-Off % - 3-Year Average</t>
  </si>
  <si>
    <t xml:space="preserve">   Federal Income Tax</t>
  </si>
  <si>
    <t>Industrial Customers</t>
  </si>
  <si>
    <t>Federal</t>
  </si>
  <si>
    <t xml:space="preserve">   Property Taxes</t>
  </si>
  <si>
    <t xml:space="preserve">   O &amp; M - Uncollectible </t>
  </si>
  <si>
    <t/>
  </si>
  <si>
    <t xml:space="preserve">   Oregon Excise Tax</t>
  </si>
  <si>
    <t xml:space="preserve">   Other Taxes</t>
  </si>
  <si>
    <t xml:space="preserve">   Franchise Taxes </t>
  </si>
  <si>
    <t xml:space="preserve">   Depreciation &amp; Amortization</t>
  </si>
  <si>
    <t xml:space="preserve">   WA Utility Tax</t>
  </si>
  <si>
    <t xml:space="preserve">   WUTC Fee</t>
  </si>
  <si>
    <t xml:space="preserve">       Weighted Total [1]</t>
  </si>
  <si>
    <t xml:space="preserve">      Total Operating Revenue Deductions</t>
  </si>
  <si>
    <t>Average Rate Base</t>
  </si>
  <si>
    <t>Key Goals Bonus - Construction</t>
  </si>
  <si>
    <t xml:space="preserve">The Dalles </t>
  </si>
  <si>
    <t>Average Deferred Taxes</t>
  </si>
  <si>
    <t xml:space="preserve">   State Taxable Income</t>
  </si>
  <si>
    <t xml:space="preserve">Normalized Uncollectible </t>
  </si>
  <si>
    <t xml:space="preserve">        Net Operating Revenues</t>
  </si>
  <si>
    <t>Ending Deferred Taxes</t>
  </si>
  <si>
    <t xml:space="preserve">   State Income Tax </t>
  </si>
  <si>
    <t xml:space="preserve">      Net Operating Revenues</t>
  </si>
  <si>
    <t xml:space="preserve">      Total Rate Base</t>
  </si>
  <si>
    <t xml:space="preserve">   Federal Taxable Income</t>
  </si>
  <si>
    <t>Other Charges</t>
  </si>
  <si>
    <t>Washington Allocation Factor</t>
  </si>
  <si>
    <t xml:space="preserve">   Utility Plant in Service</t>
  </si>
  <si>
    <t xml:space="preserve">   Rate of Return</t>
  </si>
  <si>
    <t>Portland / Vancouver</t>
  </si>
  <si>
    <t xml:space="preserve">   Total Income Taxes </t>
  </si>
  <si>
    <t xml:space="preserve">   Accumulated Depreciation</t>
  </si>
  <si>
    <t>Total Deliveries</t>
  </si>
  <si>
    <t>Allocation Factor</t>
  </si>
  <si>
    <t>Customers - All</t>
  </si>
  <si>
    <t xml:space="preserve">   Return on Common Equity</t>
  </si>
  <si>
    <t xml:space="preserve">   Total Revenue Sensitive Costs</t>
  </si>
  <si>
    <t xml:space="preserve">      Net Utility Plant</t>
  </si>
  <si>
    <t>Employee Cost</t>
  </si>
  <si>
    <t>Washington Normalized Amount (X 1000)</t>
  </si>
  <si>
    <t xml:space="preserve">   Utility Operating Income </t>
  </si>
  <si>
    <t xml:space="preserve">   Storage Gas</t>
  </si>
  <si>
    <t>Washington Allocation of Accrued Amount</t>
  </si>
  <si>
    <t>Tax Check</t>
  </si>
  <si>
    <t>Portland / Vancouver Commercial</t>
  </si>
  <si>
    <t xml:space="preserve">   Water Heater Program</t>
  </si>
  <si>
    <t>Extraordinary Claims</t>
  </si>
  <si>
    <t xml:space="preserve">   Net-to-gross factor</t>
  </si>
  <si>
    <t xml:space="preserve">   Leasehold Improvements </t>
  </si>
  <si>
    <t>Cost of Gas</t>
  </si>
  <si>
    <t xml:space="preserve">     Adjustment (Normalized less Accrued)</t>
  </si>
  <si>
    <t>Pre-tax Net Income</t>
  </si>
  <si>
    <t xml:space="preserve">   Accumulated Deferred Income Taxes</t>
  </si>
  <si>
    <t>Interest on Rate Base</t>
  </si>
  <si>
    <t xml:space="preserve">   Interest Coordination Factor</t>
  </si>
  <si>
    <t>Costs</t>
  </si>
  <si>
    <t>Permanent Differences</t>
  </si>
  <si>
    <t>Total Demand</t>
  </si>
  <si>
    <t xml:space="preserve"> [1] Weighted uncollectible rate of</t>
  </si>
  <si>
    <t xml:space="preserve"> is used on page 1, column (b)</t>
  </si>
  <si>
    <t xml:space="preserve">   Federal tax rate </t>
  </si>
  <si>
    <t xml:space="preserve">   Interest Coordination</t>
  </si>
  <si>
    <t>Tax from Page 1</t>
  </si>
  <si>
    <t>Adjustment takes expense from test period accrual to 3 year paid average</t>
  </si>
  <si>
    <t xml:space="preserve">   Variance</t>
  </si>
  <si>
    <t xml:space="preserve">   Uncollectible Accounts</t>
  </si>
  <si>
    <t>Firm Delivered</t>
  </si>
  <si>
    <t>Revenue Requirement</t>
  </si>
  <si>
    <t>Rate Base at allowable ROR</t>
  </si>
  <si>
    <t>Incremental Net Operating Revenue</t>
  </si>
  <si>
    <t>Sales Volumes</t>
  </si>
  <si>
    <t>Grossed up for Revenue Sensitive</t>
  </si>
  <si>
    <t>Calculated ROR after applied Revenue Requirement</t>
  </si>
  <si>
    <t>Sendout Volumes</t>
  </si>
  <si>
    <t>Other Taxes</t>
  </si>
  <si>
    <t>3-factor formula (simple average)</t>
  </si>
  <si>
    <t>Gross Plant Directly Assigned</t>
  </si>
  <si>
    <t>Income Tax Calculations</t>
  </si>
  <si>
    <t>Number of Employees Directly Assigned</t>
  </si>
  <si>
    <t>Number of Customers</t>
  </si>
  <si>
    <t xml:space="preserve">   Book Revenues</t>
  </si>
  <si>
    <t xml:space="preserve">   Average </t>
  </si>
  <si>
    <t xml:space="preserve">   State Tax Depreciation</t>
  </si>
  <si>
    <t xml:space="preserve">   Interest Expense (Income)</t>
  </si>
  <si>
    <t>Derivation of factor for 3-factor - Gross Plant Directly Assigned</t>
  </si>
  <si>
    <t xml:space="preserve">   Book/Tax Differences (Sched. M)</t>
  </si>
  <si>
    <t>Rate Base</t>
  </si>
  <si>
    <t>Intangible - Other</t>
  </si>
  <si>
    <t xml:space="preserve">   State Excise Tax  [1]</t>
  </si>
  <si>
    <t>Production</t>
  </si>
  <si>
    <t xml:space="preserve">   State Tax Credit</t>
  </si>
  <si>
    <t>Transmission</t>
  </si>
  <si>
    <t>Distribution</t>
  </si>
  <si>
    <t xml:space="preserve">   Net State Income Tax</t>
  </si>
  <si>
    <t xml:space="preserve">   Excess Book(Tax) Deprec. </t>
  </si>
  <si>
    <t xml:space="preserve">   Other Sched. M Differences</t>
  </si>
  <si>
    <t>Intangible</t>
  </si>
  <si>
    <t xml:space="preserve">   Federal Income Tax  [2]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</si>
  <si>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</si>
  <si>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</si>
  <si>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</si>
  <si>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</si>
  <si>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</si>
  <si>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</si>
  <si>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 xml:space="preserve">      Total State Tax  </t>
  </si>
  <si>
    <t>Allocation Factors - All in Washington %'s</t>
  </si>
  <si>
    <t>Variance</t>
  </si>
  <si>
    <t>[1]  Statutory State Excise Tax Rate:</t>
  </si>
  <si>
    <t>[2]  Statutory Federal Income Tax Rate:</t>
  </si>
  <si>
    <t>Customers-Res</t>
  </si>
  <si>
    <t>Customers-Com</t>
  </si>
  <si>
    <t>Customers-Ind</t>
  </si>
  <si>
    <t>Customers-The Dalles</t>
  </si>
  <si>
    <t>firm volumes</t>
  </si>
  <si>
    <t>sales volumes</t>
  </si>
  <si>
    <t>sendout volumes</t>
  </si>
  <si>
    <t>sales/sendout volumes</t>
  </si>
  <si>
    <t>Customers port/van</t>
  </si>
  <si>
    <t>Customers port/van 80%</t>
  </si>
  <si>
    <t>Customers port/van com</t>
  </si>
  <si>
    <t>General</t>
  </si>
  <si>
    <t>Admin Tran</t>
  </si>
  <si>
    <t>Regulatory</t>
  </si>
  <si>
    <t>CNG and LNG</t>
  </si>
  <si>
    <t>Telemetering</t>
  </si>
  <si>
    <t>Direct-Wa</t>
  </si>
  <si>
    <t>Direct-Or</t>
  </si>
  <si>
    <t>Gross plant direct assign</t>
  </si>
  <si>
    <t>Depreciation</t>
  </si>
  <si>
    <t>Storage Gas</t>
  </si>
  <si>
    <t>Pre-tax less interest</t>
  </si>
  <si>
    <t>tax calculated</t>
  </si>
  <si>
    <t>tax on line 1</t>
  </si>
  <si>
    <t>variance</t>
  </si>
  <si>
    <t>O&amp;M</t>
  </si>
  <si>
    <t>Const</t>
  </si>
  <si>
    <t>Non-Util</t>
  </si>
  <si>
    <t>A/R</t>
  </si>
  <si>
    <t>Elimination of Clearing Account Balances</t>
  </si>
  <si>
    <t>Account Class</t>
  </si>
  <si>
    <t>601'S</t>
  </si>
  <si>
    <t>602'S</t>
  </si>
  <si>
    <t>603'S</t>
  </si>
  <si>
    <t>611'S</t>
  </si>
  <si>
    <t>617</t>
  </si>
  <si>
    <t>620-626</t>
  </si>
  <si>
    <t>628.0 &amp; 628.65</t>
  </si>
  <si>
    <t>Adjustment to O&amp;M</t>
  </si>
  <si>
    <t>628.1-99</t>
  </si>
  <si>
    <t>629'S</t>
  </si>
  <si>
    <t>Adjustment to Construction</t>
  </si>
  <si>
    <t>630'S</t>
  </si>
  <si>
    <t>640'S</t>
  </si>
  <si>
    <t>641.0-14</t>
  </si>
  <si>
    <t>641.15-16</t>
  </si>
  <si>
    <t>645'S</t>
  </si>
  <si>
    <t>650'S</t>
  </si>
  <si>
    <t>678</t>
  </si>
  <si>
    <t>687</t>
  </si>
  <si>
    <t>Depreciation Factor</t>
  </si>
  <si>
    <t xml:space="preserve">   Officers/Exempt</t>
  </si>
  <si>
    <t xml:space="preserve">   Clerical/Hourly</t>
  </si>
  <si>
    <t>Software</t>
  </si>
  <si>
    <t>Other</t>
  </si>
  <si>
    <t>Storage and storage transmission</t>
  </si>
  <si>
    <t xml:space="preserve">   Total Gross Plant</t>
  </si>
  <si>
    <t xml:space="preserve">   Total Accumulated Depreciation</t>
  </si>
  <si>
    <t>2000</t>
  </si>
  <si>
    <t>Test Period</t>
  </si>
  <si>
    <t>Sales in</t>
  </si>
  <si>
    <t>Total Sales Sendout</t>
  </si>
  <si>
    <t>Clearing</t>
  </si>
  <si>
    <t>Worksheet f</t>
  </si>
  <si>
    <t>Northwest Natural</t>
  </si>
  <si>
    <t>Investor Supplied Working Capital</t>
  </si>
  <si>
    <t>Balance</t>
  </si>
  <si>
    <t>Average Invested Capital</t>
  </si>
  <si>
    <t>Common Equity</t>
  </si>
  <si>
    <t>Preferred Stock</t>
  </si>
  <si>
    <t>Deferred ITC</t>
  </si>
  <si>
    <t>Deferred Liabilities</t>
  </si>
  <si>
    <t>Total Investment</t>
  </si>
  <si>
    <t>Average Investments</t>
  </si>
  <si>
    <t xml:space="preserve">  Utility Operating</t>
  </si>
  <si>
    <t>Plant in Service</t>
  </si>
  <si>
    <t>Deferred Income Taxes</t>
  </si>
  <si>
    <t>Gas Stored Underground - Cushion Gas</t>
  </si>
  <si>
    <t>Property Held for Future Use</t>
  </si>
  <si>
    <t>Contributions in Aid of Construction</t>
  </si>
  <si>
    <t>Total Operating Investments</t>
  </si>
  <si>
    <t xml:space="preserve">  Other Investments</t>
  </si>
  <si>
    <t>Construction Work In Process</t>
  </si>
  <si>
    <t>Non-Utility Property</t>
  </si>
  <si>
    <t>Accumulated Depreciation - non utility</t>
  </si>
  <si>
    <t>Deferred Gas Costs</t>
  </si>
  <si>
    <t>Other Deferred Debits</t>
  </si>
  <si>
    <t>Total Other Investments</t>
  </si>
  <si>
    <t xml:space="preserve">Less Working Gas Inventory </t>
  </si>
  <si>
    <t>Allowable Working Capital - System</t>
  </si>
  <si>
    <t xml:space="preserve">   Total Base Investment - System</t>
  </si>
  <si>
    <t xml:space="preserve">   Allowable Investor Supplied Working Capital</t>
  </si>
  <si>
    <t xml:space="preserve"> </t>
  </si>
  <si>
    <t>Working Gas Inventory</t>
  </si>
  <si>
    <t>Inventory allocation %</t>
  </si>
  <si>
    <t>Adjustments to Test Period</t>
  </si>
  <si>
    <t>Allocation to Washington (Gross Plant)</t>
  </si>
  <si>
    <t>Allocation to Washington (3-Factor)</t>
  </si>
  <si>
    <t>12 mo end dec</t>
  </si>
  <si>
    <t>2001</t>
  </si>
  <si>
    <t>Other Operating Revenues</t>
  </si>
  <si>
    <t>Miscellaneous Debt</t>
  </si>
  <si>
    <t>Deferred Income Tax - non-utility &amp; Oregon</t>
  </si>
  <si>
    <t>Investments in Subsidiary Companies</t>
  </si>
  <si>
    <t>Temporary Cash Investments</t>
  </si>
  <si>
    <t xml:space="preserve">  Total Average Investments (ln 14 + ln 23)</t>
  </si>
  <si>
    <t xml:space="preserve">   Investor Supplied Working Capital (ln 6 - ln 24)</t>
  </si>
  <si>
    <t xml:space="preserve">   Total Average Investment   (ln 24)</t>
  </si>
  <si>
    <t>Less CWIP   (ln 15)</t>
  </si>
  <si>
    <t>Less Deferred Gas Costs  (ln 21)</t>
  </si>
  <si>
    <t xml:space="preserve">   Working Capital Percentage Allowable (ln 27 / ln 31)</t>
  </si>
  <si>
    <t>2002</t>
  </si>
  <si>
    <t>(ln 33 X ln 32)</t>
  </si>
  <si>
    <t>Washington Gas Inventory  (ln 35 X ln 36)</t>
  </si>
  <si>
    <t xml:space="preserve">   Total Working Capital Allowance (ln 37 + ln 34)</t>
  </si>
  <si>
    <t xml:space="preserve">   Aid in Advance of Construction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</si>
  <si>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</si>
  <si>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</si>
  <si>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</si>
  <si>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</si>
  <si>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</si>
  <si>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>Tax Calculated (include ITC)</t>
  </si>
  <si>
    <t xml:space="preserve">Annualized Wages and Salaries                      </t>
  </si>
  <si>
    <t>Supervisors</t>
  </si>
  <si>
    <t>Clerical</t>
  </si>
  <si>
    <t>Hourly</t>
  </si>
  <si>
    <t>Officers</t>
  </si>
  <si>
    <t xml:space="preserve"> No. </t>
  </si>
  <si>
    <t>Adjusted Employee Count - Year-end  [1]</t>
  </si>
  <si>
    <t>Average Employee Count - Test Period  [1]</t>
  </si>
  <si>
    <t xml:space="preserve">Payroll for the Year (Actual)  </t>
  </si>
  <si>
    <t xml:space="preserve">Effect of Summer Hire Program                </t>
  </si>
  <si>
    <t>Adjusted Payroll for the Year (line 3 - line 4)</t>
  </si>
  <si>
    <t>Average Payroll per Employee</t>
  </si>
  <si>
    <t xml:space="preserve">   (line 5 / line 2)    </t>
  </si>
  <si>
    <t>Payroll Based on Year-end Employees</t>
  </si>
  <si>
    <t xml:space="preserve">   (line 6 * line 1)    </t>
  </si>
  <si>
    <t xml:space="preserve">   Adjustment to O &amp; M Payroll - System</t>
  </si>
  <si>
    <t>Washington Allocation for O&amp;M Payroll</t>
  </si>
  <si>
    <t>Adjustment to O &amp; M Payroll - Washington</t>
  </si>
  <si>
    <t xml:space="preserve">Payroll Overhead Adjustment </t>
  </si>
  <si>
    <t>Health and Life Insurance Adjustment</t>
  </si>
  <si>
    <t>Pension Adjustment</t>
  </si>
  <si>
    <t>Factor 1/</t>
  </si>
  <si>
    <t>Payroll Tax Adjustment</t>
  </si>
  <si>
    <t>O&amp;M Allocation percentage</t>
  </si>
  <si>
    <t xml:space="preserve">      Total Adjustment</t>
  </si>
  <si>
    <t>Payroll - Normalized</t>
  </si>
  <si>
    <t>O&amp;M Payroll Factor</t>
  </si>
  <si>
    <t>O&amp;M Payroll - Normalized</t>
  </si>
  <si>
    <t xml:space="preserve">O&amp;M Payroll - Actual </t>
  </si>
  <si>
    <t>1/</t>
  </si>
  <si>
    <t>Pension</t>
  </si>
  <si>
    <t>Worker's Comp</t>
  </si>
  <si>
    <t>Stores</t>
  </si>
  <si>
    <t>Small Tools</t>
  </si>
  <si>
    <t>Transportation</t>
  </si>
  <si>
    <t>Vehicle Rebuild</t>
  </si>
  <si>
    <t>Vehicles</t>
  </si>
  <si>
    <t xml:space="preserve">   Totals</t>
  </si>
  <si>
    <t>Clearing Accounts</t>
  </si>
  <si>
    <t>Total Gross Plant Directly Assigned</t>
  </si>
  <si>
    <t>Overhead</t>
  </si>
  <si>
    <t>Payroll Adjustment - Excluding Bonuses</t>
  </si>
  <si>
    <t>Notes:</t>
  </si>
  <si>
    <t>2/</t>
  </si>
  <si>
    <t>3/</t>
  </si>
  <si>
    <t>Total and Officer columns included to determine company O&amp;M % for some adjustments</t>
  </si>
  <si>
    <t>Amounts reflect average salaries at end of period count.</t>
  </si>
  <si>
    <t>Payroll - Annualized    3/</t>
  </si>
  <si>
    <t>Total   1/</t>
  </si>
  <si>
    <t>Officers  2/</t>
  </si>
  <si>
    <t>Officers Normalized Payroll</t>
  </si>
  <si>
    <t>per Officer</t>
  </si>
  <si>
    <t>[1]  Excludes Summer hires - June counts plus incremental positions</t>
  </si>
  <si>
    <t>Allocation Factor - Washington (3-Factor)</t>
  </si>
  <si>
    <t>Requested Washington Amount</t>
  </si>
  <si>
    <t>2003</t>
  </si>
  <si>
    <t>Worksheet j</t>
  </si>
  <si>
    <t>Total Adjusted Payroll</t>
  </si>
  <si>
    <t>Test Period Payroll</t>
  </si>
  <si>
    <t xml:space="preserve">   Incremental Payroll</t>
  </si>
  <si>
    <t>FICA Tax Rate</t>
  </si>
  <si>
    <t xml:space="preserve">   Incremental Payroll Taxes</t>
  </si>
  <si>
    <t>Cost of Capital and Revenue Sensitive Calculations</t>
  </si>
  <si>
    <t>Weather Normalized Gas Sales and Purchases Adjustment</t>
  </si>
  <si>
    <t>1/  Payroll Cost Allocation Factor</t>
  </si>
  <si>
    <t>EBT</t>
  </si>
  <si>
    <t>Page 2</t>
  </si>
  <si>
    <t>Worksheet a</t>
  </si>
  <si>
    <t>1999</t>
  </si>
  <si>
    <t>Firm Transportation</t>
  </si>
  <si>
    <t>Interuptible Transportation</t>
  </si>
  <si>
    <t>2004 paid</t>
  </si>
  <si>
    <t>in 2005</t>
  </si>
  <si>
    <t>Multnomah Tax</t>
  </si>
  <si>
    <t>Reconnect Charges</t>
  </si>
  <si>
    <t>Late Payment Charges</t>
  </si>
  <si>
    <t>Automated Payment Charge</t>
  </si>
  <si>
    <t>Return Check</t>
  </si>
  <si>
    <t>Field Collection</t>
  </si>
  <si>
    <t>Meter Rentals</t>
  </si>
  <si>
    <t>Utility Property Rental</t>
  </si>
  <si>
    <t>Total Other Op Revenues</t>
  </si>
  <si>
    <t>Property</t>
  </si>
  <si>
    <t>Franchise</t>
  </si>
  <si>
    <t>Regulatory Fee</t>
  </si>
  <si>
    <t>Multnomah County Business</t>
  </si>
  <si>
    <t>1997</t>
  </si>
  <si>
    <t>1998</t>
  </si>
  <si>
    <t>2004</t>
  </si>
  <si>
    <t>2005</t>
  </si>
  <si>
    <t>2005 paid</t>
  </si>
  <si>
    <t>in 2006</t>
  </si>
  <si>
    <t>Miscellaneous (include Rate Adjustments)</t>
  </si>
  <si>
    <t>Depreciation Expense</t>
  </si>
  <si>
    <t>Production Plant</t>
  </si>
  <si>
    <t>Total Depreciation Expense</t>
  </si>
  <si>
    <t>Firm Sales &amp; Direct</t>
  </si>
  <si>
    <t>Detail of Other Revenues, Other Taxes and Depreciation</t>
  </si>
  <si>
    <t>allocation</t>
  </si>
  <si>
    <t>2006</t>
  </si>
  <si>
    <t>O&amp;M %</t>
  </si>
  <si>
    <t>(l)</t>
  </si>
  <si>
    <t>(m)</t>
  </si>
  <si>
    <t>12 Months Ended September</t>
  </si>
  <si>
    <t>2005 - 2007</t>
  </si>
  <si>
    <t>12 Months Payroll - 9/30/2007</t>
  </si>
  <si>
    <t xml:space="preserve">Annualized 2008 Wage Increases (12 months)     </t>
  </si>
  <si>
    <t>Test Period - Twelve Months Ended September 30, 2007</t>
  </si>
  <si>
    <t xml:space="preserve">   September 2006</t>
  </si>
  <si>
    <t xml:space="preserve">   September 2007</t>
  </si>
  <si>
    <t>September 30, 2007</t>
  </si>
  <si>
    <t>September 30, 2006</t>
  </si>
  <si>
    <t>Volumes - 12 Months Ended 09/30/07</t>
  </si>
  <si>
    <t>Direct &amp; Gross Plant</t>
  </si>
  <si>
    <t>Test Year Based on Twelve Months Ended September 30, 2007</t>
  </si>
  <si>
    <t>2007 Supervisors Adjustment March 1, 2007</t>
  </si>
  <si>
    <t>2007 Clerical Salary Adjustment April 1, 2007</t>
  </si>
  <si>
    <t>2007 Hourly Scale Increase April 1, 2007</t>
  </si>
  <si>
    <t>2008 Supervisors Adjustment March 1, 2008</t>
  </si>
  <si>
    <t>2008 Clerical Salary Adjustment April 1, 2008</t>
  </si>
  <si>
    <t>2008 Hourly Scale Increase April 1, 2008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</si>
  <si>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</si>
  <si>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</si>
  <si>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</si>
  <si>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</si>
  <si>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</si>
  <si>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</si>
  <si>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</si>
  <si>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</si>
  <si>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</si>
  <si>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</si>
  <si>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</si>
  <si>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</si>
  <si>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12 Month</t>
  </si>
  <si>
    <t>2007</t>
  </si>
  <si>
    <t>SYSTEM</t>
  </si>
  <si>
    <t>CNG and LNG Refueling</t>
  </si>
  <si>
    <t>Subtotal Rate Base</t>
  </si>
  <si>
    <t xml:space="preserve">     Total Rate Base</t>
  </si>
  <si>
    <t>WASHINGTON</t>
  </si>
  <si>
    <t>Pre 81 Taxes</t>
  </si>
  <si>
    <t>Rate Case</t>
  </si>
  <si>
    <t>Depreciation Adjustment</t>
  </si>
  <si>
    <t>Decreased Depreciation Expense</t>
  </si>
  <si>
    <t>Outside Services - Washington Rate Case</t>
  </si>
  <si>
    <t>Rate Case Expense Adjustment</t>
  </si>
  <si>
    <t>3-Year Average for rate case frequency</t>
  </si>
  <si>
    <t>Test Period Average in use for cap struct</t>
  </si>
  <si>
    <t>Pre-1981 Taxes Adjustment</t>
  </si>
  <si>
    <t>Revised Flow-Through (Pre-1981 depreciation)</t>
  </si>
  <si>
    <t>Allocation Factor - Washington (Depreciation)</t>
  </si>
  <si>
    <t>2006 paid</t>
  </si>
  <si>
    <t>in 2007</t>
  </si>
  <si>
    <t>Health and Life O&amp;M Costs - Actual Test Period</t>
  </si>
  <si>
    <t>Health and Life O&amp;M Costs - Current Cost</t>
  </si>
  <si>
    <t>Health and Life O&amp;M Costs - Actual Test Period O&amp;M</t>
  </si>
  <si>
    <t>Pension Costs - Test Period Actual O&amp;M</t>
  </si>
  <si>
    <t>Pension Costs - Current Cost</t>
  </si>
  <si>
    <t>SAP</t>
  </si>
  <si>
    <t>SAP Adjustment</t>
  </si>
  <si>
    <t xml:space="preserve">   Washington Rate Base - Test Period</t>
  </si>
  <si>
    <t>Property Tax Adjustment</t>
  </si>
  <si>
    <t>Property Taxes - End of Period Expense</t>
  </si>
  <si>
    <t>Property Taxes - Test Period Expense</t>
  </si>
  <si>
    <t>Tax</t>
  </si>
  <si>
    <t>Firm Delivered Vols</t>
  </si>
  <si>
    <t>excludes Coos County of</t>
  </si>
  <si>
    <t>Adjustments to Miscellaneous Revenues</t>
  </si>
  <si>
    <t xml:space="preserve">No. </t>
  </si>
  <si>
    <t>Revenue &amp; Technical Adjustments</t>
  </si>
  <si>
    <t>Subtotal</t>
  </si>
  <si>
    <t>Other Miscellaneous Revenues</t>
  </si>
  <si>
    <t>3 yr avg</t>
  </si>
  <si>
    <t>[1]</t>
  </si>
  <si>
    <t>[1]  Normalized to 3-year average</t>
  </si>
  <si>
    <t>DSM - Amortization</t>
  </si>
  <si>
    <t>Y2K, Vancouver Prop, Fish Block, SMPE, West Linn Amortization</t>
  </si>
  <si>
    <t>TME SEP</t>
  </si>
  <si>
    <t>Returned Check</t>
  </si>
  <si>
    <t>Miscellaneous</t>
  </si>
  <si>
    <t>Worksheet b</t>
  </si>
  <si>
    <t>(p)</t>
  </si>
  <si>
    <t>Worksheet e</t>
  </si>
  <si>
    <t>(q)</t>
  </si>
  <si>
    <t>Worksheet i</t>
  </si>
  <si>
    <t>Worksheet k</t>
  </si>
  <si>
    <t>Worksheet l</t>
  </si>
  <si>
    <t>Worksheet p</t>
  </si>
  <si>
    <t>Misc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</si>
  <si>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</si>
  <si>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</si>
  <si>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</si>
  <si>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</si>
  <si>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</si>
  <si>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</si>
  <si>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</si>
  <si>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</si>
  <si>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</si>
  <si>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</si>
  <si>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</si>
  <si>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Annualized 2007 Wage Increases (6 months) BU</t>
  </si>
  <si>
    <t>Annualized 2007 Wage Increases (5 months) NBU</t>
  </si>
  <si>
    <t>Sales</t>
  </si>
  <si>
    <t>Unbilled amounts</t>
  </si>
  <si>
    <t>Total Transportation</t>
  </si>
  <si>
    <t>Total Cost of Gas</t>
  </si>
  <si>
    <t>Rate Base - System &amp; Washington</t>
  </si>
  <si>
    <t>Factor</t>
  </si>
  <si>
    <t>(Residential</t>
  </si>
  <si>
    <t>Customers)</t>
  </si>
  <si>
    <t>Allocated</t>
  </si>
  <si>
    <t>Marketing</t>
  </si>
  <si>
    <t>AMR Adjustment</t>
  </si>
  <si>
    <t xml:space="preserve">Test Period Pro Forma Expenses </t>
  </si>
  <si>
    <t xml:space="preserve">   Adjustment</t>
  </si>
  <si>
    <t>AMR</t>
  </si>
  <si>
    <t>Average in Rate Base</t>
  </si>
  <si>
    <t xml:space="preserve">Capital in service </t>
  </si>
  <si>
    <t xml:space="preserve">   Annualization</t>
  </si>
  <si>
    <t>12 Months ended September 30, 2005</t>
  </si>
  <si>
    <t>12 Months ended September 30, 2006</t>
  </si>
  <si>
    <t>12 Months ended September 30, 2007</t>
  </si>
  <si>
    <t>Meter Reading Expenses Allocated to Washington</t>
  </si>
  <si>
    <t>Pensions</t>
  </si>
  <si>
    <t>H&amp;L</t>
  </si>
  <si>
    <t>Western</t>
  </si>
  <si>
    <t>FAS 87</t>
  </si>
  <si>
    <t>Depreciation @ 6.66%  (15 year life)</t>
  </si>
  <si>
    <t>Comprehensive Depreciation Study - Gannett Fleming</t>
  </si>
  <si>
    <t>Addition to Rate Base - 303.1</t>
  </si>
  <si>
    <t>Addition to Rate Base - 391.2</t>
  </si>
  <si>
    <t>Allocation Factor - Washington (Customers)</t>
  </si>
  <si>
    <t xml:space="preserve">Depreciation Rate </t>
  </si>
  <si>
    <t>Washington Allocated Amount</t>
  </si>
  <si>
    <t>AMR was placed in service during December 2006</t>
  </si>
  <si>
    <t>through from $635,000 to 5,021,000</t>
  </si>
  <si>
    <t>Above changes removal cost flow-</t>
  </si>
  <si>
    <t>Above changes pre-81 depreciation flow-</t>
  </si>
  <si>
    <t>Federal Income Tax before ITC</t>
  </si>
  <si>
    <t>Investment Tax Credit (3-yr forward avg)</t>
  </si>
  <si>
    <t>ITC</t>
  </si>
  <si>
    <t>Normalized to a three year per employee average times 10 Officers</t>
  </si>
  <si>
    <t>NBU</t>
  </si>
  <si>
    <t>BU</t>
  </si>
  <si>
    <t>Employees</t>
  </si>
  <si>
    <t>Washington Allocated Results</t>
  </si>
  <si>
    <t>Cost of Debt for 9/07</t>
  </si>
  <si>
    <t>Total Washington Allocated Amount (lines 3 and 8)</t>
  </si>
  <si>
    <t>Total Depreciation Expense (lines 5 and 10)</t>
  </si>
  <si>
    <t>Marketing and Customer Communications Adjustment</t>
  </si>
  <si>
    <t>Total Customer Communications Expense</t>
  </si>
  <si>
    <t>Expenses not qualifying under 480-90-223</t>
  </si>
  <si>
    <t>Disallowed Amounts (Line 5)</t>
  </si>
  <si>
    <t>Commercial</t>
  </si>
  <si>
    <t>Industrial Firm</t>
  </si>
  <si>
    <t>Demand Incurred &amp; Deferred</t>
  </si>
  <si>
    <t>Demand Amortizations</t>
  </si>
  <si>
    <t>Commodity Incurred &amp; Deferred</t>
  </si>
  <si>
    <t>Commodity Amortizations</t>
  </si>
  <si>
    <t>Total Commodity Charges</t>
  </si>
  <si>
    <t>Severance Adjustment</t>
  </si>
  <si>
    <t>Severance - Test Period Expense</t>
  </si>
  <si>
    <t>Recovery - 3-year period</t>
  </si>
  <si>
    <t>Severance</t>
  </si>
  <si>
    <t>Uncollectible</t>
  </si>
  <si>
    <t>Restating</t>
  </si>
  <si>
    <t>Pro Forma</t>
  </si>
  <si>
    <t>(r)</t>
  </si>
  <si>
    <t>(s)</t>
  </si>
  <si>
    <t>(t)</t>
  </si>
  <si>
    <t>Worksheet c</t>
  </si>
  <si>
    <t>Worksheet d</t>
  </si>
  <si>
    <t>Worksheet q</t>
  </si>
  <si>
    <t>Worksheet r</t>
  </si>
  <si>
    <t>Cust. Comm.</t>
  </si>
  <si>
    <t>through from $2,322,000 to 0</t>
  </si>
  <si>
    <t xml:space="preserve">             Worksheet n (1)</t>
  </si>
  <si>
    <t xml:space="preserve">             Worksheet n (2)</t>
  </si>
  <si>
    <t>Total amount of proposed allowance for customer communications (ln 4 - ln 5)</t>
  </si>
  <si>
    <t>Total Adjustment for Marketing &amp; Communications (line 3 + line 7)</t>
  </si>
  <si>
    <t>Special Contracts</t>
  </si>
  <si>
    <t>c</t>
  </si>
  <si>
    <t>d</t>
  </si>
  <si>
    <t>e</t>
  </si>
  <si>
    <t>f</t>
  </si>
  <si>
    <t>Total O&amp;M Adjustment</t>
  </si>
  <si>
    <t xml:space="preserve">                 Worksheet o</t>
  </si>
  <si>
    <t>Washington Quarterly Results of Operations Report</t>
  </si>
  <si>
    <t>Operations and Maintenance Expense: Allocation of System Amounts</t>
  </si>
  <si>
    <t>Twelve Months Ended September 30, 2007</t>
  </si>
  <si>
    <t>Natural Gas Storage</t>
  </si>
  <si>
    <t>Underground Storage Expense</t>
  </si>
  <si>
    <t>Operation</t>
  </si>
  <si>
    <t>816</t>
  </si>
  <si>
    <t>Wells Expense</t>
  </si>
  <si>
    <t>818</t>
  </si>
  <si>
    <t>Compressor Station Expense</t>
  </si>
  <si>
    <t>820</t>
  </si>
  <si>
    <t>Measuring and Regulator Station Expense</t>
  </si>
  <si>
    <t>821</t>
  </si>
  <si>
    <t>Purification Expense</t>
  </si>
  <si>
    <t>Maintenance</t>
  </si>
  <si>
    <t>832</t>
  </si>
  <si>
    <t>Total Underground Storage Expense</t>
  </si>
  <si>
    <t>Other Storage Expense</t>
  </si>
  <si>
    <t>840</t>
  </si>
  <si>
    <t>Supervision and Engineering</t>
  </si>
  <si>
    <t>Total Other Storage Expense</t>
  </si>
  <si>
    <t>Liquified Natural Gas Expense</t>
  </si>
  <si>
    <t>844</t>
  </si>
  <si>
    <t>847</t>
  </si>
  <si>
    <t>Total Liquified Natural Gas Expense</t>
  </si>
  <si>
    <t>Total Natural Gas Storage</t>
  </si>
  <si>
    <t>Transmission Expense</t>
  </si>
  <si>
    <t>856</t>
  </si>
  <si>
    <t>Mains Expense</t>
  </si>
  <si>
    <t>863</t>
  </si>
  <si>
    <t>Maintenance of Mains</t>
  </si>
  <si>
    <t>Total Transmission Expense</t>
  </si>
  <si>
    <t>Distribution Expense</t>
  </si>
  <si>
    <t>870</t>
  </si>
  <si>
    <t>874</t>
  </si>
  <si>
    <t>Mains and Services Expense</t>
  </si>
  <si>
    <t>875</t>
  </si>
  <si>
    <t>Measuring and Regulator Station Expense - General</t>
  </si>
  <si>
    <t>877</t>
  </si>
  <si>
    <t>Measuring and Regulator Station Expense - City Gate</t>
  </si>
  <si>
    <t>878</t>
  </si>
  <si>
    <t>Meter and House Regulator Expense</t>
  </si>
  <si>
    <t>879</t>
  </si>
  <si>
    <t>Customer Installation Expense</t>
  </si>
  <si>
    <t>880</t>
  </si>
  <si>
    <t>Other Expense</t>
  </si>
  <si>
    <t>881</t>
  </si>
  <si>
    <t>Rents</t>
  </si>
  <si>
    <t>885</t>
  </si>
  <si>
    <t>887</t>
  </si>
  <si>
    <t>Mains</t>
  </si>
  <si>
    <t>889</t>
  </si>
  <si>
    <t>891</t>
  </si>
  <si>
    <t>892</t>
  </si>
  <si>
    <t>Services</t>
  </si>
  <si>
    <t>893</t>
  </si>
  <si>
    <t>Meters and House Regulators</t>
  </si>
  <si>
    <t>894</t>
  </si>
  <si>
    <t>Other Equipment</t>
  </si>
  <si>
    <t>Total Distribution Expense</t>
  </si>
  <si>
    <t>Customer Accounts Expense</t>
  </si>
  <si>
    <t>901</t>
  </si>
  <si>
    <t>Supervision</t>
  </si>
  <si>
    <t>902</t>
  </si>
  <si>
    <t>Meter Reading Expenses</t>
  </si>
  <si>
    <t>903</t>
  </si>
  <si>
    <t>Customer Records and Collection Expense</t>
  </si>
  <si>
    <t>904</t>
  </si>
  <si>
    <t>Uncollectible Accounts</t>
  </si>
  <si>
    <t>Total Customer Accounts Expense</t>
  </si>
  <si>
    <t>Customer Service and Informational</t>
  </si>
  <si>
    <t>907</t>
  </si>
  <si>
    <t>908</t>
  </si>
  <si>
    <t>Customer Assistance Expense</t>
  </si>
  <si>
    <t>Customer Information Expense</t>
  </si>
  <si>
    <t>910</t>
  </si>
  <si>
    <t>Miscellaneous Customer Service Expense</t>
  </si>
  <si>
    <t>Total Customer Service and Informational</t>
  </si>
  <si>
    <t>Sales Expense</t>
  </si>
  <si>
    <t>911</t>
  </si>
  <si>
    <t>912</t>
  </si>
  <si>
    <t>Demonstration and Selling Expense</t>
  </si>
  <si>
    <t>913</t>
  </si>
  <si>
    <t>Advertising</t>
  </si>
  <si>
    <t>916</t>
  </si>
  <si>
    <t>Miscellaneous Sales Expense</t>
  </si>
  <si>
    <t>Total Sales Expense</t>
  </si>
  <si>
    <t>Administrative and General Expense</t>
  </si>
  <si>
    <t>921</t>
  </si>
  <si>
    <t>Office Supplies and Expense</t>
  </si>
  <si>
    <t>922</t>
  </si>
  <si>
    <t>Administrative Expenses Transferred - Credit</t>
  </si>
  <si>
    <t>924</t>
  </si>
  <si>
    <t>Property Insurance Premium</t>
  </si>
  <si>
    <t>925</t>
  </si>
  <si>
    <t>Injuries and Damages</t>
  </si>
  <si>
    <t>926</t>
  </si>
  <si>
    <t>Employee Pensions and Benefits</t>
  </si>
  <si>
    <t>928</t>
  </si>
  <si>
    <t>Regulatory Commission Expense</t>
  </si>
  <si>
    <t>930</t>
  </si>
  <si>
    <t>Miscellaneous General Expense</t>
  </si>
  <si>
    <t>931</t>
  </si>
  <si>
    <t>935</t>
  </si>
  <si>
    <t>Maintenance of General Plant</t>
  </si>
  <si>
    <t>Total Administrative and General Expense</t>
  </si>
  <si>
    <t>Total Operations and Maintenance Expense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</si>
</sst>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&quot;$&quot;#,##0.0_);\(&quot;$&quot;#,##0.0\)"/>
    <numFmt numFmtId="168" formatCode="#,##0.0"/>
    <numFmt numFmtId="169" formatCode="General_)"/>
    <numFmt numFmtId="170" formatCode="_(* #,##0_);_(* \(#,##0\);_(* &quot;-&quot;??_);_(@_)"/>
    <numFmt numFmtId="171" formatCode="&quot;$&quot;#,##0.00000_);\(&quot;$&quot;#,##0.00000\)"/>
    <numFmt numFmtId="172" formatCode="dd\-mmm\-yy_)"/>
    <numFmt numFmtId="173" formatCode="_(* #,##0.00000_);_(* \(#,##0.00000\);_(* &quot;-&quot;??_);_(@_)"/>
    <numFmt numFmtId="174" formatCode="_(&quot;$&quot;* #,##0.00000_);_(&quot;$&quot;* \(#,##0.00000\);_(&quot;$&quot;* &quot;-&quot;??_);_(@_)"/>
    <numFmt numFmtId="175" formatCode="&quot;$&quot;#,##0.000000_);\(&quot;$&quot;#,##0.000000\)"/>
    <numFmt numFmtId="176" formatCode="0.00000%"/>
    <numFmt numFmtId="177" formatCode="0.000000%"/>
    <numFmt numFmtId="178" formatCode="&quot;$&quot;#,##0.000_);\(&quot;$&quot;#,##0.000\)"/>
    <numFmt numFmtId="179" formatCode="&quot;$&quot;#,##0.0000_);\(&quot;$&quot;#,##0.0000\)"/>
    <numFmt numFmtId="180" formatCode="&quot;$&quot;#,##0.00000_);[Red]\(&quot;$&quot;#,##0.00000\)"/>
    <numFmt numFmtId="181" formatCode="&quot;$&quot;#,##0"/>
    <numFmt numFmtId="182" formatCode="&quot;$&quot;#,##0.00000"/>
    <numFmt numFmtId="183" formatCode="_(* #,##0.000_);_(* \(#,##0.000\);_(* &quot;-&quot;???_);_(@_)"/>
    <numFmt numFmtId="184" formatCode="#,##0.000"/>
    <numFmt numFmtId="185" formatCode="#,##0.0_);\(#,##0.0\)"/>
    <numFmt numFmtId="186" formatCode="#,##0.00000_);\(#,##0.00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_);\(#,##0.000\)"/>
    <numFmt numFmtId="192" formatCode="#,##0.0000_);\(#,##0.0000\)"/>
    <numFmt numFmtId="193" formatCode="#,##0.000000_);\(#,##0.000000\)"/>
    <numFmt numFmtId="194" formatCode="_(* #,##0.0_);_(* \(#,##0.0\);_(* &quot;-&quot;?_);_(@_)"/>
    <numFmt numFmtId="195" formatCode="#,##0.00000"/>
    <numFmt numFmtId="196" formatCode="#,##0.0_);[Red]\(#,##0.0\)"/>
    <numFmt numFmtId="197" formatCode="mm/dd/yy_)"/>
    <numFmt numFmtId="198" formatCode="0_)"/>
    <numFmt numFmtId="199" formatCode="0.0000000000_)"/>
    <numFmt numFmtId="200" formatCode="0.00_);\(0.00\)"/>
    <numFmt numFmtId="201" formatCode="_(* #,##0.0_);_(* \(#,##0.0\);_(* &quot;-&quot;??_);_(@_)"/>
    <numFmt numFmtId="202" formatCode="0.0000_);\(0.0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name val="Times New Roman"/>
      <family val="0"/>
    </font>
    <font>
      <u val="single"/>
      <sz val="10"/>
      <name val="Tahoma"/>
      <family val="2"/>
    </font>
    <font>
      <sz val="10"/>
      <name val="Arial"/>
      <family val="0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0" fillId="0" borderId="0">
      <alignment vertical="top"/>
      <protection/>
    </xf>
    <xf numFmtId="4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5" fontId="0" fillId="0" borderId="0">
      <alignment vertical="top"/>
      <protection/>
    </xf>
    <xf numFmtId="5" fontId="0" fillId="0" borderId="0">
      <alignment vertical="top"/>
      <protection/>
    </xf>
    <xf numFmtId="5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 horizontal="right" vertical="top"/>
      <protection/>
    </xf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5" applyNumberFormat="0" applyFont="0" applyAlignment="0" applyProtection="0"/>
    <xf numFmtId="3" fontId="0" fillId="0" borderId="6">
      <alignment vertical="top"/>
      <protection/>
    </xf>
    <xf numFmtId="0" fontId="41" fillId="27" borderId="7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8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39">
    <xf numFmtId="3" fontId="0" fillId="0" borderId="0" xfId="0" applyNumberFormat="1" applyFont="1" applyAlignment="1">
      <alignment vertical="top"/>
    </xf>
    <xf numFmtId="3" fontId="3" fillId="0" borderId="0" xfId="46" applyFont="1" applyAlignment="1" quotePrefix="1">
      <alignment horizontal="left" vertical="top"/>
    </xf>
    <xf numFmtId="3" fontId="3" fillId="0" borderId="0" xfId="46" applyFont="1" applyAlignment="1">
      <alignment vertical="top"/>
    </xf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9" xfId="46" applyFont="1" applyBorder="1" applyAlignment="1">
      <alignment horizontal="center" vertical="top"/>
    </xf>
    <xf numFmtId="41" fontId="4" fillId="0" borderId="10" xfId="46" applyNumberFormat="1" applyFont="1" applyBorder="1" applyAlignment="1">
      <alignment vertical="top"/>
    </xf>
    <xf numFmtId="3" fontId="4" fillId="0" borderId="0" xfId="46" applyFont="1" applyAlignment="1">
      <alignment vertical="top"/>
    </xf>
    <xf numFmtId="10" fontId="4" fillId="0" borderId="0" xfId="75" applyFont="1" applyAlignment="1">
      <alignment vertical="top"/>
    </xf>
    <xf numFmtId="3" fontId="3" fillId="0" borderId="9" xfId="43" applyNumberFormat="1" applyFont="1" applyBorder="1" applyAlignment="1">
      <alignment horizontal="center" vertical="top"/>
    </xf>
    <xf numFmtId="3" fontId="3" fillId="0" borderId="0" xfId="43" applyNumberFormat="1" applyFont="1" applyAlignment="1">
      <alignment horizontal="center" vertical="top"/>
    </xf>
    <xf numFmtId="3" fontId="3" fillId="0" borderId="0" xfId="43" applyNumberFormat="1" applyFont="1" applyAlignment="1">
      <alignment vertical="top"/>
    </xf>
    <xf numFmtId="37" fontId="4" fillId="0" borderId="0" xfId="43" applyNumberFormat="1" applyFont="1" applyAlignment="1">
      <alignment vertical="top"/>
    </xf>
    <xf numFmtId="3" fontId="4" fillId="0" borderId="0" xfId="43" applyNumberFormat="1" applyFont="1" applyAlignment="1">
      <alignment horizontal="center" vertical="top"/>
    </xf>
    <xf numFmtId="37" fontId="4" fillId="0" borderId="9" xfId="43" applyNumberFormat="1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37" fontId="4" fillId="0" borderId="0" xfId="77" applyNumberFormat="1" applyFont="1" applyAlignment="1">
      <alignment vertical="top"/>
    </xf>
    <xf numFmtId="37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37" fontId="4" fillId="0" borderId="0" xfId="43" applyNumberFormat="1" applyFont="1" applyAlignment="1">
      <alignment horizontal="right" vertical="top"/>
    </xf>
    <xf numFmtId="3" fontId="3" fillId="0" borderId="0" xfId="43" applyNumberFormat="1" applyFont="1" applyAlignment="1">
      <alignment horizontal="left" vertical="top" indent="1"/>
    </xf>
    <xf numFmtId="164" fontId="4" fillId="0" borderId="0" xfId="75" applyNumberFormat="1" applyFont="1" applyAlignment="1">
      <alignment vertical="top"/>
    </xf>
    <xf numFmtId="3" fontId="4" fillId="0" borderId="0" xfId="0" applyNumberFormat="1" applyFont="1" applyAlignment="1" quotePrefix="1">
      <alignment vertical="top"/>
    </xf>
    <xf numFmtId="3" fontId="5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3" fillId="0" borderId="9" xfId="0" applyNumberFormat="1" applyFont="1" applyBorder="1" applyAlignment="1">
      <alignment horizontal="center" vertical="top"/>
    </xf>
    <xf numFmtId="37" fontId="4" fillId="0" borderId="9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3" fontId="4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center" vertical="top"/>
    </xf>
    <xf numFmtId="37" fontId="3" fillId="0" borderId="9" xfId="0" applyNumberFormat="1" applyFont="1" applyBorder="1" applyAlignment="1">
      <alignment horizontal="center"/>
    </xf>
    <xf numFmtId="37" fontId="4" fillId="0" borderId="10" xfId="0" applyNumberFormat="1" applyFont="1" applyBorder="1" applyAlignment="1">
      <alignment vertical="top"/>
    </xf>
    <xf numFmtId="37" fontId="4" fillId="0" borderId="0" xfId="43" applyNumberFormat="1" applyFont="1" applyAlignment="1">
      <alignment vertical="top"/>
    </xf>
    <xf numFmtId="3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 quotePrefix="1">
      <alignment horizontal="left" vertical="top"/>
    </xf>
    <xf numFmtId="3" fontId="4" fillId="0" borderId="0" xfId="0" applyNumberFormat="1" applyFont="1" applyAlignment="1" quotePrefix="1">
      <alignment horizontal="left" vertical="top"/>
    </xf>
    <xf numFmtId="5" fontId="4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 vertical="top"/>
    </xf>
    <xf numFmtId="37" fontId="3" fillId="0" borderId="0" xfId="0" applyNumberFormat="1" applyFont="1" applyAlignment="1">
      <alignment horizontal="center"/>
    </xf>
    <xf numFmtId="37" fontId="5" fillId="0" borderId="0" xfId="0" applyNumberFormat="1" applyFont="1" applyAlignment="1">
      <alignment vertical="top"/>
    </xf>
    <xf numFmtId="37" fontId="5" fillId="0" borderId="9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9" xfId="0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vertical="top"/>
    </xf>
    <xf numFmtId="0" fontId="3" fillId="0" borderId="0" xfId="0" applyFont="1" applyAlignment="1" quotePrefix="1">
      <alignment horizontal="left" vertical="top" indent="2"/>
    </xf>
    <xf numFmtId="3" fontId="4" fillId="0" borderId="9" xfId="46" applyFont="1" applyBorder="1" applyAlignment="1">
      <alignment vertical="top"/>
    </xf>
    <xf numFmtId="3" fontId="4" fillId="0" borderId="0" xfId="46" applyFont="1" applyBorder="1" applyAlignment="1">
      <alignment vertical="top"/>
    </xf>
    <xf numFmtId="10" fontId="4" fillId="0" borderId="0" xfId="75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3" fontId="4" fillId="0" borderId="0" xfId="46" applyFont="1" applyAlignment="1">
      <alignment horizontal="right" vertical="top"/>
    </xf>
    <xf numFmtId="3" fontId="4" fillId="0" borderId="0" xfId="46" applyFont="1" applyAlignment="1">
      <alignment vertical="top"/>
    </xf>
    <xf numFmtId="0" fontId="3" fillId="0" borderId="0" xfId="0" applyFont="1" applyAlignment="1" quotePrefix="1">
      <alignment horizontal="left" vertical="top"/>
    </xf>
    <xf numFmtId="3" fontId="4" fillId="0" borderId="0" xfId="0" applyNumberFormat="1" applyFont="1" applyFill="1" applyBorder="1" applyAlignment="1" applyProtection="1">
      <alignment vertical="top"/>
      <protection/>
    </xf>
    <xf numFmtId="10" fontId="5" fillId="0" borderId="0" xfId="75" applyNumberFormat="1" applyFont="1" applyAlignment="1">
      <alignment vertical="top"/>
    </xf>
    <xf numFmtId="10" fontId="4" fillId="0" borderId="0" xfId="0" applyNumberFormat="1" applyFont="1" applyAlignment="1">
      <alignment vertical="top"/>
    </xf>
    <xf numFmtId="10" fontId="4" fillId="0" borderId="9" xfId="75" applyNumberFormat="1" applyFont="1" applyBorder="1" applyAlignment="1">
      <alignment vertical="top"/>
    </xf>
    <xf numFmtId="10" fontId="4" fillId="0" borderId="0" xfId="75" applyNumberFormat="1" applyFont="1" applyFill="1" applyBorder="1" applyAlignment="1" applyProtection="1">
      <alignment vertical="top"/>
      <protection/>
    </xf>
    <xf numFmtId="170" fontId="4" fillId="0" borderId="0" xfId="43" applyNumberFormat="1" applyFont="1" applyAlignment="1">
      <alignment vertical="top"/>
    </xf>
    <xf numFmtId="3" fontId="3" fillId="0" borderId="0" xfId="46" applyFont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NumberFormat="1" applyFont="1" applyAlignment="1">
      <alignment vertical="top"/>
    </xf>
    <xf numFmtId="3" fontId="3" fillId="0" borderId="9" xfId="0" applyNumberFormat="1" applyFont="1" applyBorder="1" applyAlignment="1">
      <alignment horizontal="centerContinuous" vertical="top"/>
    </xf>
    <xf numFmtId="3" fontId="3" fillId="0" borderId="0" xfId="0" applyNumberFormat="1" applyFont="1" applyAlignment="1" quotePrefix="1">
      <alignment horizontal="center" vertical="top"/>
    </xf>
    <xf numFmtId="1" fontId="3" fillId="0" borderId="0" xfId="0" applyNumberFormat="1" applyFont="1" applyAlignment="1">
      <alignment horizontal="center" vertical="top"/>
    </xf>
    <xf numFmtId="3" fontId="3" fillId="0" borderId="11" xfId="0" applyNumberFormat="1" applyFont="1" applyBorder="1" applyAlignment="1">
      <alignment horizontal="center" vertical="top"/>
    </xf>
    <xf numFmtId="5" fontId="4" fillId="0" borderId="0" xfId="52" applyFont="1" applyAlignment="1">
      <alignment horizontal="right" vertical="top"/>
    </xf>
    <xf numFmtId="5" fontId="5" fillId="0" borderId="0" xfId="52" applyFont="1" applyAlignment="1">
      <alignment horizontal="right" vertical="top"/>
    </xf>
    <xf numFmtId="41" fontId="4" fillId="0" borderId="0" xfId="46" applyNumberFormat="1" applyFont="1" applyAlignment="1">
      <alignment horizontal="right" vertical="top"/>
    </xf>
    <xf numFmtId="41" fontId="5" fillId="0" borderId="0" xfId="46" applyNumberFormat="1" applyFont="1" applyAlignment="1">
      <alignment horizontal="right" vertical="top"/>
    </xf>
    <xf numFmtId="41" fontId="4" fillId="0" borderId="9" xfId="46" applyNumberFormat="1" applyFont="1" applyBorder="1" applyAlignment="1">
      <alignment horizontal="right" vertical="top"/>
    </xf>
    <xf numFmtId="41" fontId="5" fillId="0" borderId="9" xfId="46" applyNumberFormat="1" applyFont="1" applyBorder="1" applyAlignment="1">
      <alignment horizontal="right" vertical="top"/>
    </xf>
    <xf numFmtId="41" fontId="4" fillId="0" borderId="0" xfId="0" applyNumberFormat="1" applyFont="1" applyAlignment="1">
      <alignment vertical="top"/>
    </xf>
    <xf numFmtId="37" fontId="4" fillId="0" borderId="9" xfId="46" applyNumberFormat="1" applyFont="1" applyBorder="1" applyAlignment="1">
      <alignment horizontal="right" vertical="top"/>
    </xf>
    <xf numFmtId="37" fontId="5" fillId="0" borderId="9" xfId="46" applyNumberFormat="1" applyFont="1" applyBorder="1" applyAlignment="1">
      <alignment horizontal="right" vertical="top"/>
    </xf>
    <xf numFmtId="164" fontId="4" fillId="0" borderId="9" xfId="75" applyNumberFormat="1" applyFont="1" applyBorder="1" applyAlignment="1">
      <alignment vertical="top"/>
    </xf>
    <xf numFmtId="10" fontId="4" fillId="0" borderId="9" xfId="75" applyFont="1" applyBorder="1" applyAlignment="1">
      <alignment vertical="top"/>
    </xf>
    <xf numFmtId="5" fontId="3" fillId="0" borderId="0" xfId="0" applyNumberFormat="1" applyFont="1" applyAlignment="1">
      <alignment vertical="top"/>
    </xf>
    <xf numFmtId="5" fontId="4" fillId="0" borderId="9" xfId="0" applyNumberFormat="1" applyFont="1" applyBorder="1" applyAlignment="1">
      <alignment vertical="top"/>
    </xf>
    <xf numFmtId="5" fontId="4" fillId="0" borderId="10" xfId="0" applyNumberFormat="1" applyFont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 quotePrefix="1">
      <alignment horizontal="left" vertical="top"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3" fontId="3" fillId="0" borderId="9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/>
    </xf>
    <xf numFmtId="37" fontId="4" fillId="0" borderId="0" xfId="43" applyNumberFormat="1" applyFont="1" applyFill="1" applyAlignment="1">
      <alignment vertical="top"/>
    </xf>
    <xf numFmtId="0" fontId="3" fillId="0" borderId="0" xfId="0" applyFont="1" applyAlignment="1" quotePrefix="1">
      <alignment horizontal="left"/>
    </xf>
    <xf numFmtId="37" fontId="4" fillId="0" borderId="9" xfId="43" applyNumberFormat="1" applyFont="1" applyFill="1" applyBorder="1" applyAlignment="1">
      <alignment vertical="top"/>
    </xf>
    <xf numFmtId="164" fontId="4" fillId="0" borderId="0" xfId="75" applyNumberFormat="1" applyFont="1" applyFill="1" applyAlignment="1">
      <alignment vertical="top"/>
    </xf>
    <xf numFmtId="165" fontId="4" fillId="0" borderId="0" xfId="75" applyNumberFormat="1" applyFont="1" applyFill="1" applyAlignment="1">
      <alignment vertical="top"/>
    </xf>
    <xf numFmtId="10" fontId="4" fillId="0" borderId="9" xfId="75" applyFont="1" applyFill="1" applyBorder="1" applyAlignment="1">
      <alignment vertical="top"/>
    </xf>
    <xf numFmtId="5" fontId="4" fillId="0" borderId="10" xfId="48" applyNumberFormat="1" applyFont="1" applyFill="1" applyBorder="1" applyAlignment="1">
      <alignment vertical="top"/>
    </xf>
    <xf numFmtId="5" fontId="5" fillId="0" borderId="0" xfId="48" applyNumberFormat="1" applyFont="1" applyAlignment="1">
      <alignment horizontal="right" vertical="top"/>
    </xf>
    <xf numFmtId="9" fontId="5" fillId="0" borderId="0" xfId="75" applyNumberFormat="1" applyFont="1" applyAlignment="1">
      <alignment vertical="top"/>
    </xf>
    <xf numFmtId="5" fontId="4" fillId="0" borderId="0" xfId="52" applyFont="1" applyAlignment="1">
      <alignment vertical="top"/>
    </xf>
    <xf numFmtId="3" fontId="5" fillId="0" borderId="0" xfId="46" applyFont="1" applyAlignment="1">
      <alignment horizontal="right" vertical="top"/>
    </xf>
    <xf numFmtId="5" fontId="4" fillId="0" borderId="10" xfId="48" applyNumberFormat="1" applyFont="1" applyBorder="1" applyAlignment="1">
      <alignment vertical="top"/>
    </xf>
    <xf numFmtId="5" fontId="4" fillId="0" borderId="0" xfId="48" applyNumberFormat="1" applyFont="1" applyAlignment="1">
      <alignment vertical="top"/>
    </xf>
    <xf numFmtId="37" fontId="5" fillId="0" borderId="0" xfId="43" applyNumberFormat="1" applyFont="1" applyAlignment="1">
      <alignment vertical="top"/>
    </xf>
    <xf numFmtId="5" fontId="4" fillId="0" borderId="0" xfId="0" applyNumberFormat="1" applyFont="1" applyBorder="1" applyAlignment="1">
      <alignment vertical="top"/>
    </xf>
    <xf numFmtId="37" fontId="4" fillId="0" borderId="0" xfId="0" applyNumberFormat="1" applyFont="1" applyFill="1" applyAlignment="1">
      <alignment vertical="top"/>
    </xf>
    <xf numFmtId="5" fontId="4" fillId="0" borderId="0" xfId="52" applyFont="1" applyBorder="1" applyAlignment="1">
      <alignment vertical="top"/>
    </xf>
    <xf numFmtId="5" fontId="5" fillId="0" borderId="0" xfId="48" applyNumberFormat="1" applyFont="1" applyAlignment="1">
      <alignment vertical="top"/>
    </xf>
    <xf numFmtId="5" fontId="5" fillId="0" borderId="0" xfId="48" applyNumberFormat="1" applyFont="1" applyFill="1" applyAlignment="1">
      <alignment vertical="top"/>
    </xf>
    <xf numFmtId="0" fontId="3" fillId="0" borderId="0" xfId="0" applyNumberFormat="1" applyFont="1" applyAlignment="1">
      <alignment horizontal="right" vertical="top"/>
    </xf>
    <xf numFmtId="5" fontId="5" fillId="0" borderId="9" xfId="48" applyNumberFormat="1" applyFont="1" applyBorder="1" applyAlignment="1">
      <alignment vertical="top"/>
    </xf>
    <xf numFmtId="37" fontId="5" fillId="0" borderId="9" xfId="48" applyNumberFormat="1" applyFont="1" applyBorder="1" applyAlignment="1">
      <alignment/>
    </xf>
    <xf numFmtId="170" fontId="5" fillId="0" borderId="0" xfId="43" applyNumberFormat="1" applyFont="1" applyAlignment="1">
      <alignment/>
    </xf>
    <xf numFmtId="170" fontId="5" fillId="0" borderId="9" xfId="43" applyNumberFormat="1" applyFont="1" applyBorder="1" applyAlignment="1">
      <alignment/>
    </xf>
    <xf numFmtId="37" fontId="5" fillId="0" borderId="0" xfId="43" applyNumberFormat="1" applyFont="1" applyFill="1" applyAlignment="1">
      <alignment vertical="top"/>
    </xf>
    <xf numFmtId="37" fontId="5" fillId="0" borderId="9" xfId="43" applyNumberFormat="1" applyFont="1" applyFill="1" applyBorder="1" applyAlignment="1">
      <alignment vertical="top"/>
    </xf>
    <xf numFmtId="3" fontId="4" fillId="0" borderId="0" xfId="0" applyNumberFormat="1" applyFont="1" applyAlignment="1" applyProtection="1">
      <alignment vertical="top"/>
      <protection locked="0"/>
    </xf>
    <xf numFmtId="5" fontId="5" fillId="0" borderId="0" xfId="0" applyNumberFormat="1" applyFont="1" applyAlignment="1">
      <alignment vertical="top"/>
    </xf>
    <xf numFmtId="37" fontId="5" fillId="0" borderId="0" xfId="46" applyNumberFormat="1" applyFont="1" applyAlignment="1">
      <alignment vertical="top"/>
    </xf>
    <xf numFmtId="37" fontId="4" fillId="0" borderId="0" xfId="46" applyNumberFormat="1" applyFont="1" applyAlignment="1">
      <alignment vertical="top"/>
    </xf>
    <xf numFmtId="37" fontId="5" fillId="0" borderId="9" xfId="46" applyNumberFormat="1" applyFont="1" applyBorder="1" applyAlignment="1">
      <alignment vertical="top"/>
    </xf>
    <xf numFmtId="37" fontId="4" fillId="0" borderId="9" xfId="46" applyNumberFormat="1" applyFont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5" fontId="4" fillId="0" borderId="10" xfId="52" applyNumberFormat="1" applyFont="1" applyBorder="1" applyAlignment="1">
      <alignment vertical="top"/>
    </xf>
    <xf numFmtId="5" fontId="4" fillId="0" borderId="0" xfId="52" applyNumberFormat="1" applyFont="1" applyAlignment="1">
      <alignment vertical="top"/>
    </xf>
    <xf numFmtId="10" fontId="4" fillId="0" borderId="10" xfId="0" applyNumberFormat="1" applyFont="1" applyBorder="1" applyAlignment="1">
      <alignment vertical="top"/>
    </xf>
    <xf numFmtId="18" fontId="3" fillId="0" borderId="0" xfId="0" applyNumberFormat="1" applyFont="1" applyAlignment="1">
      <alignment vertical="top"/>
    </xf>
    <xf numFmtId="10" fontId="3" fillId="0" borderId="0" xfId="0" applyNumberFormat="1" applyFont="1" applyAlignment="1">
      <alignment horizontal="center" vertical="top"/>
    </xf>
    <xf numFmtId="37" fontId="4" fillId="0" borderId="9" xfId="43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37" fontId="5" fillId="0" borderId="9" xfId="43" applyNumberFormat="1" applyFont="1" applyBorder="1" applyAlignment="1">
      <alignment vertical="top"/>
    </xf>
    <xf numFmtId="5" fontId="4" fillId="0" borderId="10" xfId="52" applyFont="1" applyBorder="1" applyAlignment="1">
      <alignment vertical="top"/>
    </xf>
    <xf numFmtId="10" fontId="4" fillId="0" borderId="0" xfId="77" applyFont="1" applyAlignment="1">
      <alignment vertical="top"/>
    </xf>
    <xf numFmtId="3" fontId="4" fillId="0" borderId="9" xfId="0" applyNumberFormat="1" applyFont="1" applyBorder="1" applyAlignment="1">
      <alignment vertical="top"/>
    </xf>
    <xf numFmtId="9" fontId="4" fillId="0" borderId="0" xfId="0" applyNumberFormat="1" applyFont="1" applyAlignment="1">
      <alignment vertical="top"/>
    </xf>
    <xf numFmtId="5" fontId="3" fillId="0" borderId="0" xfId="0" applyNumberFormat="1" applyFont="1" applyAlignment="1">
      <alignment horizontal="center" vertical="top"/>
    </xf>
    <xf numFmtId="37" fontId="4" fillId="0" borderId="0" xfId="46" applyNumberFormat="1" applyFont="1" applyAlignment="1" quotePrefix="1">
      <alignment horizontal="left" vertical="top"/>
    </xf>
    <xf numFmtId="37" fontId="4" fillId="0" borderId="0" xfId="75" applyNumberFormat="1" applyFont="1" applyAlignment="1">
      <alignment vertical="top"/>
    </xf>
    <xf numFmtId="10" fontId="3" fillId="0" borderId="0" xfId="0" applyNumberFormat="1" applyFont="1" applyAlignment="1">
      <alignment vertical="top"/>
    </xf>
    <xf numFmtId="3" fontId="3" fillId="0" borderId="9" xfId="0" applyNumberFormat="1" applyFont="1" applyBorder="1" applyAlignment="1">
      <alignment vertical="top"/>
    </xf>
    <xf numFmtId="10" fontId="5" fillId="0" borderId="0" xfId="75" applyFont="1" applyAlignment="1">
      <alignment vertical="top"/>
    </xf>
    <xf numFmtId="10" fontId="5" fillId="0" borderId="9" xfId="75" applyFont="1" applyBorder="1" applyAlignment="1">
      <alignment vertical="top"/>
    </xf>
    <xf numFmtId="10" fontId="4" fillId="0" borderId="10" xfId="75" applyFont="1" applyBorder="1" applyAlignment="1">
      <alignment vertical="top"/>
    </xf>
    <xf numFmtId="10" fontId="4" fillId="0" borderId="9" xfId="0" applyNumberFormat="1" applyFont="1" applyBorder="1" applyAlignment="1">
      <alignment vertical="top"/>
    </xf>
    <xf numFmtId="186" fontId="4" fillId="0" borderId="0" xfId="0" applyNumberFormat="1" applyFont="1" applyAlignment="1">
      <alignment vertical="top"/>
    </xf>
    <xf numFmtId="15" fontId="3" fillId="0" borderId="0" xfId="0" applyNumberFormat="1" applyFont="1" applyAlignment="1">
      <alignment vertical="top"/>
    </xf>
    <xf numFmtId="3" fontId="9" fillId="0" borderId="0" xfId="0" applyNumberFormat="1" applyFont="1" applyAlignment="1" quotePrefix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3" fillId="0" borderId="9" xfId="0" applyNumberFormat="1" applyFont="1" applyBorder="1" applyAlignment="1" quotePrefix="1">
      <alignment horizontal="center" vertical="top"/>
    </xf>
    <xf numFmtId="0" fontId="11" fillId="0" borderId="0" xfId="0" applyFont="1" applyAlignment="1">
      <alignment vertical="top"/>
    </xf>
    <xf numFmtId="5" fontId="5" fillId="0" borderId="0" xfId="52" applyNumberFormat="1" applyFont="1" applyAlignment="1">
      <alignment vertical="top"/>
    </xf>
    <xf numFmtId="5" fontId="5" fillId="0" borderId="0" xfId="52" applyNumberFormat="1" applyFont="1" applyFill="1" applyAlignment="1">
      <alignment vertical="top"/>
    </xf>
    <xf numFmtId="37" fontId="5" fillId="0" borderId="9" xfId="46" applyNumberFormat="1" applyFont="1" applyFill="1" applyBorder="1" applyAlignment="1">
      <alignment vertical="top"/>
    </xf>
    <xf numFmtId="37" fontId="4" fillId="0" borderId="0" xfId="46" applyNumberFormat="1" applyFont="1" applyFill="1" applyAlignment="1">
      <alignment vertical="top"/>
    </xf>
    <xf numFmtId="166" fontId="4" fillId="0" borderId="0" xfId="75" applyNumberFormat="1" applyFont="1" applyFill="1" applyAlignment="1">
      <alignment vertical="top"/>
    </xf>
    <xf numFmtId="37" fontId="5" fillId="0" borderId="0" xfId="46" applyNumberFormat="1" applyFont="1" applyFill="1" applyAlignment="1">
      <alignment vertical="top"/>
    </xf>
    <xf numFmtId="166" fontId="4" fillId="0" borderId="0" xfId="75" applyNumberFormat="1" applyFont="1" applyAlignment="1">
      <alignment vertical="top"/>
    </xf>
    <xf numFmtId="3" fontId="5" fillId="0" borderId="9" xfId="0" applyNumberFormat="1" applyFont="1" applyBorder="1" applyAlignment="1">
      <alignment vertical="top"/>
    </xf>
    <xf numFmtId="164" fontId="4" fillId="0" borderId="0" xfId="75" applyNumberFormat="1" applyFont="1" applyFill="1" applyBorder="1" applyAlignment="1" applyProtection="1">
      <alignment vertical="top"/>
      <protection/>
    </xf>
    <xf numFmtId="3" fontId="3" fillId="0" borderId="0" xfId="0" applyNumberFormat="1" applyFont="1" applyAlignment="1" applyProtection="1">
      <alignment vertical="top"/>
      <protection locked="0"/>
    </xf>
    <xf numFmtId="37" fontId="4" fillId="0" borderId="0" xfId="43" applyNumberFormat="1" applyFont="1" applyAlignment="1" quotePrefix="1">
      <alignment vertical="top"/>
    </xf>
    <xf numFmtId="3" fontId="3" fillId="0" borderId="9" xfId="46" applyFont="1" applyBorder="1" applyAlignment="1" quotePrefix="1">
      <alignment horizontal="center" vertical="top"/>
    </xf>
    <xf numFmtId="3" fontId="3" fillId="0" borderId="0" xfId="46" applyFont="1" applyAlignment="1">
      <alignment horizontal="center" vertical="top"/>
    </xf>
    <xf numFmtId="37" fontId="4" fillId="0" borderId="0" xfId="43" applyNumberFormat="1" applyFont="1" applyAlignment="1" applyProtection="1">
      <alignment vertical="top"/>
      <protection/>
    </xf>
    <xf numFmtId="37" fontId="5" fillId="0" borderId="0" xfId="43" applyNumberFormat="1" applyFont="1" applyAlignment="1" applyProtection="1">
      <alignment vertical="top"/>
      <protection/>
    </xf>
    <xf numFmtId="37" fontId="4" fillId="0" borderId="0" xfId="43" applyNumberFormat="1" applyFont="1" applyBorder="1" applyAlignment="1" applyProtection="1">
      <alignment vertical="top"/>
      <protection locked="0"/>
    </xf>
    <xf numFmtId="37" fontId="4" fillId="0" borderId="0" xfId="43" applyNumberFormat="1" applyFont="1" applyBorder="1" applyAlignment="1">
      <alignment vertical="top"/>
    </xf>
    <xf numFmtId="166" fontId="4" fillId="0" borderId="9" xfId="75" applyNumberFormat="1" applyFont="1" applyBorder="1" applyAlignment="1">
      <alignment vertical="top"/>
    </xf>
    <xf numFmtId="166" fontId="5" fillId="0" borderId="9" xfId="75" applyNumberFormat="1" applyFont="1" applyFill="1" applyBorder="1" applyAlignment="1">
      <alignment vertical="top"/>
    </xf>
    <xf numFmtId="166" fontId="5" fillId="0" borderId="9" xfId="75" applyNumberFormat="1" applyFont="1" applyBorder="1" applyAlignment="1">
      <alignment vertical="top"/>
    </xf>
    <xf numFmtId="166" fontId="4" fillId="0" borderId="0" xfId="43" applyNumberFormat="1" applyFont="1" applyAlignment="1">
      <alignment vertical="top"/>
    </xf>
    <xf numFmtId="37" fontId="4" fillId="0" borderId="10" xfId="43" applyNumberFormat="1" applyFont="1" applyBorder="1" applyAlignment="1">
      <alignment vertical="top"/>
    </xf>
    <xf numFmtId="4" fontId="4" fillId="0" borderId="0" xfId="43" applyFont="1" applyAlignment="1">
      <alignment vertical="top"/>
    </xf>
    <xf numFmtId="10" fontId="5" fillId="0" borderId="0" xfId="43" applyNumberFormat="1" applyFont="1" applyAlignment="1">
      <alignment vertical="top"/>
    </xf>
    <xf numFmtId="10" fontId="4" fillId="0" borderId="0" xfId="43" applyNumberFormat="1" applyFont="1" applyAlignment="1">
      <alignment vertical="top"/>
    </xf>
    <xf numFmtId="37" fontId="4" fillId="0" borderId="0" xfId="0" applyNumberFormat="1" applyFont="1" applyAlignment="1" applyProtection="1">
      <alignment vertical="top"/>
      <protection locked="0"/>
    </xf>
    <xf numFmtId="5" fontId="4" fillId="0" borderId="0" xfId="0" applyNumberFormat="1" applyFont="1" applyAlignment="1" applyProtection="1">
      <alignment vertical="top"/>
      <protection locked="0"/>
    </xf>
    <xf numFmtId="5" fontId="4" fillId="0" borderId="0" xfId="46" applyNumberFormat="1" applyFont="1" applyAlignment="1">
      <alignment vertical="top"/>
    </xf>
    <xf numFmtId="5" fontId="5" fillId="0" borderId="9" xfId="46" applyNumberFormat="1" applyFont="1" applyBorder="1" applyAlignment="1" applyProtection="1">
      <alignment vertical="top"/>
      <protection locked="0"/>
    </xf>
    <xf numFmtId="5" fontId="5" fillId="0" borderId="9" xfId="46" applyNumberFormat="1" applyFont="1" applyBorder="1" applyAlignment="1">
      <alignment vertical="top"/>
    </xf>
    <xf numFmtId="164" fontId="4" fillId="0" borderId="0" xfId="75" applyNumberFormat="1" applyFont="1" applyAlignment="1">
      <alignment horizontal="right" vertical="top"/>
    </xf>
    <xf numFmtId="164" fontId="5" fillId="0" borderId="0" xfId="75" applyNumberFormat="1" applyFont="1" applyAlignment="1">
      <alignment horizontal="right" vertical="top"/>
    </xf>
    <xf numFmtId="164" fontId="4" fillId="0" borderId="0" xfId="75" applyNumberFormat="1" applyFont="1" applyAlignment="1">
      <alignment horizontal="center" vertical="top"/>
    </xf>
    <xf numFmtId="164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vertical="top"/>
    </xf>
    <xf numFmtId="0" fontId="3" fillId="0" borderId="9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9" xfId="0" applyNumberFormat="1" applyFont="1" applyBorder="1" applyAlignment="1">
      <alignment vertical="top"/>
    </xf>
    <xf numFmtId="4" fontId="3" fillId="0" borderId="9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 applyProtection="1">
      <alignment horizontal="left" vertical="top"/>
      <protection locked="0"/>
    </xf>
    <xf numFmtId="3" fontId="3" fillId="0" borderId="0" xfId="46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10" fontId="4" fillId="0" borderId="0" xfId="75" applyFont="1" applyFill="1" applyAlignment="1">
      <alignment horizontal="right" vertical="top"/>
    </xf>
    <xf numFmtId="37" fontId="4" fillId="0" borderId="0" xfId="52" applyNumberFormat="1" applyFont="1" applyFill="1" applyAlignment="1">
      <alignment vertical="top"/>
    </xf>
    <xf numFmtId="3" fontId="3" fillId="0" borderId="0" xfId="0" applyNumberFormat="1" applyFont="1" applyFill="1" applyAlignment="1">
      <alignment horizontal="left" vertical="top"/>
    </xf>
    <xf numFmtId="10" fontId="4" fillId="0" borderId="9" xfId="75" applyNumberFormat="1" applyFont="1" applyFill="1" applyBorder="1" applyAlignment="1">
      <alignment vertical="top"/>
    </xf>
    <xf numFmtId="37" fontId="4" fillId="0" borderId="9" xfId="52" applyNumberFormat="1" applyFont="1" applyFill="1" applyBorder="1" applyAlignment="1">
      <alignment vertical="top"/>
    </xf>
    <xf numFmtId="37" fontId="4" fillId="0" borderId="10" xfId="0" applyNumberFormat="1" applyFont="1" applyFill="1" applyBorder="1" applyAlignment="1">
      <alignment vertical="top"/>
    </xf>
    <xf numFmtId="5" fontId="4" fillId="0" borderId="10" xfId="0" applyNumberFormat="1" applyFont="1" applyFill="1" applyBorder="1" applyAlignment="1">
      <alignment vertical="top"/>
    </xf>
    <xf numFmtId="37" fontId="4" fillId="0" borderId="10" xfId="52" applyNumberFormat="1" applyFont="1" applyFill="1" applyBorder="1" applyAlignment="1">
      <alignment vertical="top"/>
    </xf>
    <xf numFmtId="10" fontId="4" fillId="0" borderId="0" xfId="75" applyFont="1" applyFill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37" fontId="4" fillId="0" borderId="9" xfId="0" applyNumberFormat="1" applyFont="1" applyFill="1" applyBorder="1" applyAlignment="1">
      <alignment vertical="top"/>
    </xf>
    <xf numFmtId="4" fontId="4" fillId="0" borderId="0" xfId="0" applyNumberFormat="1" applyFont="1" applyAlignment="1">
      <alignment horizontal="center" vertical="top"/>
    </xf>
    <xf numFmtId="0" fontId="3" fillId="0" borderId="0" xfId="71" applyFont="1" applyAlignment="1" quotePrefix="1">
      <alignment horizontal="left" vertical="top" indent="2"/>
      <protection/>
    </xf>
    <xf numFmtId="3" fontId="5" fillId="0" borderId="0" xfId="46" applyFont="1" applyFill="1" applyAlignment="1">
      <alignment vertical="top"/>
    </xf>
    <xf numFmtId="0" fontId="4" fillId="0" borderId="0" xfId="71" applyFont="1">
      <alignment vertical="top"/>
      <protection/>
    </xf>
    <xf numFmtId="3" fontId="5" fillId="0" borderId="0" xfId="46" applyFont="1" applyAlignment="1">
      <alignment vertical="top"/>
    </xf>
    <xf numFmtId="0" fontId="3" fillId="0" borderId="0" xfId="71" applyFont="1">
      <alignment vertical="top"/>
      <protection/>
    </xf>
    <xf numFmtId="0" fontId="3" fillId="0" borderId="0" xfId="71" applyFont="1" applyAlignment="1" quotePrefix="1">
      <alignment horizontal="left" vertical="top"/>
      <protection/>
    </xf>
    <xf numFmtId="37" fontId="4" fillId="0" borderId="0" xfId="43" applyNumberFormat="1" applyFont="1" applyFill="1" applyAlignment="1">
      <alignment vertical="top"/>
    </xf>
    <xf numFmtId="3" fontId="4" fillId="0" borderId="0" xfId="43" applyNumberFormat="1" applyFont="1" applyFill="1" applyAlignment="1">
      <alignment horizontal="center" vertical="top"/>
    </xf>
    <xf numFmtId="164" fontId="5" fillId="0" borderId="0" xfId="75" applyNumberFormat="1" applyFont="1" applyAlignment="1">
      <alignment vertical="top"/>
    </xf>
    <xf numFmtId="3" fontId="12" fillId="0" borderId="0" xfId="0" applyNumberFormat="1" applyFont="1" applyAlignment="1">
      <alignment horizontal="center" vertical="top"/>
    </xf>
    <xf numFmtId="3" fontId="12" fillId="0" borderId="9" xfId="0" applyNumberFormat="1" applyFont="1" applyBorder="1" applyAlignment="1">
      <alignment horizontal="center" vertical="top"/>
    </xf>
    <xf numFmtId="3" fontId="5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horizontal="center" vertical="top"/>
    </xf>
    <xf numFmtId="3" fontId="3" fillId="0" borderId="0" xfId="43" applyNumberFormat="1" applyFont="1" applyFill="1" applyAlignment="1">
      <alignment vertical="top"/>
    </xf>
    <xf numFmtId="3" fontId="3" fillId="0" borderId="0" xfId="43" applyNumberFormat="1" applyFont="1" applyFill="1" applyAlignment="1">
      <alignment horizontal="left" vertical="top" indent="1"/>
    </xf>
    <xf numFmtId="176" fontId="4" fillId="0" borderId="0" xfId="75" applyNumberFormat="1" applyFont="1" applyFill="1" applyAlignment="1">
      <alignment vertical="top"/>
    </xf>
    <xf numFmtId="37" fontId="3" fillId="0" borderId="9" xfId="0" applyNumberFormat="1" applyFont="1" applyBorder="1" applyAlignment="1" quotePrefix="1">
      <alignment horizontal="center"/>
    </xf>
    <xf numFmtId="0" fontId="4" fillId="0" borderId="0" xfId="0" applyFont="1" applyFill="1" applyBorder="1" applyAlignment="1">
      <alignment vertical="top"/>
    </xf>
    <xf numFmtId="41" fontId="3" fillId="0" borderId="0" xfId="46" applyNumberFormat="1" applyFont="1" applyFill="1" applyBorder="1" applyAlignment="1">
      <alignment horizontal="center" vertical="top"/>
    </xf>
    <xf numFmtId="3" fontId="3" fillId="0" borderId="0" xfId="46" applyFont="1" applyFill="1" applyBorder="1" applyAlignment="1">
      <alignment horizontal="center" vertical="top"/>
    </xf>
    <xf numFmtId="3" fontId="3" fillId="0" borderId="0" xfId="46" applyFont="1" applyFill="1" applyAlignment="1">
      <alignment vertical="top"/>
    </xf>
    <xf numFmtId="41" fontId="4" fillId="0" borderId="0" xfId="46" applyNumberFormat="1" applyFont="1" applyFill="1" applyBorder="1" applyAlignment="1">
      <alignment vertical="top"/>
    </xf>
    <xf numFmtId="3" fontId="3" fillId="0" borderId="0" xfId="46" applyFont="1" applyFill="1" applyBorder="1" applyAlignment="1">
      <alignment vertical="top"/>
    </xf>
    <xf numFmtId="41" fontId="4" fillId="0" borderId="0" xfId="46" applyNumberFormat="1" applyFont="1" applyFill="1" applyBorder="1" applyAlignment="1" quotePrefix="1">
      <alignment vertical="top"/>
    </xf>
    <xf numFmtId="41" fontId="4" fillId="0" borderId="9" xfId="46" applyNumberFormat="1" applyFont="1" applyFill="1" applyBorder="1" applyAlignment="1">
      <alignment vertical="top"/>
    </xf>
    <xf numFmtId="41" fontId="4" fillId="0" borderId="10" xfId="46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" fontId="4" fillId="0" borderId="0" xfId="43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41" fontId="4" fillId="0" borderId="10" xfId="0" applyNumberFormat="1" applyFont="1" applyBorder="1" applyAlignment="1">
      <alignment vertical="top"/>
    </xf>
    <xf numFmtId="5" fontId="5" fillId="0" borderId="10" xfId="48" applyNumberFormat="1" applyFont="1" applyBorder="1" applyAlignment="1">
      <alignment vertical="top"/>
    </xf>
    <xf numFmtId="165" fontId="4" fillId="0" borderId="0" xfId="75" applyNumberFormat="1" applyFont="1" applyAlignment="1">
      <alignment vertical="top"/>
    </xf>
    <xf numFmtId="5" fontId="4" fillId="0" borderId="0" xfId="48" applyNumberFormat="1" applyFont="1" applyBorder="1" applyAlignment="1">
      <alignment vertical="top"/>
    </xf>
    <xf numFmtId="5" fontId="4" fillId="0" borderId="13" xfId="0" applyNumberFormat="1" applyFont="1" applyBorder="1" applyAlignment="1">
      <alignment vertical="top"/>
    </xf>
    <xf numFmtId="3" fontId="4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horizontal="left" vertical="top" indent="1"/>
    </xf>
    <xf numFmtId="167" fontId="4" fillId="0" borderId="0" xfId="52" applyNumberFormat="1" applyFont="1" applyAlignment="1">
      <alignment horizontal="right" vertical="top"/>
    </xf>
    <xf numFmtId="167" fontId="5" fillId="0" borderId="0" xfId="0" applyNumberFormat="1" applyFont="1" applyAlignment="1">
      <alignment vertical="top"/>
    </xf>
    <xf numFmtId="185" fontId="4" fillId="0" borderId="0" xfId="0" applyNumberFormat="1" applyFont="1" applyAlignment="1">
      <alignment vertical="top"/>
    </xf>
    <xf numFmtId="185" fontId="4" fillId="0" borderId="0" xfId="52" applyNumberFormat="1" applyFont="1" applyAlignment="1">
      <alignment horizontal="right" vertical="top"/>
    </xf>
    <xf numFmtId="185" fontId="4" fillId="0" borderId="9" xfId="52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left" vertical="top" indent="2"/>
    </xf>
    <xf numFmtId="0" fontId="4" fillId="0" borderId="14" xfId="0" applyNumberFormat="1" applyFont="1" applyBorder="1" applyAlignment="1">
      <alignment horizontal="center" vertical="top"/>
    </xf>
    <xf numFmtId="3" fontId="14" fillId="0" borderId="0" xfId="0" applyNumberFormat="1" applyFont="1" applyAlignment="1" quotePrefix="1">
      <alignment horizontal="center" vertical="top"/>
    </xf>
    <xf numFmtId="3" fontId="3" fillId="0" borderId="0" xfId="0" applyNumberFormat="1" applyFont="1" applyAlignment="1">
      <alignment horizontal="left" vertical="top" indent="1"/>
    </xf>
    <xf numFmtId="185" fontId="4" fillId="0" borderId="0" xfId="69" applyNumberFormat="1" applyFont="1">
      <alignment/>
      <protection/>
    </xf>
    <xf numFmtId="10" fontId="3" fillId="0" borderId="0" xfId="77" applyFont="1" applyAlignment="1">
      <alignment horizontal="center" vertical="top"/>
    </xf>
    <xf numFmtId="168" fontId="4" fillId="0" borderId="0" xfId="0" applyNumberFormat="1" applyFont="1" applyAlignment="1">
      <alignment vertical="top"/>
    </xf>
    <xf numFmtId="185" fontId="4" fillId="0" borderId="0" xfId="52" applyNumberFormat="1" applyFont="1" applyBorder="1" applyAlignment="1">
      <alignment horizontal="right" vertical="top"/>
    </xf>
    <xf numFmtId="185" fontId="4" fillId="0" borderId="9" xfId="69" applyNumberFormat="1" applyFont="1" applyBorder="1">
      <alignment/>
      <protection/>
    </xf>
    <xf numFmtId="38" fontId="4" fillId="0" borderId="0" xfId="0" applyNumberFormat="1" applyFont="1" applyAlignment="1">
      <alignment vertical="top"/>
    </xf>
    <xf numFmtId="167" fontId="4" fillId="0" borderId="10" xfId="52" applyNumberFormat="1" applyFont="1" applyBorder="1" applyAlignment="1">
      <alignment horizontal="right" vertical="top"/>
    </xf>
    <xf numFmtId="185" fontId="5" fillId="0" borderId="9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 quotePrefix="1">
      <alignment horizontal="center" vertical="top"/>
    </xf>
    <xf numFmtId="3" fontId="4" fillId="0" borderId="0" xfId="0" applyNumberFormat="1" applyFont="1" applyBorder="1" applyAlignment="1">
      <alignment horizontal="left" vertical="top" indent="1"/>
    </xf>
    <xf numFmtId="168" fontId="5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3" fillId="0" borderId="15" xfId="0" applyNumberFormat="1" applyFont="1" applyBorder="1" applyAlignment="1">
      <alignment vertical="top"/>
    </xf>
    <xf numFmtId="0" fontId="4" fillId="0" borderId="0" xfId="70" applyFont="1">
      <alignment vertical="top"/>
      <protection/>
    </xf>
    <xf numFmtId="37" fontId="4" fillId="0" borderId="0" xfId="70" applyNumberFormat="1" applyFont="1" applyProtection="1">
      <alignment vertical="top"/>
      <protection/>
    </xf>
    <xf numFmtId="5" fontId="4" fillId="0" borderId="0" xfId="70" applyNumberFormat="1" applyFont="1" applyProtection="1">
      <alignment vertical="top"/>
      <protection/>
    </xf>
    <xf numFmtId="170" fontId="4" fillId="0" borderId="0" xfId="45" applyNumberFormat="1" applyFont="1" applyAlignment="1" applyProtection="1">
      <alignment/>
      <protection/>
    </xf>
    <xf numFmtId="169" fontId="3" fillId="0" borderId="0" xfId="70" applyNumberFormat="1" applyFont="1" applyProtection="1">
      <alignment vertical="top"/>
      <protection/>
    </xf>
    <xf numFmtId="171" fontId="4" fillId="0" borderId="0" xfId="70" applyNumberFormat="1" applyFont="1" applyProtection="1">
      <alignment vertical="top"/>
      <protection/>
    </xf>
    <xf numFmtId="172" fontId="3" fillId="0" borderId="0" xfId="70" applyNumberFormat="1" applyFont="1" applyProtection="1">
      <alignment vertical="top"/>
      <protection/>
    </xf>
    <xf numFmtId="3" fontId="4" fillId="0" borderId="0" xfId="70" applyNumberFormat="1" applyFont="1">
      <alignment vertical="top"/>
      <protection/>
    </xf>
    <xf numFmtId="3" fontId="4" fillId="0" borderId="0" xfId="70" applyNumberFormat="1" applyFont="1">
      <alignment vertical="top"/>
      <protection/>
    </xf>
    <xf numFmtId="169" fontId="3" fillId="0" borderId="12" xfId="70" applyNumberFormat="1" applyFont="1" applyBorder="1" applyProtection="1">
      <alignment vertical="top"/>
      <protection/>
    </xf>
    <xf numFmtId="172" fontId="3" fillId="0" borderId="12" xfId="70" applyNumberFormat="1" applyFont="1" applyBorder="1" applyProtection="1">
      <alignment vertical="top"/>
      <protection/>
    </xf>
    <xf numFmtId="0" fontId="4" fillId="0" borderId="12" xfId="70" applyFont="1" applyBorder="1">
      <alignment vertical="top"/>
      <protection/>
    </xf>
    <xf numFmtId="171" fontId="4" fillId="0" borderId="12" xfId="70" applyNumberFormat="1" applyFont="1" applyBorder="1" applyProtection="1">
      <alignment vertical="top"/>
      <protection/>
    </xf>
    <xf numFmtId="169" fontId="3" fillId="0" borderId="0" xfId="70" applyNumberFormat="1" applyFont="1" applyAlignment="1" applyProtection="1">
      <alignment horizontal="center"/>
      <protection/>
    </xf>
    <xf numFmtId="0" fontId="4" fillId="0" borderId="0" xfId="70" applyFont="1" applyAlignment="1">
      <alignment horizontal="center"/>
      <protection/>
    </xf>
    <xf numFmtId="4" fontId="4" fillId="0" borderId="0" xfId="45" applyFont="1" applyAlignment="1">
      <alignment horizontal="center"/>
    </xf>
    <xf numFmtId="171" fontId="4" fillId="0" borderId="0" xfId="70" applyNumberFormat="1" applyFont="1" applyAlignment="1" applyProtection="1">
      <alignment horizontal="center"/>
      <protection/>
    </xf>
    <xf numFmtId="3" fontId="4" fillId="0" borderId="0" xfId="70" applyNumberFormat="1" applyFont="1" applyBorder="1">
      <alignment vertical="top"/>
      <protection/>
    </xf>
    <xf numFmtId="10" fontId="4" fillId="0" borderId="0" xfId="76" applyNumberFormat="1" applyFont="1" applyAlignment="1">
      <alignment/>
    </xf>
    <xf numFmtId="4" fontId="3" fillId="0" borderId="0" xfId="45" applyFont="1" applyAlignment="1" applyProtection="1">
      <alignment horizontal="center"/>
      <protection/>
    </xf>
    <xf numFmtId="171" fontId="3" fillId="0" borderId="0" xfId="70" applyNumberFormat="1" applyFont="1" applyAlignment="1" applyProtection="1">
      <alignment horizontal="center"/>
      <protection/>
    </xf>
    <xf numFmtId="173" fontId="3" fillId="0" borderId="0" xfId="45" applyNumberFormat="1" applyFont="1" applyAlignment="1" applyProtection="1">
      <alignment horizontal="center"/>
      <protection/>
    </xf>
    <xf numFmtId="0" fontId="10" fillId="0" borderId="0" xfId="70" applyFont="1">
      <alignment vertical="top"/>
      <protection/>
    </xf>
    <xf numFmtId="169" fontId="4" fillId="0" borderId="16" xfId="70" applyNumberFormat="1" applyFont="1" applyBorder="1" applyProtection="1">
      <alignment vertical="top"/>
      <protection/>
    </xf>
    <xf numFmtId="169" fontId="3" fillId="0" borderId="16" xfId="70" applyNumberFormat="1" applyFont="1" applyBorder="1" applyAlignment="1" applyProtection="1">
      <alignment horizontal="center"/>
      <protection/>
    </xf>
    <xf numFmtId="0" fontId="3" fillId="0" borderId="0" xfId="70" applyFont="1">
      <alignment vertical="top"/>
      <protection/>
    </xf>
    <xf numFmtId="0" fontId="3" fillId="0" borderId="0" xfId="70" applyFont="1" applyAlignment="1">
      <alignment horizontal="center"/>
      <protection/>
    </xf>
    <xf numFmtId="3" fontId="3" fillId="0" borderId="0" xfId="70" applyNumberFormat="1" applyFont="1" applyBorder="1">
      <alignment vertical="top"/>
      <protection/>
    </xf>
    <xf numFmtId="37" fontId="5" fillId="0" borderId="0" xfId="70" applyNumberFormat="1" applyFont="1" applyProtection="1">
      <alignment vertical="top"/>
      <protection/>
    </xf>
    <xf numFmtId="5" fontId="5" fillId="0" borderId="0" xfId="70" applyNumberFormat="1" applyFont="1" applyProtection="1">
      <alignment vertical="top"/>
      <protection/>
    </xf>
    <xf numFmtId="0" fontId="3" fillId="0" borderId="0" xfId="70" applyFont="1" applyAlignment="1" quotePrefix="1">
      <alignment horizontal="left" vertical="top"/>
      <protection/>
    </xf>
    <xf numFmtId="0" fontId="9" fillId="0" borderId="0" xfId="70" applyFont="1" applyAlignment="1" quotePrefix="1">
      <alignment horizontal="left" vertical="top"/>
      <protection/>
    </xf>
    <xf numFmtId="169" fontId="3" fillId="0" borderId="12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6" fontId="4" fillId="0" borderId="0" xfId="0" applyNumberFormat="1" applyFont="1" applyBorder="1" applyAlignment="1">
      <alignment vertical="top"/>
    </xf>
    <xf numFmtId="6" fontId="4" fillId="0" borderId="0" xfId="0" applyNumberFormat="1" applyFont="1" applyAlignment="1">
      <alignment vertical="top"/>
    </xf>
    <xf numFmtId="169" fontId="3" fillId="0" borderId="0" xfId="0" applyNumberFormat="1" applyFont="1" applyAlignment="1" applyProtection="1">
      <alignment horizontal="left"/>
      <protection/>
    </xf>
    <xf numFmtId="171" fontId="4" fillId="0" borderId="0" xfId="0" applyNumberFormat="1" applyFont="1" applyAlignment="1" applyProtection="1">
      <alignment vertical="top"/>
      <protection/>
    </xf>
    <xf numFmtId="5" fontId="4" fillId="0" borderId="0" xfId="0" applyNumberFormat="1" applyFont="1" applyAlignment="1" applyProtection="1">
      <alignment vertical="top"/>
      <protection/>
    </xf>
    <xf numFmtId="37" fontId="4" fillId="0" borderId="0" xfId="0" applyNumberFormat="1" applyFont="1" applyAlignment="1" applyProtection="1">
      <alignment vertical="top"/>
      <protection/>
    </xf>
    <xf numFmtId="6" fontId="4" fillId="0" borderId="0" xfId="0" applyNumberFormat="1" applyFont="1" applyAlignment="1" applyProtection="1">
      <alignment vertical="top"/>
      <protection/>
    </xf>
    <xf numFmtId="169" fontId="3" fillId="0" borderId="17" xfId="0" applyNumberFormat="1" applyFont="1" applyBorder="1" applyAlignment="1" applyProtection="1">
      <alignment vertical="top"/>
      <protection/>
    </xf>
    <xf numFmtId="169" fontId="4" fillId="0" borderId="17" xfId="0" applyNumberFormat="1" applyFont="1" applyBorder="1" applyAlignment="1" applyProtection="1">
      <alignment vertical="top"/>
      <protection/>
    </xf>
    <xf numFmtId="169" fontId="3" fillId="0" borderId="0" xfId="0" applyNumberFormat="1" applyFont="1" applyAlignment="1" applyProtection="1">
      <alignment vertical="top"/>
      <protection/>
    </xf>
    <xf numFmtId="5" fontId="4" fillId="0" borderId="0" xfId="0" applyNumberFormat="1" applyFont="1" applyAlignment="1">
      <alignment vertical="top"/>
    </xf>
    <xf numFmtId="171" fontId="4" fillId="0" borderId="0" xfId="0" applyNumberFormat="1" applyFont="1" applyAlignment="1">
      <alignment vertical="top"/>
    </xf>
    <xf numFmtId="169" fontId="3" fillId="0" borderId="0" xfId="0" applyNumberFormat="1" applyFont="1" applyBorder="1" applyAlignment="1" applyProtection="1">
      <alignment vertical="top"/>
      <protection/>
    </xf>
    <xf numFmtId="169" fontId="4" fillId="0" borderId="9" xfId="0" applyNumberFormat="1" applyFont="1" applyBorder="1" applyAlignment="1" applyProtection="1">
      <alignment vertical="top"/>
      <protection/>
    </xf>
    <xf numFmtId="169" fontId="8" fillId="0" borderId="0" xfId="0" applyNumberFormat="1" applyFont="1" applyAlignment="1" applyProtection="1">
      <alignment horizontal="left"/>
      <protection/>
    </xf>
    <xf numFmtId="180" fontId="4" fillId="0" borderId="0" xfId="0" applyNumberFormat="1" applyFont="1" applyAlignment="1">
      <alignment vertical="top"/>
    </xf>
    <xf numFmtId="37" fontId="5" fillId="0" borderId="0" xfId="0" applyNumberFormat="1" applyFont="1" applyAlignment="1" applyProtection="1">
      <alignment vertical="top"/>
      <protection/>
    </xf>
    <xf numFmtId="181" fontId="5" fillId="0" borderId="0" xfId="0" applyNumberFormat="1" applyFont="1" applyAlignment="1" applyProtection="1">
      <alignment vertical="top"/>
      <protection/>
    </xf>
    <xf numFmtId="182" fontId="4" fillId="0" borderId="0" xfId="0" applyNumberFormat="1" applyFont="1" applyAlignment="1">
      <alignment vertical="top"/>
    </xf>
    <xf numFmtId="174" fontId="4" fillId="0" borderId="0" xfId="48" applyNumberFormat="1" applyFont="1" applyAlignment="1">
      <alignment/>
    </xf>
    <xf numFmtId="37" fontId="5" fillId="0" borderId="9" xfId="0" applyNumberFormat="1" applyFont="1" applyBorder="1" applyAlignment="1" applyProtection="1">
      <alignment vertical="top"/>
      <protection/>
    </xf>
    <xf numFmtId="181" fontId="5" fillId="0" borderId="9" xfId="0" applyNumberFormat="1" applyFont="1" applyBorder="1" applyAlignment="1" applyProtection="1">
      <alignment vertical="top"/>
      <protection/>
    </xf>
    <xf numFmtId="37" fontId="4" fillId="0" borderId="9" xfId="0" applyNumberFormat="1" applyFont="1" applyBorder="1" applyAlignment="1" applyProtection="1">
      <alignment vertical="top"/>
      <protection/>
    </xf>
    <xf numFmtId="171" fontId="4" fillId="0" borderId="9" xfId="0" applyNumberFormat="1" applyFont="1" applyBorder="1" applyAlignment="1" applyProtection="1">
      <alignment vertical="top"/>
      <protection/>
    </xf>
    <xf numFmtId="6" fontId="4" fillId="0" borderId="9" xfId="0" applyNumberFormat="1" applyFont="1" applyBorder="1" applyAlignment="1" applyProtection="1">
      <alignment vertical="top"/>
      <protection/>
    </xf>
    <xf numFmtId="38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top"/>
    </xf>
    <xf numFmtId="181" fontId="4" fillId="0" borderId="0" xfId="0" applyNumberFormat="1" applyFont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171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 applyProtection="1">
      <alignment vertical="top"/>
      <protection/>
    </xf>
    <xf numFmtId="181" fontId="4" fillId="0" borderId="0" xfId="0" applyNumberFormat="1" applyFont="1" applyBorder="1" applyAlignment="1" applyProtection="1">
      <alignment vertical="top"/>
      <protection/>
    </xf>
    <xf numFmtId="169" fontId="4" fillId="0" borderId="0" xfId="0" applyNumberFormat="1" applyFont="1" applyBorder="1" applyAlignment="1" applyProtection="1">
      <alignment vertical="top"/>
      <protection/>
    </xf>
    <xf numFmtId="6" fontId="4" fillId="0" borderId="0" xfId="0" applyNumberFormat="1" applyFont="1" applyBorder="1" applyAlignment="1" applyProtection="1">
      <alignment vertical="top"/>
      <protection/>
    </xf>
    <xf numFmtId="5" fontId="4" fillId="0" borderId="0" xfId="0" applyNumberFormat="1" applyFont="1" applyBorder="1" applyAlignment="1" applyProtection="1">
      <alignment vertical="top"/>
      <protection/>
    </xf>
    <xf numFmtId="169" fontId="16" fillId="0" borderId="12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>
      <alignment vertical="top"/>
    </xf>
    <xf numFmtId="175" fontId="4" fillId="0" borderId="12" xfId="0" applyNumberFormat="1" applyFont="1" applyBorder="1" applyAlignment="1" applyProtection="1">
      <alignment vertical="top"/>
      <protection/>
    </xf>
    <xf numFmtId="37" fontId="4" fillId="0" borderId="12" xfId="0" applyNumberFormat="1" applyFont="1" applyBorder="1" applyAlignment="1">
      <alignment vertical="top"/>
    </xf>
    <xf numFmtId="169" fontId="3" fillId="0" borderId="0" xfId="0" applyNumberFormat="1" applyFont="1" applyAlignment="1" applyProtection="1">
      <alignment horizontal="center"/>
      <protection/>
    </xf>
    <xf numFmtId="5" fontId="3" fillId="0" borderId="0" xfId="0" applyNumberFormat="1" applyFont="1" applyAlignment="1" applyProtection="1">
      <alignment horizontal="center"/>
      <protection/>
    </xf>
    <xf numFmtId="169" fontId="3" fillId="0" borderId="16" xfId="0" applyNumberFormat="1" applyFont="1" applyBorder="1" applyAlignment="1" applyProtection="1">
      <alignment horizontal="center"/>
      <protection/>
    </xf>
    <xf numFmtId="5" fontId="3" fillId="0" borderId="16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5" fontId="4" fillId="0" borderId="9" xfId="0" applyNumberFormat="1" applyFont="1" applyBorder="1" applyAlignment="1" applyProtection="1">
      <alignment vertical="top"/>
      <protection/>
    </xf>
    <xf numFmtId="37" fontId="4" fillId="0" borderId="0" xfId="0" applyNumberFormat="1" applyFont="1" applyBorder="1" applyAlignment="1" applyProtection="1">
      <alignment vertical="top"/>
      <protection/>
    </xf>
    <xf numFmtId="171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>
      <alignment horizontal="left"/>
    </xf>
    <xf numFmtId="169" fontId="3" fillId="0" borderId="0" xfId="0" applyNumberFormat="1" applyFont="1" applyBorder="1" applyAlignment="1" applyProtection="1">
      <alignment horizontal="center"/>
      <protection/>
    </xf>
    <xf numFmtId="0" fontId="11" fillId="0" borderId="0" xfId="70" applyFont="1" applyAlignment="1">
      <alignment horizontal="center" vertical="top"/>
      <protection/>
    </xf>
    <xf numFmtId="164" fontId="4" fillId="0" borderId="0" xfId="75" applyNumberFormat="1" applyFont="1" applyFill="1" applyAlignment="1">
      <alignment horizontal="right" vertical="top"/>
    </xf>
    <xf numFmtId="164" fontId="5" fillId="0" borderId="0" xfId="75" applyNumberFormat="1" applyFont="1" applyFill="1" applyBorder="1" applyAlignment="1" applyProtection="1">
      <alignment vertical="top"/>
      <protection/>
    </xf>
    <xf numFmtId="164" fontId="5" fillId="0" borderId="0" xfId="0" applyNumberFormat="1" applyFont="1" applyFill="1" applyAlignment="1">
      <alignment horizontal="right" vertical="top"/>
    </xf>
    <xf numFmtId="5" fontId="4" fillId="0" borderId="0" xfId="43" applyNumberFormat="1" applyFont="1" applyAlignment="1">
      <alignment vertical="top"/>
    </xf>
    <xf numFmtId="5" fontId="4" fillId="0" borderId="9" xfId="43" applyNumberFormat="1" applyFont="1" applyBorder="1" applyAlignment="1">
      <alignment vertical="top"/>
    </xf>
    <xf numFmtId="5" fontId="5" fillId="0" borderId="9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5" fontId="5" fillId="0" borderId="0" xfId="46" applyNumberFormat="1" applyFont="1" applyAlignment="1">
      <alignment vertical="top"/>
    </xf>
    <xf numFmtId="3" fontId="11" fillId="0" borderId="0" xfId="0" applyNumberFormat="1" applyFont="1" applyAlignment="1">
      <alignment horizontal="center" vertical="top"/>
    </xf>
    <xf numFmtId="169" fontId="3" fillId="0" borderId="9" xfId="0" applyNumberFormat="1" applyFont="1" applyBorder="1" applyAlignment="1" applyProtection="1">
      <alignment horizontal="center"/>
      <protection/>
    </xf>
    <xf numFmtId="3" fontId="8" fillId="0" borderId="0" xfId="0" applyNumberFormat="1" applyFont="1" applyAlignment="1">
      <alignment vertical="top"/>
    </xf>
    <xf numFmtId="5" fontId="4" fillId="0" borderId="10" xfId="51" applyFont="1" applyBorder="1">
      <alignment vertical="top"/>
      <protection/>
    </xf>
    <xf numFmtId="5" fontId="3" fillId="0" borderId="10" xfId="51" applyFont="1" applyBorder="1">
      <alignment vertical="top"/>
      <protection/>
    </xf>
    <xf numFmtId="10" fontId="4" fillId="0" borderId="0" xfId="77" applyFont="1" applyBorder="1" applyAlignment="1" quotePrefix="1">
      <alignment vertical="top"/>
    </xf>
    <xf numFmtId="5" fontId="4" fillId="0" borderId="0" xfId="51" applyFont="1" applyBorder="1">
      <alignment vertical="top"/>
      <protection/>
    </xf>
    <xf numFmtId="5" fontId="4" fillId="0" borderId="10" xfId="51" applyFont="1" applyBorder="1">
      <alignment vertical="top"/>
      <protection/>
    </xf>
    <xf numFmtId="41" fontId="0" fillId="0" borderId="9" xfId="0" applyNumberFormat="1" applyBorder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170" fontId="0" fillId="0" borderId="0" xfId="43" applyNumberFormat="1" applyAlignment="1">
      <alignment/>
    </xf>
    <xf numFmtId="10" fontId="0" fillId="0" borderId="0" xfId="75" applyAlignment="1">
      <alignment vertical="top"/>
    </xf>
    <xf numFmtId="167" fontId="5" fillId="0" borderId="9" xfId="0" applyNumberFormat="1" applyFont="1" applyBorder="1" applyAlignment="1">
      <alignment vertical="top"/>
    </xf>
    <xf numFmtId="10" fontId="4" fillId="0" borderId="0" xfId="75" applyNumberFormat="1" applyFont="1" applyFill="1" applyAlignment="1">
      <alignment vertical="top"/>
    </xf>
    <xf numFmtId="3" fontId="4" fillId="0" borderId="0" xfId="43" applyNumberFormat="1" applyFont="1" applyAlignment="1">
      <alignment vertical="top"/>
    </xf>
    <xf numFmtId="37" fontId="4" fillId="0" borderId="0" xfId="43" applyNumberFormat="1" applyFont="1" applyFill="1" applyAlignment="1">
      <alignment horizontal="right" vertical="top"/>
    </xf>
    <xf numFmtId="37" fontId="4" fillId="0" borderId="9" xfId="43" applyNumberFormat="1" applyFont="1" applyBorder="1" applyAlignment="1">
      <alignment horizontal="right" vertical="top"/>
    </xf>
    <xf numFmtId="168" fontId="4" fillId="0" borderId="14" xfId="0" applyNumberFormat="1" applyFont="1" applyBorder="1" applyAlignment="1">
      <alignment vertical="top"/>
    </xf>
    <xf numFmtId="168" fontId="4" fillId="0" borderId="18" xfId="0" applyNumberFormat="1" applyFont="1" applyBorder="1" applyAlignment="1">
      <alignment vertical="top"/>
    </xf>
    <xf numFmtId="185" fontId="4" fillId="33" borderId="0" xfId="0" applyNumberFormat="1" applyFont="1" applyFill="1" applyAlignment="1">
      <alignment vertical="top"/>
    </xf>
    <xf numFmtId="185" fontId="5" fillId="33" borderId="0" xfId="0" applyNumberFormat="1" applyFont="1" applyFill="1" applyAlignment="1" applyProtection="1">
      <alignment vertical="top"/>
      <protection locked="0"/>
    </xf>
    <xf numFmtId="185" fontId="5" fillId="33" borderId="0" xfId="46" applyNumberFormat="1" applyFont="1" applyFill="1" applyAlignment="1">
      <alignment vertical="top"/>
    </xf>
    <xf numFmtId="185" fontId="5" fillId="33" borderId="0" xfId="0" applyNumberFormat="1" applyFont="1" applyFill="1" applyAlignment="1">
      <alignment vertical="top"/>
    </xf>
    <xf numFmtId="185" fontId="4" fillId="33" borderId="0" xfId="0" applyNumberFormat="1" applyFont="1" applyFill="1" applyAlignment="1" applyProtection="1">
      <alignment vertical="top"/>
      <protection locked="0"/>
    </xf>
    <xf numFmtId="184" fontId="4" fillId="0" borderId="0" xfId="0" applyNumberFormat="1" applyFont="1" applyFill="1" applyAlignment="1">
      <alignment vertical="top"/>
    </xf>
    <xf numFmtId="3" fontId="4" fillId="0" borderId="0" xfId="43" applyNumberFormat="1" applyFont="1" applyFill="1" applyAlignment="1">
      <alignment vertical="top"/>
    </xf>
    <xf numFmtId="5" fontId="4" fillId="0" borderId="0" xfId="0" applyNumberFormat="1" applyFont="1" applyFill="1" applyAlignment="1">
      <alignment vertical="top"/>
    </xf>
    <xf numFmtId="37" fontId="4" fillId="0" borderId="0" xfId="70" applyNumberFormat="1" applyFont="1" applyBorder="1" applyProtection="1">
      <alignment vertical="top"/>
      <protection/>
    </xf>
    <xf numFmtId="5" fontId="4" fillId="0" borderId="0" xfId="70" applyNumberFormat="1" applyFont="1" applyBorder="1" applyProtection="1">
      <alignment vertical="top"/>
      <protection/>
    </xf>
    <xf numFmtId="0" fontId="4" fillId="0" borderId="0" xfId="70" applyFont="1" applyBorder="1">
      <alignment vertical="top"/>
      <protection/>
    </xf>
    <xf numFmtId="37" fontId="3" fillId="0" borderId="0" xfId="70" applyNumberFormat="1" applyFont="1" applyBorder="1" applyAlignment="1" applyProtection="1">
      <alignment horizontal="center"/>
      <protection/>
    </xf>
    <xf numFmtId="5" fontId="3" fillId="0" borderId="0" xfId="70" applyNumberFormat="1" applyFont="1" applyBorder="1" applyAlignment="1" applyProtection="1">
      <alignment horizontal="center"/>
      <protection/>
    </xf>
    <xf numFmtId="0" fontId="4" fillId="0" borderId="0" xfId="70" applyFont="1" applyBorder="1" applyAlignment="1">
      <alignment horizontal="center"/>
      <protection/>
    </xf>
    <xf numFmtId="0" fontId="3" fillId="0" borderId="0" xfId="70" applyFont="1" applyBorder="1" applyAlignment="1">
      <alignment horizontal="center" vertical="top"/>
      <protection/>
    </xf>
    <xf numFmtId="169" fontId="3" fillId="0" borderId="0" xfId="70" applyNumberFormat="1" applyFont="1" applyBorder="1" applyAlignment="1" applyProtection="1">
      <alignment horizontal="center"/>
      <protection/>
    </xf>
    <xf numFmtId="0" fontId="3" fillId="0" borderId="0" xfId="70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Alignment="1" applyProtection="1">
      <alignment vertical="top"/>
      <protection/>
    </xf>
    <xf numFmtId="5" fontId="4" fillId="0" borderId="0" xfId="0" applyNumberFormat="1" applyFont="1" applyBorder="1" applyAlignment="1">
      <alignment vertical="top"/>
    </xf>
    <xf numFmtId="7" fontId="4" fillId="0" borderId="0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horizontal="center"/>
    </xf>
    <xf numFmtId="4" fontId="4" fillId="0" borderId="0" xfId="43" applyFont="1" applyBorder="1" applyAlignment="1">
      <alignment/>
    </xf>
    <xf numFmtId="174" fontId="4" fillId="0" borderId="0" xfId="48" applyNumberFormat="1" applyFont="1" applyBorder="1" applyAlignment="1">
      <alignment/>
    </xf>
    <xf numFmtId="201" fontId="4" fillId="0" borderId="0" xfId="43" applyNumberFormat="1" applyFont="1" applyAlignment="1">
      <alignment/>
    </xf>
    <xf numFmtId="5" fontId="4" fillId="0" borderId="0" xfId="0" applyNumberFormat="1" applyFont="1" applyBorder="1" applyAlignment="1" applyProtection="1" quotePrefix="1">
      <alignment vertical="top"/>
      <protection/>
    </xf>
    <xf numFmtId="0" fontId="4" fillId="0" borderId="9" xfId="0" applyFont="1" applyBorder="1" applyAlignment="1">
      <alignment vertical="top"/>
    </xf>
    <xf numFmtId="5" fontId="4" fillId="0" borderId="9" xfId="0" applyNumberFormat="1" applyFont="1" applyBorder="1" applyAlignment="1">
      <alignment vertical="top"/>
    </xf>
    <xf numFmtId="169" fontId="4" fillId="0" borderId="0" xfId="0" applyNumberFormat="1" applyFont="1" applyAlignment="1" applyProtection="1">
      <alignment vertical="top"/>
      <protection/>
    </xf>
    <xf numFmtId="5" fontId="4" fillId="0" borderId="9" xfId="0" applyNumberFormat="1" applyFont="1" applyBorder="1" applyAlignment="1" applyProtection="1" quotePrefix="1">
      <alignment vertical="top"/>
      <protection/>
    </xf>
    <xf numFmtId="170" fontId="4" fillId="0" borderId="0" xfId="43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>
      <alignment horizontal="left"/>
    </xf>
    <xf numFmtId="186" fontId="4" fillId="0" borderId="0" xfId="0" applyNumberFormat="1" applyFont="1" applyBorder="1" applyAlignment="1" applyProtection="1">
      <alignment vertical="top"/>
      <protection/>
    </xf>
    <xf numFmtId="185" fontId="4" fillId="0" borderId="0" xfId="0" applyNumberFormat="1" applyFont="1" applyBorder="1" applyAlignment="1" applyProtection="1">
      <alignment vertical="top"/>
      <protection/>
    </xf>
    <xf numFmtId="185" fontId="4" fillId="0" borderId="0" xfId="0" applyNumberFormat="1" applyFont="1" applyBorder="1" applyAlignment="1">
      <alignment vertical="top"/>
    </xf>
    <xf numFmtId="185" fontId="4" fillId="0" borderId="0" xfId="43" applyNumberFormat="1" applyFont="1" applyBorder="1" applyAlignment="1" applyProtection="1">
      <alignment/>
      <protection/>
    </xf>
    <xf numFmtId="185" fontId="4" fillId="0" borderId="0" xfId="43" applyNumberFormat="1" applyFont="1" applyBorder="1" applyAlignment="1">
      <alignment/>
    </xf>
    <xf numFmtId="185" fontId="4" fillId="0" borderId="0" xfId="0" applyNumberFormat="1" applyFont="1" applyAlignment="1">
      <alignment vertical="top"/>
    </xf>
    <xf numFmtId="4" fontId="0" fillId="0" borderId="0" xfId="43" applyAlignment="1">
      <alignment vertical="top"/>
    </xf>
    <xf numFmtId="3" fontId="3" fillId="0" borderId="12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Alignment="1" quotePrefix="1">
      <alignment vertical="top"/>
    </xf>
    <xf numFmtId="1" fontId="4" fillId="0" borderId="0" xfId="0" applyNumberFormat="1" applyFont="1" applyAlignment="1">
      <alignment horizontal="center" vertical="top"/>
    </xf>
    <xf numFmtId="37" fontId="4" fillId="0" borderId="16" xfId="0" applyNumberFormat="1" applyFont="1" applyBorder="1" applyAlignment="1" applyProtection="1">
      <alignment vertical="top"/>
      <protection/>
    </xf>
    <xf numFmtId="181" fontId="4" fillId="0" borderId="16" xfId="0" applyNumberFormat="1" applyFont="1" applyBorder="1" applyAlignment="1" applyProtection="1">
      <alignment vertical="top"/>
      <protection/>
    </xf>
    <xf numFmtId="38" fontId="4" fillId="0" borderId="16" xfId="0" applyNumberFormat="1" applyFont="1" applyBorder="1" applyAlignment="1" applyProtection="1">
      <alignment vertical="top"/>
      <protection/>
    </xf>
    <xf numFmtId="6" fontId="4" fillId="0" borderId="16" xfId="0" applyNumberFormat="1" applyFont="1" applyBorder="1" applyAlignment="1" applyProtection="1">
      <alignment vertical="top"/>
      <protection/>
    </xf>
    <xf numFmtId="171" fontId="4" fillId="0" borderId="9" xfId="0" applyNumberFormat="1" applyFont="1" applyBorder="1" applyAlignment="1">
      <alignment vertical="top"/>
    </xf>
    <xf numFmtId="3" fontId="4" fillId="0" borderId="9" xfId="0" applyNumberFormat="1" applyFont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3" fillId="0" borderId="9" xfId="0" applyNumberFormat="1" applyFont="1" applyBorder="1" applyAlignment="1">
      <alignment horizontal="center" vertical="top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a 5" xfId="42"/>
    <cellStyle name="Comma" xfId="43"/>
    <cellStyle name="Comma [0]" xfId="44"/>
    <cellStyle name="Comma_Rev &amp; Cost Model b" xfId="45"/>
    <cellStyle name="Comma0" xfId="46"/>
    <cellStyle name="Comma4" xfId="47"/>
    <cellStyle name="Currency" xfId="48"/>
    <cellStyle name="Currency [0]" xfId="49"/>
    <cellStyle name="currency 0" xfId="50"/>
    <cellStyle name="currency 0_2007 Oregon Earnings Test Report model" xfId="51"/>
    <cellStyle name="Currency0" xfId="52"/>
    <cellStyle name="Currency4" xfId="53"/>
    <cellStyle name="Date" xfId="54"/>
    <cellStyle name="Explanatory Text" xfId="55"/>
    <cellStyle name="Fixed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idden" xfId="63"/>
    <cellStyle name="hide" xfId="64"/>
    <cellStyle name="Hyperlink" xfId="65"/>
    <cellStyle name="Input" xfId="66"/>
    <cellStyle name="Linked Cell" xfId="67"/>
    <cellStyle name="Neutral" xfId="68"/>
    <cellStyle name="Normal_2006 master state IS allocation" xfId="69"/>
    <cellStyle name="Normal_Rev &amp; Cost Model b" xfId="70"/>
    <cellStyle name="Normal_WA Rate Case Model 20071218" xfId="71"/>
    <cellStyle name="Note" xfId="72"/>
    <cellStyle name="Outline" xfId="73"/>
    <cellStyle name="Output" xfId="74"/>
    <cellStyle name="Percent" xfId="75"/>
    <cellStyle name="Percent_Rev &amp; Cost Model b" xfId="76"/>
    <cellStyle name="Percent2" xfId="77"/>
    <cellStyle name="percent3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SNT01\GROUPS\Regulatory_Affairs\RATE%20INFORMATION\Rate%20Histories\washington\WA%20Sch%202%20his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 2 BR His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4" customWidth="1"/>
    <col min="2" max="2" width="41.7109375" style="4" customWidth="1"/>
    <col min="3" max="6" width="13.7109375" style="3" customWidth="1"/>
    <col min="7" max="7" width="14.7109375" style="3" customWidth="1"/>
    <col min="8" max="8" width="9.140625" style="3" customWidth="1"/>
    <col min="9" max="9" width="11.421875" style="3" customWidth="1"/>
    <col min="10" max="10" width="17.140625" style="3" customWidth="1"/>
    <col min="11" max="11" width="16.00390625" style="3" customWidth="1"/>
    <col min="12" max="14" width="12.7109375" style="3" customWidth="1"/>
    <col min="15" max="15" width="21.421875" style="16" customWidth="1"/>
    <col min="16" max="16384" width="9.140625" style="3" customWidth="1"/>
  </cols>
  <sheetData>
    <row r="1" s="4" customFormat="1" ht="12.75">
      <c r="A1" s="4" t="s">
        <v>0</v>
      </c>
    </row>
    <row r="2" spans="1:6" s="4" customFormat="1" ht="12.75">
      <c r="A2" s="4" t="s">
        <v>4</v>
      </c>
      <c r="F2" s="69"/>
    </row>
    <row r="3" spans="1:6" s="4" customFormat="1" ht="12.75">
      <c r="A3" s="36" t="str">
        <f>+'KSM-NCS-3 p1 Test Year Results'!A3</f>
        <v>Test Year Based on Twelve Months Ended September 30, 2007</v>
      </c>
      <c r="F3" s="69"/>
    </row>
    <row r="4" s="4" customFormat="1" ht="12.75">
      <c r="G4" s="134"/>
    </row>
    <row r="5" spans="3:7" s="4" customFormat="1" ht="12.75">
      <c r="C5" s="438" t="s">
        <v>631</v>
      </c>
      <c r="D5" s="438"/>
      <c r="E5" s="438"/>
      <c r="F5" s="438"/>
      <c r="G5" s="438"/>
    </row>
    <row r="6" spans="4:7" s="4" customFormat="1" ht="12.75">
      <c r="D6" s="25"/>
      <c r="E6" s="25"/>
      <c r="F6" s="25" t="s">
        <v>16</v>
      </c>
      <c r="G6" s="25" t="s">
        <v>17</v>
      </c>
    </row>
    <row r="7" spans="1:7" s="4" customFormat="1" ht="12.75">
      <c r="A7" s="25" t="s">
        <v>20</v>
      </c>
      <c r="C7" s="25" t="s">
        <v>15</v>
      </c>
      <c r="D7" s="25"/>
      <c r="E7" s="25" t="s">
        <v>15</v>
      </c>
      <c r="F7" s="25" t="s">
        <v>22</v>
      </c>
      <c r="G7" s="135">
        <f>'KSM-NCS-3 p10 Cost of Cap'!D14</f>
        <v>0.1065</v>
      </c>
    </row>
    <row r="8" spans="1:7" s="4" customFormat="1" ht="12.75">
      <c r="A8" s="26" t="s">
        <v>37</v>
      </c>
      <c r="C8" s="26" t="s">
        <v>21</v>
      </c>
      <c r="D8" s="26" t="s">
        <v>38</v>
      </c>
      <c r="E8" s="26" t="s">
        <v>39</v>
      </c>
      <c r="F8" s="26" t="s">
        <v>40</v>
      </c>
      <c r="G8" s="26" t="s">
        <v>41</v>
      </c>
    </row>
    <row r="9" spans="1:7" s="4" customFormat="1" ht="12.75">
      <c r="A9" s="25"/>
      <c r="C9" s="25" t="s">
        <v>64</v>
      </c>
      <c r="D9" s="25" t="s">
        <v>65</v>
      </c>
      <c r="E9" s="25" t="s">
        <v>66</v>
      </c>
      <c r="F9" s="25" t="s">
        <v>67</v>
      </c>
      <c r="G9" s="25" t="s">
        <v>68</v>
      </c>
    </row>
    <row r="10" spans="1:5" ht="12.75">
      <c r="A10" s="25"/>
      <c r="E10" s="8"/>
    </row>
    <row r="11" spans="1:9" ht="12.75">
      <c r="A11" s="25"/>
      <c r="B11" s="4" t="s">
        <v>87</v>
      </c>
      <c r="C11" s="124"/>
      <c r="D11" s="124"/>
      <c r="E11" s="124"/>
      <c r="G11" s="124"/>
      <c r="I11" s="3">
        <v>4482866</v>
      </c>
    </row>
    <row r="12" spans="1:11" ht="12.75">
      <c r="A12" s="25">
        <v>1</v>
      </c>
      <c r="B12" s="4" t="s">
        <v>91</v>
      </c>
      <c r="C12" s="38">
        <f>+'KSM-NCS-4 p6 Rev &amp; Cost'!E25</f>
        <v>93509688</v>
      </c>
      <c r="D12" s="38">
        <f>'KSM-NCS-4 p2&amp;3 Adjust Issues'!V13</f>
        <v>-3247876.475173849</v>
      </c>
      <c r="E12" s="38">
        <f>C12+D12</f>
        <v>90261811.52482615</v>
      </c>
      <c r="F12" s="38">
        <f>D57</f>
        <v>4342062.473224933</v>
      </c>
      <c r="G12" s="38">
        <f>F12+E12</f>
        <v>94603873.99805109</v>
      </c>
      <c r="H12" s="22"/>
      <c r="I12" s="3">
        <f>+I11-F16</f>
        <v>140803.52677506674</v>
      </c>
      <c r="K12" s="8"/>
    </row>
    <row r="13" spans="1:11" ht="12.75">
      <c r="A13" s="25">
        <v>2</v>
      </c>
      <c r="B13" s="4" t="s">
        <v>98</v>
      </c>
      <c r="C13" s="34">
        <f>+'KSM-NCS-4 p6 Rev &amp; Cost'!E33</f>
        <v>897029.45</v>
      </c>
      <c r="D13" s="34">
        <f>'KSM-NCS-4 p2&amp;3 Adjust Issues'!V14</f>
        <v>8099.008649823838</v>
      </c>
      <c r="E13" s="34">
        <f>C13+D13</f>
        <v>905128.4586498238</v>
      </c>
      <c r="F13" s="127">
        <v>0</v>
      </c>
      <c r="G13" s="127">
        <f>F13+E13</f>
        <v>905128.4586498238</v>
      </c>
      <c r="I13" s="8"/>
      <c r="K13" s="8"/>
    </row>
    <row r="14" spans="1:11" ht="12.75">
      <c r="A14" s="25">
        <v>3</v>
      </c>
      <c r="B14" s="4" t="s">
        <v>103</v>
      </c>
      <c r="C14" s="136">
        <f>+'KSM-NCS-3 p9 Other Rev&amp;Tax'!E19</f>
        <v>218623.97000000003</v>
      </c>
      <c r="D14" s="136">
        <f>'KSM-NCS-4 p2&amp;3 Adjust Issues'!V15</f>
        <v>98282.45666666665</v>
      </c>
      <c r="E14" s="136">
        <f>D14+C14</f>
        <v>316906.4266666667</v>
      </c>
      <c r="F14" s="129">
        <v>0</v>
      </c>
      <c r="G14" s="129">
        <f>F14+E14</f>
        <v>316906.4266666667</v>
      </c>
      <c r="K14" s="8"/>
    </row>
    <row r="15" spans="1:11" ht="12.75">
      <c r="A15" s="25"/>
      <c r="C15" s="34"/>
      <c r="D15" s="34"/>
      <c r="E15" s="34"/>
      <c r="F15" s="127"/>
      <c r="G15" s="127"/>
      <c r="K15" s="8"/>
    </row>
    <row r="16" spans="1:11" ht="12.75">
      <c r="A16" s="25">
        <v>4</v>
      </c>
      <c r="B16" s="4" t="s">
        <v>117</v>
      </c>
      <c r="C16" s="34">
        <f>SUM(C12:C15)</f>
        <v>94625341.42</v>
      </c>
      <c r="D16" s="34">
        <f>SUM(D12:D15)</f>
        <v>-3141495.009857359</v>
      </c>
      <c r="E16" s="34">
        <f>SUM(E12:E15)</f>
        <v>91483846.41014265</v>
      </c>
      <c r="F16" s="127">
        <f>SUM(F12:F15)</f>
        <v>4342062.473224933</v>
      </c>
      <c r="G16" s="127">
        <f>SUM(G12:G15)</f>
        <v>95825908.88336758</v>
      </c>
      <c r="I16" s="8"/>
      <c r="K16" s="8"/>
    </row>
    <row r="17" spans="1:11" ht="12.75">
      <c r="A17" s="25"/>
      <c r="B17" s="85"/>
      <c r="C17" s="34"/>
      <c r="D17" s="34"/>
      <c r="E17" s="34"/>
      <c r="F17" s="127"/>
      <c r="G17" s="127"/>
      <c r="K17" s="8"/>
    </row>
    <row r="18" spans="1:11" ht="12.75">
      <c r="A18" s="25"/>
      <c r="B18" s="4" t="s">
        <v>125</v>
      </c>
      <c r="C18" s="34"/>
      <c r="D18" s="34"/>
      <c r="E18" s="34"/>
      <c r="F18" s="127"/>
      <c r="G18" s="127"/>
      <c r="K18" s="8"/>
    </row>
    <row r="19" spans="1:11" ht="12.75">
      <c r="A19" s="25">
        <v>5</v>
      </c>
      <c r="B19" s="4" t="s">
        <v>130</v>
      </c>
      <c r="C19" s="34">
        <f>+'KSM-NCS-4 p6 Rev &amp; Cost'!E52</f>
        <v>59716330.81000009</v>
      </c>
      <c r="D19" s="34">
        <f>'KSM-NCS-4 p2&amp;3 Adjust Issues'!V20</f>
        <v>-2326804.2686488405</v>
      </c>
      <c r="E19" s="34">
        <f>C19+D19</f>
        <v>57389526.54135125</v>
      </c>
      <c r="F19" s="127">
        <v>0</v>
      </c>
      <c r="G19" s="127">
        <f>F19+E19</f>
        <v>57389526.54135125</v>
      </c>
      <c r="K19" s="8"/>
    </row>
    <row r="20" spans="1:11" ht="12.75">
      <c r="A20" s="25">
        <v>6</v>
      </c>
      <c r="B20" s="4" t="s">
        <v>135</v>
      </c>
      <c r="C20" s="111">
        <v>271924.74</v>
      </c>
      <c r="D20" s="34">
        <f>'KSM-NCS-4 p2&amp;3 Adjust Issues'!V21</f>
        <v>40206.177909249476</v>
      </c>
      <c r="E20" s="34">
        <f>C20+D20</f>
        <v>312130.9179092495</v>
      </c>
      <c r="F20" s="127">
        <f>D57*'KSM-NCS-3 p10 Cost of Cap'!C26</f>
        <v>13876.16125486035</v>
      </c>
      <c r="G20" s="127">
        <f>F20+E20</f>
        <v>326007.07916410983</v>
      </c>
      <c r="I20" s="137"/>
      <c r="K20" s="8"/>
    </row>
    <row r="21" spans="1:11" ht="12.75">
      <c r="A21" s="25">
        <v>7</v>
      </c>
      <c r="B21" s="4" t="s">
        <v>138</v>
      </c>
      <c r="C21" s="138">
        <f>11881774.5-C20</f>
        <v>11609849.76</v>
      </c>
      <c r="D21" s="136">
        <f>'KSM-NCS-4 p2&amp;3 Adjust Issues'!V22</f>
        <v>-592976.5741802888</v>
      </c>
      <c r="E21" s="136">
        <f>C21+D21</f>
        <v>11016873.185819712</v>
      </c>
      <c r="F21" s="129">
        <v>0</v>
      </c>
      <c r="G21" s="129">
        <f>F21+E21</f>
        <v>11016873.185819712</v>
      </c>
      <c r="I21" s="137"/>
      <c r="K21" s="8"/>
    </row>
    <row r="22" spans="1:11" ht="12.75">
      <c r="A22" s="25"/>
      <c r="C22" s="34"/>
      <c r="D22" s="34"/>
      <c r="E22" s="34"/>
      <c r="F22" s="127"/>
      <c r="G22" s="127"/>
      <c r="I22" s="137"/>
      <c r="K22" s="8"/>
    </row>
    <row r="23" spans="1:11" ht="12.75">
      <c r="A23" s="25">
        <v>8</v>
      </c>
      <c r="B23" s="4" t="s">
        <v>147</v>
      </c>
      <c r="C23" s="34">
        <f>SUM(C19:C22)</f>
        <v>71598105.31000009</v>
      </c>
      <c r="D23" s="34">
        <f>SUM(D18:D21)</f>
        <v>-2879574.6649198798</v>
      </c>
      <c r="E23" s="34">
        <f>SUM(E18:E21)</f>
        <v>68718530.64508021</v>
      </c>
      <c r="F23" s="127">
        <f>SUM(F18:F21)</f>
        <v>13876.16125486035</v>
      </c>
      <c r="G23" s="127">
        <f>SUM(G18:G21)</f>
        <v>68732406.80633508</v>
      </c>
      <c r="I23" s="15"/>
      <c r="K23" s="8"/>
    </row>
    <row r="24" spans="1:11" ht="12.75">
      <c r="A24" s="25"/>
      <c r="B24" s="69"/>
      <c r="C24" s="34"/>
      <c r="D24" s="34"/>
      <c r="E24" s="34"/>
      <c r="F24" s="127"/>
      <c r="G24" s="127"/>
      <c r="I24" s="137"/>
      <c r="K24" s="8"/>
    </row>
    <row r="25" spans="1:11" ht="12.75">
      <c r="A25" s="25"/>
      <c r="C25" s="34"/>
      <c r="D25" s="34"/>
      <c r="E25" s="34"/>
      <c r="F25" s="127"/>
      <c r="G25" s="127"/>
      <c r="I25" s="137"/>
      <c r="K25" s="8"/>
    </row>
    <row r="26" spans="1:11" ht="12.75">
      <c r="A26" s="25">
        <v>9</v>
      </c>
      <c r="B26" s="4" t="s">
        <v>154</v>
      </c>
      <c r="C26" s="34">
        <f>'KSM-NCS-3 p8 Taxes'!C27</f>
        <v>2244420.7445379733</v>
      </c>
      <c r="D26" s="34">
        <f>'KSM-NCS-4 p2&amp;3 Adjust Issues'!V27</f>
        <v>192862.572</v>
      </c>
      <c r="E26" s="34">
        <f>C26+D26</f>
        <v>2437283.3165379735</v>
      </c>
      <c r="F26" s="127">
        <f>(D57-F20-F28)*'KSM-NCS-3 p10 Cost of Cap'!C48</f>
        <v>1453286.0791942494</v>
      </c>
      <c r="G26" s="127">
        <f>F26+E26</f>
        <v>3890569.395732223</v>
      </c>
      <c r="I26" s="137"/>
      <c r="K26" s="8"/>
    </row>
    <row r="27" spans="1:11" ht="12.75">
      <c r="A27" s="25">
        <v>10</v>
      </c>
      <c r="B27" s="4" t="s">
        <v>157</v>
      </c>
      <c r="C27" s="34">
        <f>+'KSM-NCS-3 p9 Other Rev&amp;Tax'!E24</f>
        <v>974950.39</v>
      </c>
      <c r="D27" s="34">
        <f>'KSM-NCS-4 p2&amp;3 Adjust Issues'!V28</f>
        <v>77059.60999999999</v>
      </c>
      <c r="E27" s="34">
        <f>C27+D27</f>
        <v>1052010</v>
      </c>
      <c r="F27" s="127">
        <v>0</v>
      </c>
      <c r="G27" s="127">
        <f>F27+E27</f>
        <v>1052010</v>
      </c>
      <c r="I27" s="137"/>
      <c r="K27" s="8"/>
    </row>
    <row r="28" spans="1:11" ht="12.75">
      <c r="A28" s="25">
        <v>11</v>
      </c>
      <c r="B28" s="4" t="s">
        <v>161</v>
      </c>
      <c r="C28" s="34">
        <f>+'KSM-NCS-3 p9 Other Rev&amp;Tax'!E30-C27</f>
        <v>4372664.768557201</v>
      </c>
      <c r="D28" s="34">
        <f>'KSM-NCS-4 p2&amp;3 Adjust Issues'!V29</f>
        <v>-118599.47215660004</v>
      </c>
      <c r="E28" s="34">
        <f>C28+D28</f>
        <v>4254065.296400601</v>
      </c>
      <c r="F28" s="127">
        <f>D57*('KSM-NCS-3 p10 Cost of Cap'!C27+'KSM-NCS-3 p10 Cost of Cap'!C28+'KSM-NCS-3 p10 Cost of Cap'!C29)</f>
        <v>175940.3714150743</v>
      </c>
      <c r="G28" s="127">
        <f>F28+E28</f>
        <v>4430005.667815675</v>
      </c>
      <c r="I28" s="137"/>
      <c r="K28" s="8"/>
    </row>
    <row r="29" spans="1:11" ht="12.75">
      <c r="A29" s="25">
        <v>12</v>
      </c>
      <c r="B29" s="4" t="s">
        <v>163</v>
      </c>
      <c r="C29" s="136">
        <f>+'KSM-NCS-3 p9 Other Rev&amp;Tax'!E41</f>
        <v>6962865.460316728</v>
      </c>
      <c r="D29" s="136">
        <f>'KSM-NCS-4 p2&amp;3 Adjust Issues'!V30</f>
        <v>-385985.0499317705</v>
      </c>
      <c r="E29" s="136">
        <f>C29+D29</f>
        <v>6576880.410384958</v>
      </c>
      <c r="F29" s="129">
        <v>0</v>
      </c>
      <c r="G29" s="129">
        <f>F29+E29</f>
        <v>6576880.410384958</v>
      </c>
      <c r="I29" s="137"/>
      <c r="K29" s="8"/>
    </row>
    <row r="30" spans="1:11" ht="12.75">
      <c r="A30" s="25"/>
      <c r="C30" s="34"/>
      <c r="D30" s="34"/>
      <c r="E30" s="34"/>
      <c r="F30" s="127"/>
      <c r="G30" s="127"/>
      <c r="K30" s="8"/>
    </row>
    <row r="31" spans="1:11" ht="12.75">
      <c r="A31" s="25">
        <v>13</v>
      </c>
      <c r="B31" s="4" t="s">
        <v>167</v>
      </c>
      <c r="C31" s="136">
        <f>SUM(C23:C30)</f>
        <v>86153006.67341201</v>
      </c>
      <c r="D31" s="136">
        <f>SUM(D23:D30)</f>
        <v>-3114237.0050082505</v>
      </c>
      <c r="E31" s="136">
        <f>SUM(E23:E30)</f>
        <v>83038769.66840374</v>
      </c>
      <c r="F31" s="129">
        <f>SUM(F23:F30)</f>
        <v>1643102.611864184</v>
      </c>
      <c r="G31" s="129">
        <f>SUM(G23:G30)</f>
        <v>84681872.28026792</v>
      </c>
      <c r="I31" s="137"/>
      <c r="K31" s="8"/>
    </row>
    <row r="32" spans="1:11" ht="12.75">
      <c r="A32" s="25"/>
      <c r="K32" s="8"/>
    </row>
    <row r="33" spans="1:11" ht="13.5" thickBot="1">
      <c r="A33" s="25">
        <v>14</v>
      </c>
      <c r="B33" s="4" t="s">
        <v>174</v>
      </c>
      <c r="C33" s="139">
        <f>C16-C31</f>
        <v>8472334.746587992</v>
      </c>
      <c r="D33" s="139">
        <f>D16-D31</f>
        <v>-27258.0048491084</v>
      </c>
      <c r="E33" s="139">
        <f>E16-E31</f>
        <v>8445076.7417389</v>
      </c>
      <c r="F33" s="139">
        <f>F16-F31</f>
        <v>2698959.861360749</v>
      </c>
      <c r="G33" s="139">
        <f>G16-G31</f>
        <v>11144036.60309966</v>
      </c>
      <c r="K33" s="8"/>
    </row>
    <row r="34" spans="1:11" ht="13.5" thickTop="1">
      <c r="A34" s="25"/>
      <c r="C34" s="107"/>
      <c r="D34" s="107"/>
      <c r="E34" s="107"/>
      <c r="F34" s="107"/>
      <c r="G34" s="107"/>
      <c r="K34" s="8"/>
    </row>
    <row r="35" spans="1:11" ht="13.5" thickBot="1">
      <c r="A35" s="25">
        <v>15</v>
      </c>
      <c r="B35" s="4" t="s">
        <v>178</v>
      </c>
      <c r="C35" s="139">
        <f>+'KSM-NCS-3 p6&amp;7 Rate Base'!Q97</f>
        <v>118753441.0894271</v>
      </c>
      <c r="D35" s="139">
        <f>'KSM-NCS-4 p2&amp;3 Adjust Issues'!V48</f>
        <v>9693289.743621457</v>
      </c>
      <c r="E35" s="139">
        <f>C35+D35</f>
        <v>128446730.83304855</v>
      </c>
      <c r="F35" s="139">
        <v>0</v>
      </c>
      <c r="G35" s="139">
        <f>F35+E35</f>
        <v>128446730.83304855</v>
      </c>
      <c r="K35" s="8"/>
    </row>
    <row r="36" spans="1:9" ht="13.5" thickTop="1">
      <c r="A36" s="25"/>
      <c r="C36" s="38"/>
      <c r="D36" s="38"/>
      <c r="E36" s="38"/>
      <c r="F36" s="38"/>
      <c r="G36" s="38"/>
      <c r="I36" s="137"/>
    </row>
    <row r="37" spans="1:4" ht="12.75">
      <c r="A37" s="25"/>
      <c r="D37" s="30"/>
    </row>
    <row r="38" spans="1:15" ht="13.5" thickBot="1">
      <c r="A38" s="25">
        <v>16</v>
      </c>
      <c r="B38" s="4" t="s">
        <v>183</v>
      </c>
      <c r="C38" s="133">
        <f>ROUND(+C33/C35,5)</f>
        <v>0.07134</v>
      </c>
      <c r="D38" s="30"/>
      <c r="E38" s="133">
        <f>ROUND(+E33/E35,5)</f>
        <v>0.06575</v>
      </c>
      <c r="F38" s="30"/>
      <c r="G38" s="133">
        <f>'KSM-NCS-3 p10 Cost of Cap'!E16</f>
        <v>0.08676</v>
      </c>
      <c r="J38" s="4"/>
      <c r="L38" s="140"/>
      <c r="M38" s="140"/>
      <c r="N38" s="43"/>
      <c r="O38" s="19"/>
    </row>
    <row r="39" spans="1:15" ht="13.5" thickTop="1">
      <c r="A39" s="25"/>
      <c r="C39" s="59"/>
      <c r="D39" s="30"/>
      <c r="E39" s="59"/>
      <c r="F39" s="30"/>
      <c r="G39" s="59"/>
      <c r="J39" s="11"/>
      <c r="L39" s="43"/>
      <c r="M39" s="43"/>
      <c r="N39" s="43"/>
      <c r="O39" s="19"/>
    </row>
    <row r="40" spans="1:15" ht="13.5" thickBot="1">
      <c r="A40" s="25">
        <v>17</v>
      </c>
      <c r="B40" s="4" t="s">
        <v>190</v>
      </c>
      <c r="C40" s="133">
        <f>((+C38-'KSM-NCS-3 p10 Cost of Cap'!$E$11-'KSM-NCS-3 p10 Cost of Cap'!$E$12-'KSM-NCS-3 p10 Cost of Cap'!$E$13)/'KSM-NCS-3 p10 Cost of Cap'!$C$14)</f>
        <v>0.07611137861596658</v>
      </c>
      <c r="D40" s="30"/>
      <c r="E40" s="133">
        <f>((+E38-'KSM-NCS-3 p10 Cost of Cap'!$E$11-'KSM-NCS-3 p10 Cost of Cap'!$E$12-'KSM-NCS-3 p10 Cost of Cap'!$E$13)/'KSM-NCS-3 p10 Cost of Cap'!$C$14)</f>
        <v>0.06509473940148566</v>
      </c>
      <c r="F40" s="30"/>
      <c r="G40" s="133">
        <f>((+G38-'KSM-NCS-3 p10 Cost of Cap'!$E$11-'KSM-NCS-3 p10 Cost of Cap'!$E$12-'KSM-NCS-3 p10 Cost of Cap'!$E$13)/'KSM-NCS-3 p10 Cost of Cap'!$C$14)</f>
        <v>0.10650074832746852</v>
      </c>
      <c r="J40" s="4"/>
      <c r="L40" s="43"/>
      <c r="M40" s="43"/>
      <c r="N40" s="43"/>
      <c r="O40" s="19"/>
    </row>
    <row r="41" spans="6:10" ht="13.5" thickTop="1">
      <c r="F41" s="30"/>
      <c r="J41" s="4"/>
    </row>
    <row r="43" ht="12.75">
      <c r="J43" s="36"/>
    </row>
    <row r="45" ht="12.75">
      <c r="B45" s="4" t="s">
        <v>198</v>
      </c>
    </row>
    <row r="46" spans="1:4" ht="12.75">
      <c r="A46" s="25">
        <v>1</v>
      </c>
      <c r="B46" s="4" t="s">
        <v>206</v>
      </c>
      <c r="C46" s="30"/>
      <c r="D46" s="3">
        <f>G33+G26</f>
        <v>15034605.998831883</v>
      </c>
    </row>
    <row r="47" spans="1:4" ht="12.75">
      <c r="A47" s="25">
        <v>2</v>
      </c>
      <c r="B47" s="4" t="s">
        <v>208</v>
      </c>
      <c r="C47" s="30"/>
      <c r="D47" s="3">
        <f>G35*'KSM-NCS-3 p10 Cost of Cap'!C46</f>
        <v>4202777.032857348</v>
      </c>
    </row>
    <row r="48" spans="1:4" ht="12.75">
      <c r="A48" s="25">
        <v>3</v>
      </c>
      <c r="B48" s="4" t="s">
        <v>211</v>
      </c>
      <c r="C48" s="30"/>
      <c r="D48" s="141">
        <f>'KSM-NCS-3 p8 Taxes'!C17</f>
        <v>-242549</v>
      </c>
    </row>
    <row r="49" spans="1:4" ht="12.75">
      <c r="A49" s="25">
        <v>4</v>
      </c>
      <c r="B49" s="36" t="s">
        <v>451</v>
      </c>
      <c r="C49" s="30"/>
      <c r="D49" s="3">
        <f>D46-D47+D48</f>
        <v>10589279.965974536</v>
      </c>
    </row>
    <row r="50" spans="1:8" ht="12.75">
      <c r="A50" s="25">
        <v>5</v>
      </c>
      <c r="B50" s="36" t="s">
        <v>385</v>
      </c>
      <c r="C50" s="30"/>
      <c r="D50" s="3">
        <f>D49*0.35-70640</f>
        <v>3635607.9880910874</v>
      </c>
      <c r="H50" s="142"/>
    </row>
    <row r="51" spans="1:4" ht="12.75">
      <c r="A51" s="25">
        <v>6</v>
      </c>
      <c r="B51" s="4" t="s">
        <v>217</v>
      </c>
      <c r="C51" s="30"/>
      <c r="D51" s="141">
        <f>G26</f>
        <v>3890569.395732223</v>
      </c>
    </row>
    <row r="52" spans="1:8" ht="12.75">
      <c r="A52" s="25">
        <v>7</v>
      </c>
      <c r="B52" s="4" t="s">
        <v>219</v>
      </c>
      <c r="C52" s="30"/>
      <c r="D52" s="3">
        <f>D50-D51</f>
        <v>-254961.40764113562</v>
      </c>
      <c r="H52" s="137"/>
    </row>
    <row r="53" ht="12.75">
      <c r="A53" s="25"/>
    </row>
    <row r="54" spans="1:7" ht="12.75">
      <c r="A54" s="25"/>
      <c r="B54" s="4" t="s">
        <v>222</v>
      </c>
      <c r="G54" s="137"/>
    </row>
    <row r="55" spans="1:7" ht="12.75">
      <c r="A55" s="25">
        <v>1</v>
      </c>
      <c r="B55" s="4" t="s">
        <v>223</v>
      </c>
      <c r="D55" s="3">
        <f>G35*G38</f>
        <v>11144038.367075292</v>
      </c>
      <c r="G55" s="137"/>
    </row>
    <row r="56" spans="1:4" ht="12.75">
      <c r="A56" s="25">
        <v>2</v>
      </c>
      <c r="B56" s="4" t="s">
        <v>224</v>
      </c>
      <c r="D56" s="3">
        <f>D55-E33</f>
        <v>2698961.625336392</v>
      </c>
    </row>
    <row r="57" spans="1:4" ht="12.75">
      <c r="A57" s="25">
        <v>3</v>
      </c>
      <c r="B57" s="4" t="s">
        <v>226</v>
      </c>
      <c r="D57" s="3">
        <f>D56*'KSM-NCS-3 p10 Cost of Cap'!C44</f>
        <v>4342062.473224933</v>
      </c>
    </row>
    <row r="58" ht="12.75">
      <c r="A58" s="25"/>
    </row>
    <row r="59" spans="1:4" ht="12.75">
      <c r="A59" s="25">
        <v>4</v>
      </c>
      <c r="B59" s="4" t="s">
        <v>227</v>
      </c>
      <c r="D59" s="8">
        <f>G33/G35</f>
        <v>0.08675998626687015</v>
      </c>
    </row>
  </sheetData>
  <sheetProtection/>
  <mergeCells count="1">
    <mergeCell ref="C5:G5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4.7109375" style="4" customWidth="1"/>
    <col min="2" max="2" width="41.7109375" style="4" customWidth="1"/>
    <col min="3" max="22" width="13.7109375" style="3" customWidth="1"/>
    <col min="23" max="16384" width="9.140625" style="3" customWidth="1"/>
  </cols>
  <sheetData>
    <row r="1" spans="1:22" s="4" customFormat="1" ht="12.75">
      <c r="A1" s="4" t="s">
        <v>0</v>
      </c>
      <c r="C1" s="25"/>
      <c r="D1" s="25"/>
      <c r="E1" s="25"/>
      <c r="G1" s="25"/>
      <c r="P1" s="25"/>
      <c r="T1" s="25"/>
      <c r="V1" s="4" t="s">
        <v>452</v>
      </c>
    </row>
    <row r="2" s="4" customFormat="1" ht="12.75">
      <c r="A2" s="4" t="str">
        <f>+'KSM-NCS-4 p4&amp;5 Adjust Tax'!A2</f>
        <v>Adjustments to Test Period</v>
      </c>
    </row>
    <row r="3" spans="1:22" s="4" customFormat="1" ht="12.75">
      <c r="A3" s="36" t="s">
        <v>493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7:21" s="4" customFormat="1" ht="12.75">
      <c r="G4" s="192"/>
      <c r="M4" s="192"/>
      <c r="O4" s="426"/>
      <c r="R4" s="192"/>
      <c r="S4" s="192"/>
      <c r="T4" s="192"/>
      <c r="U4" s="426"/>
    </row>
    <row r="5" spans="3:21" s="4" customFormat="1" ht="13.5" thickBot="1">
      <c r="C5" s="425" t="s">
        <v>651</v>
      </c>
      <c r="D5" s="425" t="s">
        <v>651</v>
      </c>
      <c r="E5" s="425" t="s">
        <v>651</v>
      </c>
      <c r="F5" s="425" t="s">
        <v>651</v>
      </c>
      <c r="G5" s="425" t="s">
        <v>651</v>
      </c>
      <c r="H5" s="425" t="s">
        <v>651</v>
      </c>
      <c r="I5" s="425" t="s">
        <v>651</v>
      </c>
      <c r="J5" s="425" t="s">
        <v>651</v>
      </c>
      <c r="K5" s="425" t="s">
        <v>651</v>
      </c>
      <c r="L5" s="425" t="s">
        <v>651</v>
      </c>
      <c r="M5" s="425" t="s">
        <v>651</v>
      </c>
      <c r="N5" s="425" t="s">
        <v>651</v>
      </c>
      <c r="O5" s="31"/>
      <c r="P5" s="425" t="s">
        <v>652</v>
      </c>
      <c r="Q5" s="425" t="s">
        <v>652</v>
      </c>
      <c r="R5" s="425" t="s">
        <v>652</v>
      </c>
      <c r="S5" s="425" t="s">
        <v>652</v>
      </c>
      <c r="T5" s="425" t="s">
        <v>652</v>
      </c>
      <c r="U5" s="31"/>
    </row>
    <row r="6" spans="3:22" s="4" customFormat="1" ht="12.75">
      <c r="C6" s="25" t="s">
        <v>19</v>
      </c>
      <c r="D6" s="25"/>
      <c r="E6" s="25"/>
      <c r="F6" s="25"/>
      <c r="G6" s="192"/>
      <c r="H6" s="25"/>
      <c r="I6" s="25"/>
      <c r="J6" s="25"/>
      <c r="K6" s="25"/>
      <c r="L6" s="25"/>
      <c r="M6" s="192"/>
      <c r="N6" s="25"/>
      <c r="O6" s="25"/>
      <c r="P6" s="25"/>
      <c r="Q6" s="25"/>
      <c r="R6" s="192"/>
      <c r="S6" s="192"/>
      <c r="T6" s="192"/>
      <c r="U6" s="25"/>
      <c r="V6" s="25"/>
    </row>
    <row r="7" spans="3:22" s="4" customFormat="1" ht="12.75">
      <c r="C7" s="25" t="s">
        <v>27</v>
      </c>
      <c r="D7" s="25" t="s">
        <v>574</v>
      </c>
      <c r="E7" s="25"/>
      <c r="F7" s="25"/>
      <c r="G7" s="25" t="s">
        <v>468</v>
      </c>
      <c r="H7" s="25" t="s">
        <v>650</v>
      </c>
      <c r="I7" s="25" t="s">
        <v>29</v>
      </c>
      <c r="J7" s="25" t="s">
        <v>30</v>
      </c>
      <c r="K7" s="25"/>
      <c r="L7" s="25"/>
      <c r="M7" s="25"/>
      <c r="N7" s="25"/>
      <c r="O7" s="25" t="s">
        <v>75</v>
      </c>
      <c r="P7" s="25"/>
      <c r="Q7" s="25" t="s">
        <v>28</v>
      </c>
      <c r="R7" s="25"/>
      <c r="S7" s="25"/>
      <c r="T7" s="25"/>
      <c r="U7" s="25" t="s">
        <v>75</v>
      </c>
      <c r="V7" s="25"/>
    </row>
    <row r="8" spans="1:22" s="4" customFormat="1" ht="12.75">
      <c r="A8" s="25" t="s">
        <v>20</v>
      </c>
      <c r="C8" s="25" t="s">
        <v>49</v>
      </c>
      <c r="D8" s="25" t="s">
        <v>72</v>
      </c>
      <c r="E8" s="25" t="s">
        <v>50</v>
      </c>
      <c r="F8" s="25" t="s">
        <v>649</v>
      </c>
      <c r="G8" s="25" t="s">
        <v>550</v>
      </c>
      <c r="H8" s="25" t="s">
        <v>51</v>
      </c>
      <c r="I8" s="25" t="s">
        <v>52</v>
      </c>
      <c r="J8" s="25" t="s">
        <v>660</v>
      </c>
      <c r="K8" s="25" t="s">
        <v>53</v>
      </c>
      <c r="L8" s="25" t="s">
        <v>601</v>
      </c>
      <c r="M8" s="25" t="s">
        <v>527</v>
      </c>
      <c r="N8" s="25" t="s">
        <v>326</v>
      </c>
      <c r="O8" s="25" t="s">
        <v>651</v>
      </c>
      <c r="P8" s="25" t="s">
        <v>28</v>
      </c>
      <c r="Q8" s="25" t="s">
        <v>426</v>
      </c>
      <c r="R8" s="25" t="s">
        <v>283</v>
      </c>
      <c r="S8" s="25" t="s">
        <v>526</v>
      </c>
      <c r="T8" s="25" t="s">
        <v>544</v>
      </c>
      <c r="U8" s="25" t="s">
        <v>652</v>
      </c>
      <c r="V8" s="25" t="s">
        <v>54</v>
      </c>
    </row>
    <row r="9" spans="1:22" s="4" customFormat="1" ht="12.75">
      <c r="A9" s="26" t="s">
        <v>37</v>
      </c>
      <c r="B9" s="147"/>
      <c r="C9" s="26" t="s">
        <v>69</v>
      </c>
      <c r="D9" s="26" t="s">
        <v>32</v>
      </c>
      <c r="E9" s="26" t="s">
        <v>32</v>
      </c>
      <c r="F9" s="26" t="s">
        <v>32</v>
      </c>
      <c r="G9" s="26" t="s">
        <v>32</v>
      </c>
      <c r="H9" s="26" t="s">
        <v>32</v>
      </c>
      <c r="I9" s="26" t="s">
        <v>32</v>
      </c>
      <c r="J9" s="26" t="s">
        <v>32</v>
      </c>
      <c r="K9" s="26" t="s">
        <v>32</v>
      </c>
      <c r="L9" s="26" t="s">
        <v>32</v>
      </c>
      <c r="M9" s="26" t="s">
        <v>32</v>
      </c>
      <c r="N9" s="26" t="s">
        <v>32</v>
      </c>
      <c r="O9" s="26" t="s">
        <v>38</v>
      </c>
      <c r="P9" s="26" t="s">
        <v>32</v>
      </c>
      <c r="Q9" s="26" t="s">
        <v>32</v>
      </c>
      <c r="R9" s="26" t="s">
        <v>32</v>
      </c>
      <c r="S9" s="26" t="s">
        <v>32</v>
      </c>
      <c r="T9" s="26" t="s">
        <v>32</v>
      </c>
      <c r="U9" s="26" t="s">
        <v>38</v>
      </c>
      <c r="V9" s="26" t="s">
        <v>38</v>
      </c>
    </row>
    <row r="10" spans="1:25" s="4" customFormat="1" ht="12.75">
      <c r="A10" s="25"/>
      <c r="C10" s="192" t="s">
        <v>64</v>
      </c>
      <c r="D10" s="192" t="s">
        <v>65</v>
      </c>
      <c r="E10" s="192" t="s">
        <v>66</v>
      </c>
      <c r="F10" s="192" t="s">
        <v>67</v>
      </c>
      <c r="G10" s="192" t="s">
        <v>68</v>
      </c>
      <c r="H10" s="192" t="s">
        <v>78</v>
      </c>
      <c r="I10" s="192" t="s">
        <v>79</v>
      </c>
      <c r="J10" s="192" t="s">
        <v>80</v>
      </c>
      <c r="K10" s="192" t="s">
        <v>81</v>
      </c>
      <c r="L10" s="192" t="s">
        <v>82</v>
      </c>
      <c r="M10" s="192" t="s">
        <v>83</v>
      </c>
      <c r="N10" s="192" t="s">
        <v>487</v>
      </c>
      <c r="O10" s="192" t="s">
        <v>488</v>
      </c>
      <c r="P10" s="192" t="s">
        <v>84</v>
      </c>
      <c r="Q10" s="192" t="s">
        <v>85</v>
      </c>
      <c r="R10" s="192" t="s">
        <v>567</v>
      </c>
      <c r="S10" s="192" t="s">
        <v>569</v>
      </c>
      <c r="T10" s="192" t="s">
        <v>653</v>
      </c>
      <c r="U10" s="192" t="s">
        <v>654</v>
      </c>
      <c r="V10" s="192" t="s">
        <v>655</v>
      </c>
      <c r="W10" s="25"/>
      <c r="X10" s="25"/>
      <c r="Y10" s="16"/>
    </row>
    <row r="11" ht="12.75">
      <c r="A11" s="25"/>
    </row>
    <row r="12" spans="1:22" ht="12.75">
      <c r="A12" s="25"/>
      <c r="B12" s="4" t="s">
        <v>87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2.75">
      <c r="A13" s="25">
        <v>1</v>
      </c>
      <c r="B13" s="4" t="s">
        <v>100</v>
      </c>
      <c r="C13" s="15">
        <f>+'KSM-NCS-4 p6 Rev &amp; Cost'!J25</f>
        <v>-3247876.475173849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>SUM(C13:N13)</f>
        <v>-3247876.475173849</v>
      </c>
      <c r="P13" s="15"/>
      <c r="Q13" s="15"/>
      <c r="R13" s="15"/>
      <c r="S13" s="15"/>
      <c r="T13" s="15"/>
      <c r="U13" s="15">
        <f>+P13+Q13+R13+S13+T13</f>
        <v>0</v>
      </c>
      <c r="V13" s="15">
        <f>+U13+O13</f>
        <v>-3247876.475173849</v>
      </c>
    </row>
    <row r="14" spans="1:22" ht="12.75">
      <c r="A14" s="25">
        <v>2</v>
      </c>
      <c r="B14" s="36" t="s">
        <v>107</v>
      </c>
      <c r="C14" s="15">
        <f>+'KSM-NCS-4 p6 Rev &amp; Cost'!J33</f>
        <v>8099.008649823838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>SUM(C14:N14)</f>
        <v>8099.008649823838</v>
      </c>
      <c r="P14" s="15"/>
      <c r="Q14" s="15"/>
      <c r="R14" s="15"/>
      <c r="S14" s="15"/>
      <c r="T14" s="15"/>
      <c r="U14" s="15">
        <f>+P14+Q14+R14+S14+T14</f>
        <v>0</v>
      </c>
      <c r="V14" s="15">
        <f>+U14+O14</f>
        <v>8099.008649823838</v>
      </c>
    </row>
    <row r="15" spans="1:22" ht="12.75">
      <c r="A15" s="25">
        <v>3</v>
      </c>
      <c r="B15" s="36" t="s">
        <v>103</v>
      </c>
      <c r="C15" s="27"/>
      <c r="D15" s="27">
        <f>+'KSM-NCS-4 p7 Misc Rev Adjs'!E29</f>
        <v>98282.45666666665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f>SUM(C15:N15)</f>
        <v>98282.45666666665</v>
      </c>
      <c r="P15" s="27"/>
      <c r="Q15" s="27"/>
      <c r="R15" s="27"/>
      <c r="S15" s="27"/>
      <c r="T15" s="27"/>
      <c r="U15" s="27">
        <f>+P15+Q15+R15+S15+T15</f>
        <v>0</v>
      </c>
      <c r="V15" s="27">
        <f>+U15+O15</f>
        <v>98282.45666666665</v>
      </c>
    </row>
    <row r="16" spans="1:22" ht="12.75">
      <c r="A16" s="2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2.75">
      <c r="A17" s="25">
        <v>4</v>
      </c>
      <c r="B17" s="4" t="s">
        <v>117</v>
      </c>
      <c r="C17" s="15">
        <f aca="true" t="shared" si="0" ref="C17:V17">SUM(C13:C15)</f>
        <v>-3239777.4665240254</v>
      </c>
      <c r="D17" s="15">
        <f t="shared" si="0"/>
        <v>98282.45666666665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-3141495.009857359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-3141495.009857359</v>
      </c>
    </row>
    <row r="18" spans="1:22" ht="12.75">
      <c r="A18" s="25"/>
      <c r="B18" s="8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2.75">
      <c r="A19" s="25"/>
      <c r="B19" s="4" t="s">
        <v>125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2.75">
      <c r="A20" s="25">
        <v>5</v>
      </c>
      <c r="B20" s="4" t="s">
        <v>130</v>
      </c>
      <c r="C20" s="15">
        <f>+'KSM-NCS-4 p6 Rev &amp; Cost'!J52</f>
        <v>-2326804.2686488405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f>SUM(C20:N20)</f>
        <v>-2326804.2686488405</v>
      </c>
      <c r="P20" s="15"/>
      <c r="Q20" s="15"/>
      <c r="R20" s="15"/>
      <c r="S20" s="15"/>
      <c r="T20" s="15"/>
      <c r="U20" s="15">
        <f>+P20+Q20+R20+S20+T20</f>
        <v>0</v>
      </c>
      <c r="V20" s="15">
        <f>+U20+O20</f>
        <v>-2326804.2686488405</v>
      </c>
    </row>
    <row r="21" spans="1:22" ht="12.75">
      <c r="A21" s="25">
        <v>6</v>
      </c>
      <c r="B21" s="4" t="s">
        <v>141</v>
      </c>
      <c r="C21" s="15">
        <f>(+C13+C14)*'KSM-NCS-3 p10 Cost of Cap'!$C$49</f>
        <v>-10353.530109842215</v>
      </c>
      <c r="D21" s="15"/>
      <c r="E21" s="15"/>
      <c r="F21" s="15"/>
      <c r="G21" s="15"/>
      <c r="H21" s="15">
        <f>+'KSM-NCS-4 p11 Uncollectibles'!C44</f>
        <v>50559.70801909169</v>
      </c>
      <c r="I21" s="15"/>
      <c r="J21" s="15"/>
      <c r="K21" s="15"/>
      <c r="L21" s="15"/>
      <c r="M21" s="15"/>
      <c r="N21" s="15"/>
      <c r="O21" s="15">
        <f>SUM(C21:N21)</f>
        <v>40206.177909249476</v>
      </c>
      <c r="P21" s="15"/>
      <c r="Q21" s="15"/>
      <c r="R21" s="15"/>
      <c r="S21" s="15"/>
      <c r="T21" s="15"/>
      <c r="U21" s="15">
        <f>+P21+Q21+R21+S21+T21</f>
        <v>0</v>
      </c>
      <c r="V21" s="15">
        <f>+U21+O21</f>
        <v>40206.177909249476</v>
      </c>
    </row>
    <row r="22" spans="1:22" ht="12.75">
      <c r="A22" s="25">
        <v>7</v>
      </c>
      <c r="B22" s="4" t="s">
        <v>144</v>
      </c>
      <c r="C22" s="27"/>
      <c r="D22" s="27"/>
      <c r="E22" s="27">
        <f>'KSM-NCS-4 p8 Bonuses'!H33</f>
        <v>-194975.57949333327</v>
      </c>
      <c r="F22" s="27">
        <f>+'KSM-NCS-4 p9 Severance'!C15</f>
        <v>-153072.68434866663</v>
      </c>
      <c r="G22" s="27"/>
      <c r="H22" s="27"/>
      <c r="I22" s="27"/>
      <c r="J22" s="27">
        <f>'KSM-NCS-4 p13 Marketing'!E34</f>
        <v>-44797.406072388556</v>
      </c>
      <c r="K22" s="27">
        <f>'KSM-NCS-4 p14 Claims'!D23</f>
        <v>-37959.19536762098</v>
      </c>
      <c r="L22" s="27">
        <f>+'KSM-NCS-4 p15 AMR'!C15</f>
        <v>-216801</v>
      </c>
      <c r="M22" s="27">
        <f>+'KSM-NCS-4 p16 Rate Case Exp'!C13</f>
        <v>26666.666666666668</v>
      </c>
      <c r="N22" s="27">
        <f>+'KSM-NCS-4 p17 Clearing'!D14</f>
        <v>21907.65800096938</v>
      </c>
      <c r="O22" s="27">
        <f>SUM(C22:N22)</f>
        <v>-599031.5406143735</v>
      </c>
      <c r="P22" s="27">
        <f>+'KSM-NCS-4 p18 Payroll 1'!C29</f>
        <v>127241.37547288464</v>
      </c>
      <c r="Q22" s="27">
        <f>+'KSM-NCS-4 p20 Pay Overheads'!E30</f>
        <v>-121186.40903879996</v>
      </c>
      <c r="R22" s="27"/>
      <c r="S22" s="27"/>
      <c r="T22" s="27"/>
      <c r="U22" s="27">
        <f>+P22+Q22+R22+S22+T22</f>
        <v>6054.966434084679</v>
      </c>
      <c r="V22" s="27">
        <f>+U22+O22</f>
        <v>-592976.5741802888</v>
      </c>
    </row>
    <row r="23" spans="1:22" ht="12.75">
      <c r="A23" s="2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2.75">
      <c r="A24" s="25">
        <v>8</v>
      </c>
      <c r="B24" s="36" t="s">
        <v>147</v>
      </c>
      <c r="C24" s="15">
        <f aca="true" t="shared" si="1" ref="C24:V24">C20+C21+C22</f>
        <v>-2337157.798758683</v>
      </c>
      <c r="D24" s="15">
        <f t="shared" si="1"/>
        <v>0</v>
      </c>
      <c r="E24" s="15">
        <f t="shared" si="1"/>
        <v>-194975.57949333327</v>
      </c>
      <c r="F24" s="15">
        <f t="shared" si="1"/>
        <v>-153072.68434866663</v>
      </c>
      <c r="G24" s="15">
        <f t="shared" si="1"/>
        <v>0</v>
      </c>
      <c r="H24" s="15">
        <f t="shared" si="1"/>
        <v>50559.70801909169</v>
      </c>
      <c r="I24" s="15">
        <f t="shared" si="1"/>
        <v>0</v>
      </c>
      <c r="J24" s="15">
        <f t="shared" si="1"/>
        <v>-44797.406072388556</v>
      </c>
      <c r="K24" s="15">
        <f t="shared" si="1"/>
        <v>-37959.19536762098</v>
      </c>
      <c r="L24" s="15">
        <f t="shared" si="1"/>
        <v>-216801</v>
      </c>
      <c r="M24" s="15">
        <f t="shared" si="1"/>
        <v>26666.666666666668</v>
      </c>
      <c r="N24" s="15">
        <f t="shared" si="1"/>
        <v>21907.65800096938</v>
      </c>
      <c r="O24" s="15">
        <f t="shared" si="1"/>
        <v>-2885629.6313539646</v>
      </c>
      <c r="P24" s="15">
        <f t="shared" si="1"/>
        <v>127241.37547288464</v>
      </c>
      <c r="Q24" s="15">
        <f t="shared" si="1"/>
        <v>-121186.40903879996</v>
      </c>
      <c r="R24" s="15">
        <f t="shared" si="1"/>
        <v>0</v>
      </c>
      <c r="S24" s="15">
        <f t="shared" si="1"/>
        <v>0</v>
      </c>
      <c r="T24" s="15">
        <f t="shared" si="1"/>
        <v>0</v>
      </c>
      <c r="U24" s="15">
        <f t="shared" si="1"/>
        <v>6054.966434084679</v>
      </c>
      <c r="V24" s="15">
        <f t="shared" si="1"/>
        <v>-2879574.6649198798</v>
      </c>
    </row>
    <row r="25" spans="1:22" ht="12.75">
      <c r="A25" s="2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2.75">
      <c r="A26" s="2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2.75">
      <c r="A27" s="25">
        <v>9</v>
      </c>
      <c r="B27" s="4" t="s">
        <v>154</v>
      </c>
      <c r="C27" s="15">
        <f>'KSM-NCS-4 p4&amp;5 Adjust Tax'!C$38</f>
        <v>-269970</v>
      </c>
      <c r="D27" s="15">
        <f>'KSM-NCS-4 p4&amp;5 Adjust Tax'!D38</f>
        <v>33005</v>
      </c>
      <c r="E27" s="15">
        <f>'KSM-NCS-4 p4&amp;5 Adjust Tax'!E38</f>
        <v>69092</v>
      </c>
      <c r="F27" s="15">
        <f>'KSM-NCS-4 p4&amp;5 Adjust Tax'!F38</f>
        <v>53575</v>
      </c>
      <c r="G27" s="15">
        <f>'KSM-NCS-4 p4&amp;5 Adjust Tax'!G38</f>
        <v>-26971</v>
      </c>
      <c r="H27" s="15">
        <f>'KSM-NCS-4 p4&amp;5 Adjust Tax'!H38</f>
        <v>-17696</v>
      </c>
      <c r="I27" s="15">
        <f>'KSM-NCS-4 p4&amp;5 Adjust Tax'!I38</f>
        <v>-79472</v>
      </c>
      <c r="J27" s="15">
        <f>'KSM-NCS-4 p4&amp;5 Adjust Tax'!J38</f>
        <v>15679</v>
      </c>
      <c r="K27" s="15">
        <f>'KSM-NCS-4 p4&amp;5 Adjust Tax'!K38</f>
        <v>13078</v>
      </c>
      <c r="L27" s="15">
        <f>'KSM-NCS-4 p4&amp;5 Adjust Tax'!L38</f>
        <v>-3864</v>
      </c>
      <c r="M27" s="15">
        <f>'KSM-NCS-4 p4&amp;5 Adjust Tax'!M38</f>
        <v>-9333</v>
      </c>
      <c r="N27" s="15">
        <f>'KSM-NCS-4 p4&amp;5 Adjust Tax'!N38</f>
        <v>-7963</v>
      </c>
      <c r="O27" s="15">
        <f>SUM(C27:N27)</f>
        <v>-230840</v>
      </c>
      <c r="P27" s="15">
        <f>'KSM-NCS-4 p4&amp;5 Adjust Tax'!P38</f>
        <v>-44534</v>
      </c>
      <c r="Q27" s="15">
        <f>'KSM-NCS-4 p4&amp;5 Adjust Tax'!Q38</f>
        <v>39372</v>
      </c>
      <c r="R27" s="15">
        <f>'KSM-NCS-4 p4&amp;5 Adjust Tax'!R38</f>
        <v>207193</v>
      </c>
      <c r="S27" s="15">
        <f>+'KSM-NCS-4 p24 Pre-81 Taxes'!C15</f>
        <v>245908.572</v>
      </c>
      <c r="T27" s="15">
        <f>'KSM-NCS-4 p4&amp;5 Adjust Tax'!T38</f>
        <v>-24237</v>
      </c>
      <c r="U27" s="15">
        <f>+P27+Q27+R27+S27+T27</f>
        <v>423702.572</v>
      </c>
      <c r="V27" s="15">
        <f>+U27+O27</f>
        <v>192862.572</v>
      </c>
    </row>
    <row r="28" spans="1:22" ht="12.75">
      <c r="A28" s="25">
        <v>10</v>
      </c>
      <c r="B28" s="4" t="s">
        <v>157</v>
      </c>
      <c r="C28" s="15"/>
      <c r="D28" s="15"/>
      <c r="E28" s="15"/>
      <c r="F28" s="15"/>
      <c r="G28" s="15">
        <f>+'KSM-NCS-4 p10 Property Taxes'!C15</f>
        <v>77059.60999999999</v>
      </c>
      <c r="H28" s="15"/>
      <c r="I28" s="15"/>
      <c r="J28" s="15"/>
      <c r="K28" s="15"/>
      <c r="L28" s="15"/>
      <c r="M28" s="15"/>
      <c r="N28" s="15"/>
      <c r="O28" s="15">
        <f>SUM(C28:N28)</f>
        <v>77059.60999999999</v>
      </c>
      <c r="P28" s="15"/>
      <c r="Q28" s="15"/>
      <c r="R28" s="15"/>
      <c r="S28" s="15"/>
      <c r="T28" s="15"/>
      <c r="U28" s="15">
        <f>+P28+Q28+R28+S28+T28</f>
        <v>0</v>
      </c>
      <c r="V28" s="15">
        <f>+U28+O28</f>
        <v>77059.60999999999</v>
      </c>
    </row>
    <row r="29" spans="1:22" ht="12.75">
      <c r="A29" s="25">
        <v>11</v>
      </c>
      <c r="B29" s="4" t="s">
        <v>161</v>
      </c>
      <c r="C29" s="15">
        <f>(+C17*(+'KSM-NCS-3 p10 Cost of Cap'!$C27+'KSM-NCS-3 p10 Cost of Cap'!$C28+'KSM-NCS-3 p10 Cost of Cap'!$C29))</f>
        <v>-131275.78294355352</v>
      </c>
      <c r="D29" s="15">
        <f>(+D17*(+'KSM-NCS-3 p10 Cost of Cap'!$C27+'KSM-NCS-3 p10 Cost of Cap'!$C28+'KSM-NCS-3 p10 Cost of Cap'!$C29))</f>
        <v>3982.4051441333327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f>SUM(C29:N29)</f>
        <v>-127293.3777994202</v>
      </c>
      <c r="P29" s="15"/>
      <c r="Q29" s="15">
        <f>+'KSM-NCS-4 p20 Pay Overheads'!E47</f>
        <v>8693.905642820157</v>
      </c>
      <c r="R29" s="15"/>
      <c r="S29" s="15"/>
      <c r="T29" s="15"/>
      <c r="U29" s="15">
        <f>+P29+Q29+R29+S29+T29</f>
        <v>8693.905642820157</v>
      </c>
      <c r="V29" s="15">
        <f>+U29+O29</f>
        <v>-118599.47215660004</v>
      </c>
    </row>
    <row r="30" spans="1:22" ht="12.75">
      <c r="A30" s="25">
        <v>12</v>
      </c>
      <c r="B30" s="4" t="s">
        <v>163</v>
      </c>
      <c r="C30" s="27"/>
      <c r="D30" s="27"/>
      <c r="E30" s="27"/>
      <c r="F30" s="27"/>
      <c r="G30" s="27">
        <f>+'KSM-NCS-4 p27 SAP'!D37</f>
        <v>0</v>
      </c>
      <c r="H30" s="27"/>
      <c r="I30" s="27"/>
      <c r="J30" s="27"/>
      <c r="K30" s="27"/>
      <c r="L30" s="27">
        <f>+'KSM-NCS-4 p15 AMR'!C25</f>
        <v>152781.55428900005</v>
      </c>
      <c r="M30" s="27"/>
      <c r="N30" s="27"/>
      <c r="O30" s="27">
        <f>SUM(C30:N30)</f>
        <v>152781.55428900005</v>
      </c>
      <c r="P30" s="27"/>
      <c r="Q30" s="27"/>
      <c r="R30" s="27">
        <f>+'KSM-NCS-4 p21 Depreciation'!C11</f>
        <v>-591980</v>
      </c>
      <c r="S30" s="27"/>
      <c r="T30" s="27">
        <f>+'KSM-NCS-4 p27 SAP'!C36</f>
        <v>53213.3957792295</v>
      </c>
      <c r="U30" s="27">
        <f>+P30+Q30+R30+S30+T30</f>
        <v>-538766.6042207705</v>
      </c>
      <c r="V30" s="27">
        <f>+U30+O30</f>
        <v>-385985.0499317705</v>
      </c>
    </row>
    <row r="31" spans="1:22" ht="12.75">
      <c r="A31" s="2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2.75">
      <c r="A32" s="25">
        <v>13</v>
      </c>
      <c r="B32" s="4" t="s">
        <v>167</v>
      </c>
      <c r="C32" s="27">
        <f aca="true" t="shared" si="2" ref="C32:V32">SUM(C24:C30)</f>
        <v>-2738403.581702236</v>
      </c>
      <c r="D32" s="27">
        <f t="shared" si="2"/>
        <v>36987.405144133336</v>
      </c>
      <c r="E32" s="27">
        <f t="shared" si="2"/>
        <v>-125883.57949333327</v>
      </c>
      <c r="F32" s="27">
        <f t="shared" si="2"/>
        <v>-99497.68434866663</v>
      </c>
      <c r="G32" s="27">
        <f t="shared" si="2"/>
        <v>50088.609999999986</v>
      </c>
      <c r="H32" s="27">
        <f t="shared" si="2"/>
        <v>32863.70801909169</v>
      </c>
      <c r="I32" s="27">
        <f t="shared" si="2"/>
        <v>-79472</v>
      </c>
      <c r="J32" s="27">
        <f t="shared" si="2"/>
        <v>-29118.406072388556</v>
      </c>
      <c r="K32" s="27">
        <f t="shared" si="2"/>
        <v>-24881.19536762098</v>
      </c>
      <c r="L32" s="27">
        <f t="shared" si="2"/>
        <v>-67883.44571099995</v>
      </c>
      <c r="M32" s="27">
        <f t="shared" si="2"/>
        <v>17333.666666666668</v>
      </c>
      <c r="N32" s="27">
        <f t="shared" si="2"/>
        <v>13944.658000969379</v>
      </c>
      <c r="O32" s="27">
        <f t="shared" si="2"/>
        <v>-3013921.8448643847</v>
      </c>
      <c r="P32" s="27">
        <f t="shared" si="2"/>
        <v>82707.37547288464</v>
      </c>
      <c r="Q32" s="27">
        <f t="shared" si="2"/>
        <v>-73120.5033959798</v>
      </c>
      <c r="R32" s="27">
        <f t="shared" si="2"/>
        <v>-384787</v>
      </c>
      <c r="S32" s="27">
        <f t="shared" si="2"/>
        <v>245908.572</v>
      </c>
      <c r="T32" s="27">
        <f t="shared" si="2"/>
        <v>28976.395779229497</v>
      </c>
      <c r="U32" s="27">
        <f t="shared" si="2"/>
        <v>-100315.16014386568</v>
      </c>
      <c r="V32" s="27">
        <f t="shared" si="2"/>
        <v>-3114237.0050082505</v>
      </c>
    </row>
    <row r="33" spans="1:22" ht="12.75">
      <c r="A33" s="2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3.5" thickBot="1">
      <c r="A34" s="25">
        <v>14</v>
      </c>
      <c r="B34" s="4" t="s">
        <v>177</v>
      </c>
      <c r="C34" s="33">
        <f aca="true" t="shared" si="3" ref="C34:V34">C17-C32</f>
        <v>-501373.88482178934</v>
      </c>
      <c r="D34" s="33">
        <f t="shared" si="3"/>
        <v>61295.051522533315</v>
      </c>
      <c r="E34" s="33">
        <f t="shared" si="3"/>
        <v>125883.57949333327</v>
      </c>
      <c r="F34" s="33">
        <f t="shared" si="3"/>
        <v>99497.68434866663</v>
      </c>
      <c r="G34" s="33">
        <f t="shared" si="3"/>
        <v>-50088.609999999986</v>
      </c>
      <c r="H34" s="33">
        <f t="shared" si="3"/>
        <v>-32863.70801909169</v>
      </c>
      <c r="I34" s="33">
        <f t="shared" si="3"/>
        <v>79472</v>
      </c>
      <c r="J34" s="33">
        <f t="shared" si="3"/>
        <v>29118.406072388556</v>
      </c>
      <c r="K34" s="33">
        <f t="shared" si="3"/>
        <v>24881.19536762098</v>
      </c>
      <c r="L34" s="33">
        <f t="shared" si="3"/>
        <v>67883.44571099995</v>
      </c>
      <c r="M34" s="33">
        <f t="shared" si="3"/>
        <v>-17333.666666666668</v>
      </c>
      <c r="N34" s="33">
        <f t="shared" si="3"/>
        <v>-13944.658000969379</v>
      </c>
      <c r="O34" s="33">
        <f t="shared" si="3"/>
        <v>-127573.16499297414</v>
      </c>
      <c r="P34" s="33">
        <f t="shared" si="3"/>
        <v>-82707.37547288464</v>
      </c>
      <c r="Q34" s="33">
        <f t="shared" si="3"/>
        <v>73120.5033959798</v>
      </c>
      <c r="R34" s="33">
        <f t="shared" si="3"/>
        <v>384787</v>
      </c>
      <c r="S34" s="33">
        <f t="shared" si="3"/>
        <v>-245908.572</v>
      </c>
      <c r="T34" s="33">
        <f t="shared" si="3"/>
        <v>-28976.395779229497</v>
      </c>
      <c r="U34" s="33">
        <f t="shared" si="3"/>
        <v>100315.16014386568</v>
      </c>
      <c r="V34" s="33">
        <f t="shared" si="3"/>
        <v>-27258.0048491084</v>
      </c>
    </row>
    <row r="35" spans="1:22" ht="13.5" thickTop="1">
      <c r="A35" s="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2.75">
      <c r="A36" s="25"/>
      <c r="B36" s="4" t="s">
        <v>168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2.75">
      <c r="A37" s="25">
        <v>15</v>
      </c>
      <c r="B37" s="4" t="s">
        <v>182</v>
      </c>
      <c r="C37" s="15"/>
      <c r="D37" s="15"/>
      <c r="E37" s="15">
        <f>'KSM-NCS-4 p8 Bonuses'!H37</f>
        <v>-74244.46259999998</v>
      </c>
      <c r="F37" s="15"/>
      <c r="G37" s="15">
        <f>+'KSM-NCS-4 p27 SAP'!D34</f>
        <v>0</v>
      </c>
      <c r="H37" s="15"/>
      <c r="I37" s="15">
        <f>+'KSM-NCS-4 p12 Working Cap'!D65</f>
        <v>6939589.169136753</v>
      </c>
      <c r="J37" s="15"/>
      <c r="K37" s="15">
        <f>'KSM-NCS-4 p14 Claims'!E23</f>
        <v>18119.355876529964</v>
      </c>
      <c r="L37" s="15">
        <f>+'KSM-NCS-4 p15 AMR'!C23</f>
        <v>2294017.331666667</v>
      </c>
      <c r="M37" s="15"/>
      <c r="N37" s="15">
        <f>+'KSM-NCS-4 p17 Clearing'!D21</f>
        <v>25773.644212960342</v>
      </c>
      <c r="O37" s="15">
        <f>SUM(C37:N37)</f>
        <v>9203255.03829291</v>
      </c>
      <c r="P37" s="15"/>
      <c r="Q37" s="15"/>
      <c r="R37" s="15"/>
      <c r="S37" s="15"/>
      <c r="T37" s="15">
        <f>+'KSM-NCS-4 p27 SAP'!C34</f>
        <v>490034.70532854676</v>
      </c>
      <c r="U37" s="15">
        <f>+P37+Q37+R37+S37+T37</f>
        <v>490034.70532854676</v>
      </c>
      <c r="V37" s="15">
        <f>+U37+O37</f>
        <v>9693289.743621457</v>
      </c>
    </row>
    <row r="38" spans="1:22" ht="12.75">
      <c r="A38" s="25">
        <v>16</v>
      </c>
      <c r="B38" s="4" t="s">
        <v>186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>
        <f>SUM(C38:N38)</f>
        <v>0</v>
      </c>
      <c r="P38" s="27"/>
      <c r="Q38" s="27"/>
      <c r="R38" s="27"/>
      <c r="S38" s="27"/>
      <c r="T38" s="27"/>
      <c r="U38" s="27">
        <f>+P38+Q38+R38+S38+T38</f>
        <v>0</v>
      </c>
      <c r="V38" s="27">
        <f>+U38+O38</f>
        <v>0</v>
      </c>
    </row>
    <row r="39" spans="1:22" ht="12.75">
      <c r="A39" s="2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2.75">
      <c r="A40" s="25">
        <v>17</v>
      </c>
      <c r="B40" s="4" t="s">
        <v>192</v>
      </c>
      <c r="C40" s="15">
        <f aca="true" t="shared" si="4" ref="C40:V40">C37+C38</f>
        <v>0</v>
      </c>
      <c r="D40" s="15">
        <f t="shared" si="4"/>
        <v>0</v>
      </c>
      <c r="E40" s="15">
        <f t="shared" si="4"/>
        <v>-74244.46259999998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6939589.169136753</v>
      </c>
      <c r="J40" s="15">
        <f t="shared" si="4"/>
        <v>0</v>
      </c>
      <c r="K40" s="15">
        <f t="shared" si="4"/>
        <v>18119.355876529964</v>
      </c>
      <c r="L40" s="15">
        <f t="shared" si="4"/>
        <v>2294017.331666667</v>
      </c>
      <c r="M40" s="15">
        <f t="shared" si="4"/>
        <v>0</v>
      </c>
      <c r="N40" s="15">
        <f t="shared" si="4"/>
        <v>25773.644212960342</v>
      </c>
      <c r="O40" s="15">
        <f t="shared" si="4"/>
        <v>9203255.03829291</v>
      </c>
      <c r="P40" s="15">
        <f t="shared" si="4"/>
        <v>0</v>
      </c>
      <c r="Q40" s="15">
        <f t="shared" si="4"/>
        <v>0</v>
      </c>
      <c r="R40" s="15">
        <f t="shared" si="4"/>
        <v>0</v>
      </c>
      <c r="S40" s="15">
        <f t="shared" si="4"/>
        <v>0</v>
      </c>
      <c r="T40" s="15">
        <f t="shared" si="4"/>
        <v>490034.70532854676</v>
      </c>
      <c r="U40" s="15">
        <f t="shared" si="4"/>
        <v>490034.70532854676</v>
      </c>
      <c r="V40" s="15">
        <f t="shared" si="4"/>
        <v>9693289.743621457</v>
      </c>
    </row>
    <row r="41" spans="1:22" ht="12.75">
      <c r="A41" s="2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2.75">
      <c r="A42" s="25">
        <v>18</v>
      </c>
      <c r="B42" s="4" t="s">
        <v>196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>
        <f>SUM(C42:N42)</f>
        <v>0</v>
      </c>
      <c r="P42" s="15"/>
      <c r="Q42" s="15"/>
      <c r="R42" s="15"/>
      <c r="S42" s="15"/>
      <c r="T42" s="15"/>
      <c r="U42" s="15">
        <f>+P42+Q42+R42+S42+T42</f>
        <v>0</v>
      </c>
      <c r="V42" s="15">
        <f>+U42+O42</f>
        <v>0</v>
      </c>
    </row>
    <row r="43" spans="1:22" ht="12.75">
      <c r="A43" s="25">
        <v>19</v>
      </c>
      <c r="B43" s="36" t="s">
        <v>379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>
        <f>SUM(C43:N43)</f>
        <v>0</v>
      </c>
      <c r="P43" s="15"/>
      <c r="Q43" s="15"/>
      <c r="R43" s="15"/>
      <c r="S43" s="15"/>
      <c r="T43" s="15"/>
      <c r="U43" s="15">
        <f>+P43+Q43+R43+S43+T43</f>
        <v>0</v>
      </c>
      <c r="V43" s="15">
        <f>+U43+O43</f>
        <v>0</v>
      </c>
    </row>
    <row r="44" spans="1:22" ht="12.75">
      <c r="A44" s="25">
        <v>20</v>
      </c>
      <c r="B44" s="4" t="s">
        <v>200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f>SUM(C44:N44)</f>
        <v>0</v>
      </c>
      <c r="P44" s="15"/>
      <c r="Q44" s="15"/>
      <c r="R44" s="15"/>
      <c r="S44" s="15"/>
      <c r="T44" s="15"/>
      <c r="U44" s="15">
        <f>+P44+Q44+R44+S44+T44</f>
        <v>0</v>
      </c>
      <c r="V44" s="15">
        <f>+U44+O44</f>
        <v>0</v>
      </c>
    </row>
    <row r="45" spans="1:22" ht="12.75">
      <c r="A45" s="25">
        <v>21</v>
      </c>
      <c r="B45" s="4" t="s">
        <v>203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>
        <f>SUM(C45:N45)</f>
        <v>0</v>
      </c>
      <c r="P45" s="15"/>
      <c r="Q45" s="15"/>
      <c r="R45" s="15"/>
      <c r="S45" s="15"/>
      <c r="T45" s="15"/>
      <c r="U45" s="15">
        <f>+P45+Q45+R45+S45+T45</f>
        <v>0</v>
      </c>
      <c r="V45" s="15">
        <f>+U45+O45</f>
        <v>0</v>
      </c>
    </row>
    <row r="46" spans="1:22" ht="12.75">
      <c r="A46" s="25">
        <v>22</v>
      </c>
      <c r="B46" s="4" t="s">
        <v>207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>
        <f>SUM(C46:N46)</f>
        <v>0</v>
      </c>
      <c r="P46" s="27"/>
      <c r="Q46" s="27"/>
      <c r="R46" s="27"/>
      <c r="S46" s="27"/>
      <c r="T46" s="27"/>
      <c r="U46" s="27">
        <f>+P46+Q46+R46+S46+T46</f>
        <v>0</v>
      </c>
      <c r="V46" s="27">
        <f>+U46+O46</f>
        <v>0</v>
      </c>
    </row>
    <row r="47" spans="1:22" ht="12.75">
      <c r="A47" s="2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3.5" thickBot="1">
      <c r="A48" s="25">
        <v>23</v>
      </c>
      <c r="B48" s="4" t="s">
        <v>178</v>
      </c>
      <c r="C48" s="33">
        <f aca="true" t="shared" si="5" ref="C48:V48">SUM(C40:C46)</f>
        <v>0</v>
      </c>
      <c r="D48" s="33">
        <f t="shared" si="5"/>
        <v>0</v>
      </c>
      <c r="E48" s="33">
        <f t="shared" si="5"/>
        <v>-74244.46259999998</v>
      </c>
      <c r="F48" s="33">
        <f t="shared" si="5"/>
        <v>0</v>
      </c>
      <c r="G48" s="33">
        <f t="shared" si="5"/>
        <v>0</v>
      </c>
      <c r="H48" s="33">
        <f t="shared" si="5"/>
        <v>0</v>
      </c>
      <c r="I48" s="33">
        <f t="shared" si="5"/>
        <v>6939589.169136753</v>
      </c>
      <c r="J48" s="33">
        <f t="shared" si="5"/>
        <v>0</v>
      </c>
      <c r="K48" s="33">
        <f t="shared" si="5"/>
        <v>18119.355876529964</v>
      </c>
      <c r="L48" s="33">
        <f t="shared" si="5"/>
        <v>2294017.331666667</v>
      </c>
      <c r="M48" s="33">
        <f t="shared" si="5"/>
        <v>0</v>
      </c>
      <c r="N48" s="33">
        <f t="shared" si="5"/>
        <v>25773.644212960342</v>
      </c>
      <c r="O48" s="33">
        <f t="shared" si="5"/>
        <v>9203255.03829291</v>
      </c>
      <c r="P48" s="33">
        <f t="shared" si="5"/>
        <v>0</v>
      </c>
      <c r="Q48" s="33">
        <f t="shared" si="5"/>
        <v>0</v>
      </c>
      <c r="R48" s="33">
        <f t="shared" si="5"/>
        <v>0</v>
      </c>
      <c r="S48" s="33">
        <f t="shared" si="5"/>
        <v>0</v>
      </c>
      <c r="T48" s="33">
        <f t="shared" si="5"/>
        <v>490034.70532854676</v>
      </c>
      <c r="U48" s="33">
        <f t="shared" si="5"/>
        <v>490034.70532854676</v>
      </c>
      <c r="V48" s="33">
        <f t="shared" si="5"/>
        <v>9693289.743621457</v>
      </c>
    </row>
    <row r="49" spans="1:22" ht="13.5" thickTop="1">
      <c r="A49" s="2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2.75">
      <c r="A50" s="25">
        <v>24</v>
      </c>
      <c r="B50" s="4" t="s">
        <v>216</v>
      </c>
      <c r="C50" s="15">
        <f>ROUND(+C48*'KSM-NCS-3 p10 Cost of Cap'!$C$46,0)</f>
        <v>0</v>
      </c>
      <c r="D50" s="15">
        <f>ROUND(+D48*'KSM-NCS-3 p10 Cost of Cap'!$C$46,0)</f>
        <v>0</v>
      </c>
      <c r="E50" s="15">
        <f>ROUND(+E48*'KSM-NCS-3 p10 Cost of Cap'!$C$46,0)</f>
        <v>-2429</v>
      </c>
      <c r="F50" s="15">
        <f>ROUND(+F48*'KSM-NCS-3 p10 Cost of Cap'!$C$46,0)</f>
        <v>0</v>
      </c>
      <c r="G50" s="15">
        <f>ROUND(+G48*'KSM-NCS-3 p10 Cost of Cap'!$C$46,0)</f>
        <v>0</v>
      </c>
      <c r="H50" s="15">
        <f>ROUND(+H48*'KSM-NCS-3 p10 Cost of Cap'!$C$46,0)</f>
        <v>0</v>
      </c>
      <c r="I50" s="15">
        <f>ROUND(+I48*'KSM-NCS-3 p10 Cost of Cap'!$C$46,0)</f>
        <v>227063</v>
      </c>
      <c r="J50" s="15">
        <f>ROUND(+J48*'KSM-NCS-3 p10 Cost of Cap'!$C$46,0)</f>
        <v>0</v>
      </c>
      <c r="K50" s="15">
        <f>ROUND(+K48*'KSM-NCS-3 p10 Cost of Cap'!$C$46,0)</f>
        <v>593</v>
      </c>
      <c r="L50" s="15">
        <f>ROUND(+L48*'KSM-NCS-3 p10 Cost of Cap'!$C$46,0)</f>
        <v>75060</v>
      </c>
      <c r="M50" s="15">
        <f>ROUND(+M48*'KSM-NCS-3 p10 Cost of Cap'!$C$46,0)</f>
        <v>0</v>
      </c>
      <c r="N50" s="15">
        <f>ROUND(+N48*'KSM-NCS-3 p10 Cost of Cap'!$C$46,0)</f>
        <v>843</v>
      </c>
      <c r="O50" s="15">
        <f>ROUND(+O48*'KSM-NCS-3 p10 Cost of Cap'!$C$46,0)</f>
        <v>301131</v>
      </c>
      <c r="P50" s="15">
        <f>ROUND(+P48*'KSM-NCS-3 p10 Cost of Cap'!$C$46,0)</f>
        <v>0</v>
      </c>
      <c r="Q50" s="15">
        <f>ROUND(+Q48*'KSM-NCS-3 p10 Cost of Cap'!$C$46,0)</f>
        <v>0</v>
      </c>
      <c r="R50" s="15">
        <f>ROUND(+R48*'KSM-NCS-3 p10 Cost of Cap'!$C$46,0)</f>
        <v>0</v>
      </c>
      <c r="S50" s="15">
        <f>ROUND(+S48*'KSM-NCS-3 p10 Cost of Cap'!$C$46,0)</f>
        <v>0</v>
      </c>
      <c r="T50" s="15">
        <f>ROUND(+T48*'KSM-NCS-3 p10 Cost of Cap'!$C$46,0)</f>
        <v>16034</v>
      </c>
      <c r="U50" s="15">
        <f>ROUND(+U48*'KSM-NCS-3 p10 Cost of Cap'!$C$46,0)</f>
        <v>16034</v>
      </c>
      <c r="V50" s="15">
        <f>SUM(C50:K50)</f>
        <v>225227</v>
      </c>
    </row>
    <row r="51" spans="3:22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3:22" ht="12.75">
      <c r="C52" s="127">
        <f>((C48*'KSM-NCS-3 p10 Cost of Cap'!$E16)-C34)*'KSM-NCS-3 p10 Cost of Cap'!$C44</f>
        <v>806605.2921624464</v>
      </c>
      <c r="D52" s="127">
        <f>((D48*'KSM-NCS-3 p10 Cost of Cap'!$E16)-D34)*'KSM-NCS-3 p10 Cost of Cap'!$C44</f>
        <v>-98610.86593893637</v>
      </c>
      <c r="E52" s="127">
        <f>((E48*'KSM-NCS-3 p10 Cost of Cap'!$E16)-E34)*'KSM-NCS-3 p10 Cost of Cap'!$C44</f>
        <v>-212883.18351512702</v>
      </c>
      <c r="F52" s="127">
        <f>((F48*'KSM-NCS-3 p10 Cost of Cap'!$E16)-F34)*'KSM-NCS-3 p10 Cost of Cap'!$C44</f>
        <v>-160070.8796032914</v>
      </c>
      <c r="G52" s="127">
        <f>((G48*'KSM-NCS-3 p10 Cost of Cap'!$E16)-G34)*'KSM-NCS-3 p10 Cost of Cap'!$C44</f>
        <v>80582.05488189998</v>
      </c>
      <c r="H52" s="127">
        <f>((H48*'KSM-NCS-3 p10 Cost of Cap'!$E16)-H34)*'KSM-NCS-3 p10 Cost of Cap'!$C44</f>
        <v>52870.804824034516</v>
      </c>
      <c r="I52" s="127">
        <f>((I48*'KSM-NCS-3 p10 Cost of Cap'!$E16)-I34)*'KSM-NCS-3 p10 Cost of Cap'!$C44</f>
        <v>840764.5234908904</v>
      </c>
      <c r="J52" s="127">
        <f>((J48*'KSM-NCS-3 p10 Cost of Cap'!$E16)-J34)*'KSM-NCS-3 p10 Cost of Cap'!$C44</f>
        <v>-46845.400505197984</v>
      </c>
      <c r="K52" s="127">
        <f>((K48*'KSM-NCS-3 p10 Cost of Cap'!$E16)-K34)*'KSM-NCS-3 p10 Cost of Cap'!$C44</f>
        <v>-37499.54359969227</v>
      </c>
      <c r="L52" s="127">
        <f>((L48*'KSM-NCS-3 p10 Cost of Cap'!$E16)-L34)*'KSM-NCS-3 p10 Cost of Cap'!$C44</f>
        <v>210985.565702323</v>
      </c>
      <c r="M52" s="127">
        <f>((M48*'KSM-NCS-3 p10 Cost of Cap'!$E16)-M34)*'KSM-NCS-3 p10 Cost of Cap'!$C44</f>
        <v>27886.229596666668</v>
      </c>
      <c r="N52" s="127">
        <f>((N48*'KSM-NCS-3 p10 Cost of Cap'!$E16)-N34)*'KSM-NCS-3 p10 Cost of Cap'!$C44</f>
        <v>26031.476047304976</v>
      </c>
      <c r="O52" s="127"/>
      <c r="P52" s="127">
        <f>((P48*'KSM-NCS-3 p10 Cost of Cap'!$E16)-P34)*'KSM-NCS-3 p10 Cost of Cap'!$C44</f>
        <v>133058.7985870221</v>
      </c>
      <c r="Q52" s="127">
        <f>((Q48*'KSM-NCS-3 p10 Cost of Cap'!$E16)-Q34)*'KSM-NCS-3 p10 Cost of Cap'!$C44</f>
        <v>-117635.53465841834</v>
      </c>
      <c r="R52" s="127">
        <f>((R48*'KSM-NCS-3 p10 Cost of Cap'!$E16)-R34)*'KSM-NCS-3 p10 Cost of Cap'!$C44</f>
        <v>-619041.4777299999</v>
      </c>
      <c r="S52" s="127">
        <f>((S48*'KSM-NCS-3 p10 Cost of Cap'!$E16)-S34)*'KSM-NCS-3 p10 Cost of Cap'!$C44</f>
        <v>395615.25154787995</v>
      </c>
      <c r="T52" s="127">
        <f>((T48*'KSM-NCS-3 p10 Cost of Cap'!$E16)-T34)*'KSM-NCS-3 p10 Cost of Cap'!$C44</f>
        <v>115015.30388354571</v>
      </c>
      <c r="U52" s="127"/>
      <c r="V52" s="127"/>
    </row>
    <row r="53" spans="1:22" ht="12.75">
      <c r="A53" s="15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3:22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</sheetData>
  <sheetProtection/>
  <printOptions horizontalCentered="1"/>
  <pageMargins left="0.77" right="0.98" top="0.5" bottom="0.5" header="0.25" footer="0.25"/>
  <pageSetup fitToWidth="2" fitToHeight="1" horizontalDpi="600" verticalDpi="600" orientation="landscape" scale="63" r:id="rId1"/>
  <rowBreaks count="1" manualBreakCount="1">
    <brk id="54" max="21" man="1"/>
  </rowBreaks>
  <colBreaks count="1" manualBreakCount="1">
    <brk id="15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7109375" style="0" customWidth="1"/>
    <col min="2" max="2" width="41.7109375" style="0" customWidth="1"/>
    <col min="3" max="22" width="13.7109375" style="0" customWidth="1"/>
  </cols>
  <sheetData>
    <row r="1" spans="1:22" ht="15">
      <c r="A1" s="4" t="s">
        <v>1</v>
      </c>
      <c r="B1" s="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5">
      <c r="A2" s="4" t="s">
        <v>359</v>
      </c>
      <c r="B2" s="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5">
      <c r="A3" s="4" t="str">
        <f>+'KSM-NCS-4 p2&amp;3 Adjust Issues'!A3</f>
        <v>Test Period - Twelve Months Ended September 30, 2007</v>
      </c>
      <c r="B3" s="4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5">
      <c r="A4" s="4" t="s">
        <v>13</v>
      </c>
      <c r="B4" s="4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">
      <c r="A5" s="4"/>
      <c r="B5" s="69"/>
      <c r="C5" s="25" t="s">
        <v>19</v>
      </c>
      <c r="D5" s="25"/>
      <c r="E5" s="25"/>
      <c r="F5" s="25"/>
      <c r="G5" s="192"/>
      <c r="H5" s="25"/>
      <c r="I5" s="25"/>
      <c r="J5" s="25"/>
      <c r="K5" s="25"/>
      <c r="L5" s="25"/>
      <c r="M5" s="192"/>
      <c r="N5" s="25"/>
      <c r="O5" s="25"/>
      <c r="P5" s="25"/>
      <c r="Q5" s="25"/>
      <c r="R5" s="192"/>
      <c r="S5" s="192"/>
      <c r="T5" s="192"/>
      <c r="U5" s="25"/>
      <c r="V5" s="25"/>
    </row>
    <row r="6" spans="1:22" ht="15">
      <c r="A6" s="4"/>
      <c r="B6" s="4"/>
      <c r="C6" s="25" t="s">
        <v>27</v>
      </c>
      <c r="D6" s="25" t="s">
        <v>574</v>
      </c>
      <c r="E6" s="25"/>
      <c r="F6" s="25"/>
      <c r="G6" s="25" t="s">
        <v>468</v>
      </c>
      <c r="H6" s="25" t="s">
        <v>650</v>
      </c>
      <c r="I6" s="25" t="s">
        <v>29</v>
      </c>
      <c r="J6" s="25" t="s">
        <v>30</v>
      </c>
      <c r="K6" s="25"/>
      <c r="L6" s="25"/>
      <c r="M6" s="25"/>
      <c r="N6" s="25"/>
      <c r="O6" s="25" t="s">
        <v>75</v>
      </c>
      <c r="P6" s="25"/>
      <c r="Q6" s="25" t="s">
        <v>28</v>
      </c>
      <c r="R6" s="25"/>
      <c r="S6" s="25"/>
      <c r="T6" s="25"/>
      <c r="U6" s="25" t="s">
        <v>75</v>
      </c>
      <c r="V6" s="25"/>
    </row>
    <row r="7" spans="1:22" ht="15">
      <c r="A7" s="25" t="s">
        <v>20</v>
      </c>
      <c r="B7" s="4"/>
      <c r="C7" s="25" t="s">
        <v>49</v>
      </c>
      <c r="D7" s="25" t="s">
        <v>72</v>
      </c>
      <c r="E7" s="25" t="s">
        <v>50</v>
      </c>
      <c r="F7" s="25" t="s">
        <v>649</v>
      </c>
      <c r="G7" s="25" t="s">
        <v>550</v>
      </c>
      <c r="H7" s="25" t="s">
        <v>51</v>
      </c>
      <c r="I7" s="25" t="s">
        <v>52</v>
      </c>
      <c r="J7" s="25" t="s">
        <v>660</v>
      </c>
      <c r="K7" s="25" t="s">
        <v>53</v>
      </c>
      <c r="L7" s="25" t="s">
        <v>601</v>
      </c>
      <c r="M7" s="25" t="s">
        <v>527</v>
      </c>
      <c r="N7" s="25" t="s">
        <v>326</v>
      </c>
      <c r="O7" s="25" t="s">
        <v>651</v>
      </c>
      <c r="P7" s="25" t="s">
        <v>28</v>
      </c>
      <c r="Q7" s="25" t="s">
        <v>426</v>
      </c>
      <c r="R7" s="25" t="s">
        <v>283</v>
      </c>
      <c r="S7" s="25" t="s">
        <v>526</v>
      </c>
      <c r="T7" s="25" t="s">
        <v>544</v>
      </c>
      <c r="U7" s="25" t="s">
        <v>652</v>
      </c>
      <c r="V7" s="25" t="s">
        <v>54</v>
      </c>
    </row>
    <row r="8" spans="1:22" ht="15">
      <c r="A8" s="26" t="s">
        <v>37</v>
      </c>
      <c r="B8" s="26" t="s">
        <v>232</v>
      </c>
      <c r="C8" s="26" t="s">
        <v>69</v>
      </c>
      <c r="D8" s="26" t="s">
        <v>32</v>
      </c>
      <c r="E8" s="26" t="s">
        <v>32</v>
      </c>
      <c r="F8" s="26" t="s">
        <v>32</v>
      </c>
      <c r="G8" s="26" t="s">
        <v>32</v>
      </c>
      <c r="H8" s="26" t="s">
        <v>32</v>
      </c>
      <c r="I8" s="26" t="s">
        <v>32</v>
      </c>
      <c r="J8" s="26" t="s">
        <v>32</v>
      </c>
      <c r="K8" s="26" t="s">
        <v>32</v>
      </c>
      <c r="L8" s="26" t="s">
        <v>32</v>
      </c>
      <c r="M8" s="26" t="s">
        <v>32</v>
      </c>
      <c r="N8" s="26" t="s">
        <v>32</v>
      </c>
      <c r="O8" s="26" t="s">
        <v>38</v>
      </c>
      <c r="P8" s="26" t="s">
        <v>32</v>
      </c>
      <c r="Q8" s="26" t="s">
        <v>32</v>
      </c>
      <c r="R8" s="26" t="s">
        <v>32</v>
      </c>
      <c r="S8" s="26" t="s">
        <v>32</v>
      </c>
      <c r="T8" s="26" t="s">
        <v>32</v>
      </c>
      <c r="U8" s="26" t="s">
        <v>38</v>
      </c>
      <c r="V8" s="26" t="s">
        <v>38</v>
      </c>
    </row>
    <row r="9" spans="1:22" ht="15">
      <c r="A9" s="25"/>
      <c r="B9" s="4"/>
      <c r="C9" s="192" t="s">
        <v>64</v>
      </c>
      <c r="D9" s="192" t="s">
        <v>65</v>
      </c>
      <c r="E9" s="192" t="s">
        <v>66</v>
      </c>
      <c r="F9" s="192" t="s">
        <v>67</v>
      </c>
      <c r="G9" s="192" t="s">
        <v>68</v>
      </c>
      <c r="H9" s="192" t="s">
        <v>78</v>
      </c>
      <c r="I9" s="192" t="s">
        <v>79</v>
      </c>
      <c r="J9" s="192" t="s">
        <v>80</v>
      </c>
      <c r="K9" s="192" t="s">
        <v>81</v>
      </c>
      <c r="L9" s="192" t="s">
        <v>82</v>
      </c>
      <c r="M9" s="192" t="s">
        <v>83</v>
      </c>
      <c r="N9" s="192" t="s">
        <v>487</v>
      </c>
      <c r="O9" s="192" t="s">
        <v>488</v>
      </c>
      <c r="P9" s="192" t="s">
        <v>84</v>
      </c>
      <c r="Q9" s="192" t="s">
        <v>85</v>
      </c>
      <c r="R9" s="192" t="s">
        <v>567</v>
      </c>
      <c r="S9" s="192" t="s">
        <v>569</v>
      </c>
      <c r="T9" s="192" t="s">
        <v>653</v>
      </c>
      <c r="U9" s="192" t="s">
        <v>654</v>
      </c>
      <c r="V9" s="192" t="s">
        <v>655</v>
      </c>
    </row>
    <row r="10" spans="1:22" ht="15">
      <c r="A10" s="25"/>
      <c r="B10" s="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>
      <c r="A11" s="25">
        <v>1</v>
      </c>
      <c r="B11" s="4" t="s">
        <v>235</v>
      </c>
      <c r="C11" s="15">
        <f>'KSM-NCS-4 p2&amp;3 Adjust Issues'!C17</f>
        <v>-3239777.4665240254</v>
      </c>
      <c r="D11" s="15">
        <f>'KSM-NCS-4 p2&amp;3 Adjust Issues'!D17</f>
        <v>98282.45666666665</v>
      </c>
      <c r="E11" s="15">
        <f>'KSM-NCS-4 p2&amp;3 Adjust Issues'!E17</f>
        <v>0</v>
      </c>
      <c r="F11" s="15">
        <f>'KSM-NCS-4 p2&amp;3 Adjust Issues'!F17</f>
        <v>0</v>
      </c>
      <c r="G11" s="15">
        <f>'KSM-NCS-4 p2&amp;3 Adjust Issues'!G17</f>
        <v>0</v>
      </c>
      <c r="H11" s="15">
        <f>'KSM-NCS-4 p2&amp;3 Adjust Issues'!H17</f>
        <v>0</v>
      </c>
      <c r="I11" s="15">
        <f>'KSM-NCS-4 p2&amp;3 Adjust Issues'!I17</f>
        <v>0</v>
      </c>
      <c r="J11" s="15">
        <f>'KSM-NCS-4 p2&amp;3 Adjust Issues'!J17</f>
        <v>0</v>
      </c>
      <c r="K11" s="15">
        <f>'KSM-NCS-4 p2&amp;3 Adjust Issues'!K17</f>
        <v>0</v>
      </c>
      <c r="L11" s="15">
        <f>'KSM-NCS-4 p2&amp;3 Adjust Issues'!L17</f>
        <v>0</v>
      </c>
      <c r="M11" s="15">
        <f>'KSM-NCS-4 p2&amp;3 Adjust Issues'!M17</f>
        <v>0</v>
      </c>
      <c r="N11" s="15">
        <f>'KSM-NCS-4 p2&amp;3 Adjust Issues'!N17</f>
        <v>0</v>
      </c>
      <c r="O11" s="15"/>
      <c r="P11" s="15">
        <f>'KSM-NCS-4 p2&amp;3 Adjust Issues'!P17</f>
        <v>0</v>
      </c>
      <c r="Q11" s="15">
        <f>'KSM-NCS-4 p2&amp;3 Adjust Issues'!Q17</f>
        <v>0</v>
      </c>
      <c r="R11" s="15">
        <f>'KSM-NCS-4 p2&amp;3 Adjust Issues'!R17</f>
        <v>0</v>
      </c>
      <c r="S11" s="15">
        <f>'KSM-NCS-4 p2&amp;3 Adjust Issues'!S17</f>
        <v>0</v>
      </c>
      <c r="T11" s="15">
        <f>'KSM-NCS-4 p2&amp;3 Adjust Issues'!T17</f>
        <v>0</v>
      </c>
      <c r="U11" s="15"/>
      <c r="V11" s="15">
        <f>SUM(C11:N11)</f>
        <v>-3141495.009857359</v>
      </c>
    </row>
    <row r="12" spans="1:22" ht="15">
      <c r="A12" s="25">
        <v>2</v>
      </c>
      <c r="B12" s="36" t="s">
        <v>380</v>
      </c>
      <c r="C12" s="15">
        <f>'KSM-NCS-4 p2&amp;3 Adjust Issues'!C24+'KSM-NCS-4 p2&amp;3 Adjust Issues'!C28+'KSM-NCS-4 p2&amp;3 Adjust Issues'!C29</f>
        <v>-2468433.581702236</v>
      </c>
      <c r="D12" s="15">
        <f>'KSM-NCS-4 p2&amp;3 Adjust Issues'!D24+'KSM-NCS-4 p2&amp;3 Adjust Issues'!D28+'KSM-NCS-4 p2&amp;3 Adjust Issues'!D29</f>
        <v>3982.4051441333327</v>
      </c>
      <c r="E12" s="15">
        <f>'KSM-NCS-4 p2&amp;3 Adjust Issues'!E24+'KSM-NCS-4 p2&amp;3 Adjust Issues'!E28+'KSM-NCS-4 p2&amp;3 Adjust Issues'!E29</f>
        <v>-194975.57949333327</v>
      </c>
      <c r="F12" s="15">
        <f>'KSM-NCS-4 p2&amp;3 Adjust Issues'!F24+'KSM-NCS-4 p2&amp;3 Adjust Issues'!F28+'KSM-NCS-4 p2&amp;3 Adjust Issues'!F29</f>
        <v>-153072.68434866663</v>
      </c>
      <c r="G12" s="15">
        <f>'KSM-NCS-4 p2&amp;3 Adjust Issues'!G24+'KSM-NCS-4 p2&amp;3 Adjust Issues'!G28+'KSM-NCS-4 p2&amp;3 Adjust Issues'!G29</f>
        <v>77059.60999999999</v>
      </c>
      <c r="H12" s="15">
        <f>'KSM-NCS-4 p2&amp;3 Adjust Issues'!H24+'KSM-NCS-4 p2&amp;3 Adjust Issues'!H28+'KSM-NCS-4 p2&amp;3 Adjust Issues'!H29</f>
        <v>50559.70801909169</v>
      </c>
      <c r="I12" s="15">
        <f>'KSM-NCS-4 p2&amp;3 Adjust Issues'!I24+'KSM-NCS-4 p2&amp;3 Adjust Issues'!I28+'KSM-NCS-4 p2&amp;3 Adjust Issues'!I29</f>
        <v>0</v>
      </c>
      <c r="J12" s="15">
        <f>'KSM-NCS-4 p2&amp;3 Adjust Issues'!J24+'KSM-NCS-4 p2&amp;3 Adjust Issues'!J28+'KSM-NCS-4 p2&amp;3 Adjust Issues'!J29</f>
        <v>-44797.406072388556</v>
      </c>
      <c r="K12" s="15">
        <f>'KSM-NCS-4 p2&amp;3 Adjust Issues'!K24+'KSM-NCS-4 p2&amp;3 Adjust Issues'!K28+'KSM-NCS-4 p2&amp;3 Adjust Issues'!K29</f>
        <v>-37959.19536762098</v>
      </c>
      <c r="L12" s="15">
        <f>'KSM-NCS-4 p2&amp;3 Adjust Issues'!L24+'KSM-NCS-4 p2&amp;3 Adjust Issues'!L28+'KSM-NCS-4 p2&amp;3 Adjust Issues'!L29</f>
        <v>-216801</v>
      </c>
      <c r="M12" s="15">
        <f>'KSM-NCS-4 p2&amp;3 Adjust Issues'!M24+'KSM-NCS-4 p2&amp;3 Adjust Issues'!M28+'KSM-NCS-4 p2&amp;3 Adjust Issues'!M29</f>
        <v>26666.666666666668</v>
      </c>
      <c r="N12" s="15">
        <f>'KSM-NCS-4 p2&amp;3 Adjust Issues'!N24+'KSM-NCS-4 p2&amp;3 Adjust Issues'!N28+'KSM-NCS-4 p2&amp;3 Adjust Issues'!N29</f>
        <v>21907.65800096938</v>
      </c>
      <c r="O12" s="15"/>
      <c r="P12" s="15">
        <f>'KSM-NCS-4 p2&amp;3 Adjust Issues'!P24+'KSM-NCS-4 p2&amp;3 Adjust Issues'!P28+'KSM-NCS-4 p2&amp;3 Adjust Issues'!P29</f>
        <v>127241.37547288464</v>
      </c>
      <c r="Q12" s="15">
        <f>'KSM-NCS-4 p2&amp;3 Adjust Issues'!Q24+'KSM-NCS-4 p2&amp;3 Adjust Issues'!Q28+'KSM-NCS-4 p2&amp;3 Adjust Issues'!Q29</f>
        <v>-112492.5033959798</v>
      </c>
      <c r="R12" s="15">
        <f>'KSM-NCS-4 p2&amp;3 Adjust Issues'!R24+'KSM-NCS-4 p2&amp;3 Adjust Issues'!R28+'KSM-NCS-4 p2&amp;3 Adjust Issues'!R29</f>
        <v>0</v>
      </c>
      <c r="S12" s="15">
        <f>'KSM-NCS-4 p2&amp;3 Adjust Issues'!S24+'KSM-NCS-4 p2&amp;3 Adjust Issues'!S28+'KSM-NCS-4 p2&amp;3 Adjust Issues'!S29</f>
        <v>0</v>
      </c>
      <c r="T12" s="15">
        <f>'KSM-NCS-4 p2&amp;3 Adjust Issues'!T24+'KSM-NCS-4 p2&amp;3 Adjust Issues'!T28+'KSM-NCS-4 p2&amp;3 Adjust Issues'!T29</f>
        <v>0</v>
      </c>
      <c r="U12" s="15"/>
      <c r="V12" s="15">
        <f>SUM(C12:N12)</f>
        <v>-2935863.3991533844</v>
      </c>
    </row>
    <row r="13" spans="1:22" ht="15">
      <c r="A13" s="25">
        <v>3</v>
      </c>
      <c r="B13" s="4" t="s">
        <v>237</v>
      </c>
      <c r="C13" s="15">
        <f>'KSM-NCS-4 p2&amp;3 Adjust Issues'!C30</f>
        <v>0</v>
      </c>
      <c r="D13" s="15">
        <f>'KSM-NCS-4 p2&amp;3 Adjust Issues'!D30</f>
        <v>0</v>
      </c>
      <c r="E13" s="15">
        <f>'KSM-NCS-4 p2&amp;3 Adjust Issues'!E30</f>
        <v>0</v>
      </c>
      <c r="F13" s="15">
        <f>'KSM-NCS-4 p2&amp;3 Adjust Issues'!F30</f>
        <v>0</v>
      </c>
      <c r="G13" s="15">
        <f>'KSM-NCS-4 p2&amp;3 Adjust Issues'!G30</f>
        <v>0</v>
      </c>
      <c r="H13" s="15">
        <f>'KSM-NCS-4 p2&amp;3 Adjust Issues'!H30</f>
        <v>0</v>
      </c>
      <c r="I13" s="15">
        <f>'KSM-NCS-4 p2&amp;3 Adjust Issues'!I30</f>
        <v>0</v>
      </c>
      <c r="J13" s="15">
        <f>'KSM-NCS-4 p2&amp;3 Adjust Issues'!J30</f>
        <v>0</v>
      </c>
      <c r="K13" s="15">
        <f>'KSM-NCS-4 p2&amp;3 Adjust Issues'!K30</f>
        <v>0</v>
      </c>
      <c r="L13" s="15">
        <f>'KSM-NCS-4 p2&amp;3 Adjust Issues'!L30</f>
        <v>152781.55428900005</v>
      </c>
      <c r="M13" s="15">
        <f>'KSM-NCS-4 p2&amp;3 Adjust Issues'!M30</f>
        <v>0</v>
      </c>
      <c r="N13" s="15">
        <f>'KSM-NCS-4 p2&amp;3 Adjust Issues'!N30</f>
        <v>0</v>
      </c>
      <c r="O13" s="15"/>
      <c r="P13" s="15">
        <f>'KSM-NCS-4 p2&amp;3 Adjust Issues'!P30</f>
        <v>0</v>
      </c>
      <c r="Q13" s="15">
        <f>'KSM-NCS-4 p2&amp;3 Adjust Issues'!Q30</f>
        <v>0</v>
      </c>
      <c r="R13" s="15">
        <f>'KSM-NCS-4 p2&amp;3 Adjust Issues'!R30</f>
        <v>-591980</v>
      </c>
      <c r="S13" s="15">
        <f>'KSM-NCS-4 p2&amp;3 Adjust Issues'!S30</f>
        <v>0</v>
      </c>
      <c r="T13" s="15">
        <f>'KSM-NCS-4 p2&amp;3 Adjust Issues'!T30</f>
        <v>53213.3957792295</v>
      </c>
      <c r="U13" s="15"/>
      <c r="V13" s="15">
        <f>SUM(C13:N13)</f>
        <v>152781.55428900005</v>
      </c>
    </row>
    <row r="14" spans="1:22" ht="15">
      <c r="A14" s="25">
        <v>4</v>
      </c>
      <c r="B14" s="4" t="s">
        <v>238</v>
      </c>
      <c r="C14" s="15">
        <f>'KSM-NCS-4 p2&amp;3 Adjust Issues'!C50</f>
        <v>0</v>
      </c>
      <c r="D14" s="15">
        <f>'KSM-NCS-4 p2&amp;3 Adjust Issues'!D50</f>
        <v>0</v>
      </c>
      <c r="E14" s="15">
        <f>'KSM-NCS-4 p2&amp;3 Adjust Issues'!E50</f>
        <v>-2429</v>
      </c>
      <c r="F14" s="15">
        <f>'KSM-NCS-4 p2&amp;3 Adjust Issues'!F50</f>
        <v>0</v>
      </c>
      <c r="G14" s="15">
        <f>'KSM-NCS-4 p2&amp;3 Adjust Issues'!G50</f>
        <v>0</v>
      </c>
      <c r="H14" s="15">
        <f>'KSM-NCS-4 p2&amp;3 Adjust Issues'!H50</f>
        <v>0</v>
      </c>
      <c r="I14" s="15">
        <f>'KSM-NCS-4 p2&amp;3 Adjust Issues'!I50</f>
        <v>227063</v>
      </c>
      <c r="J14" s="15">
        <f>'KSM-NCS-4 p2&amp;3 Adjust Issues'!J50</f>
        <v>0</v>
      </c>
      <c r="K14" s="15">
        <f>'KSM-NCS-4 p2&amp;3 Adjust Issues'!K50</f>
        <v>593</v>
      </c>
      <c r="L14" s="15">
        <f>'KSM-NCS-4 p2&amp;3 Adjust Issues'!L50</f>
        <v>75060</v>
      </c>
      <c r="M14" s="15">
        <f>'KSM-NCS-4 p2&amp;3 Adjust Issues'!M50</f>
        <v>0</v>
      </c>
      <c r="N14" s="15">
        <f>'KSM-NCS-4 p2&amp;3 Adjust Issues'!N50</f>
        <v>843</v>
      </c>
      <c r="O14" s="15"/>
      <c r="P14" s="15">
        <f>'KSM-NCS-4 p2&amp;3 Adjust Issues'!P50</f>
        <v>0</v>
      </c>
      <c r="Q14" s="15">
        <f>'KSM-NCS-4 p2&amp;3 Adjust Issues'!Q50</f>
        <v>0</v>
      </c>
      <c r="R14" s="15">
        <f>'KSM-NCS-4 p2&amp;3 Adjust Issues'!R50</f>
        <v>0</v>
      </c>
      <c r="S14" s="15">
        <f>'KSM-NCS-4 p2&amp;3 Adjust Issues'!S50</f>
        <v>0</v>
      </c>
      <c r="T14" s="15">
        <f>'KSM-NCS-4 p2&amp;3 Adjust Issues'!T50</f>
        <v>16034</v>
      </c>
      <c r="U14" s="15"/>
      <c r="V14" s="15">
        <f>SUM(C14:N14)</f>
        <v>301130</v>
      </c>
    </row>
    <row r="15" spans="1:22" ht="15">
      <c r="A15" s="25">
        <v>5</v>
      </c>
      <c r="B15" s="4" t="s">
        <v>240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/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/>
      <c r="V15" s="15">
        <f>SUM(C15:N15)</f>
        <v>0</v>
      </c>
    </row>
    <row r="16" spans="1:22" ht="15">
      <c r="A16" s="25"/>
      <c r="B16" s="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25">
        <v>6</v>
      </c>
      <c r="B17" s="4" t="s">
        <v>172</v>
      </c>
      <c r="C17" s="15">
        <f aca="true" t="shared" si="0" ref="C17:N17">C11-C12-C13-C14-C15</f>
        <v>-771343.8848217893</v>
      </c>
      <c r="D17" s="15">
        <f t="shared" si="0"/>
        <v>94300.05152253332</v>
      </c>
      <c r="E17" s="15">
        <f t="shared" si="0"/>
        <v>197404.57949333327</v>
      </c>
      <c r="F17" s="15">
        <f t="shared" si="0"/>
        <v>153072.68434866663</v>
      </c>
      <c r="G17" s="15">
        <f t="shared" si="0"/>
        <v>-77059.60999999999</v>
      </c>
      <c r="H17" s="15">
        <f t="shared" si="0"/>
        <v>-50559.70801909169</v>
      </c>
      <c r="I17" s="15">
        <f t="shared" si="0"/>
        <v>-227063</v>
      </c>
      <c r="J17" s="15">
        <f t="shared" si="0"/>
        <v>44797.406072388556</v>
      </c>
      <c r="K17" s="15">
        <f t="shared" si="0"/>
        <v>37366.19536762098</v>
      </c>
      <c r="L17" s="15">
        <f t="shared" si="0"/>
        <v>-11040.55428900005</v>
      </c>
      <c r="M17" s="15">
        <f t="shared" si="0"/>
        <v>-26666.666666666668</v>
      </c>
      <c r="N17" s="15">
        <f t="shared" si="0"/>
        <v>-22750.65800096938</v>
      </c>
      <c r="O17" s="15"/>
      <c r="P17" s="15">
        <f>P11-P12-P13-P14-P15</f>
        <v>-127241.37547288464</v>
      </c>
      <c r="Q17" s="15">
        <f>Q11-Q12-Q13-Q14-Q15</f>
        <v>112492.5033959798</v>
      </c>
      <c r="R17" s="15">
        <f>R11-R12-R13-R14-R15</f>
        <v>591980</v>
      </c>
      <c r="S17" s="15">
        <f>S11-S12-S13-S14-S15</f>
        <v>0</v>
      </c>
      <c r="T17" s="15">
        <f>T11-T12-T13-T14-T15</f>
        <v>-69247.3957792295</v>
      </c>
      <c r="U17" s="15"/>
      <c r="V17" s="15">
        <f>V11-V12-V13-V14-V15</f>
        <v>-659543.1649929746</v>
      </c>
    </row>
    <row r="18" spans="1:22" ht="15">
      <c r="A18" s="25" t="s">
        <v>159</v>
      </c>
      <c r="B18" s="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25">
        <v>7</v>
      </c>
      <c r="B19" s="4" t="s">
        <v>243</v>
      </c>
      <c r="C19" s="15">
        <f>ROUND(+C17*$C$43,0)</f>
        <v>0</v>
      </c>
      <c r="D19" s="15">
        <f aca="true" t="shared" si="1" ref="D19:N19">ROUND(+D17*$C$46,0)</f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0</v>
      </c>
      <c r="O19" s="15"/>
      <c r="P19" s="15">
        <f>ROUND(+P17*$C$46,0)</f>
        <v>0</v>
      </c>
      <c r="Q19" s="15">
        <f>ROUND(+Q17*$C$46,0)</f>
        <v>0</v>
      </c>
      <c r="R19" s="15">
        <f>ROUND(+R17*$C$46,0)</f>
        <v>0</v>
      </c>
      <c r="S19" s="15">
        <f>ROUND(+S17*$C$46,0)</f>
        <v>0</v>
      </c>
      <c r="T19" s="15">
        <f>ROUND(+T17*$C$46,0)</f>
        <v>0</v>
      </c>
      <c r="U19" s="15"/>
      <c r="V19" s="15">
        <f>SUM(C19:N19)</f>
        <v>0</v>
      </c>
    </row>
    <row r="20" spans="1:22" ht="15">
      <c r="A20" s="25">
        <v>8</v>
      </c>
      <c r="B20" s="4" t="s">
        <v>245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/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/>
      <c r="V20" s="15">
        <f>SUM(C20:N20)</f>
        <v>0</v>
      </c>
    </row>
    <row r="21" spans="1:22" ht="15">
      <c r="A21" s="25"/>
      <c r="B21" s="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25">
        <v>9</v>
      </c>
      <c r="B22" s="4" t="s">
        <v>248</v>
      </c>
      <c r="C22" s="15">
        <f aca="true" t="shared" si="2" ref="C22:N22">C19+C20</f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 t="shared" si="2"/>
        <v>0</v>
      </c>
      <c r="O22" s="15"/>
      <c r="P22" s="15">
        <f>P19+P20</f>
        <v>0</v>
      </c>
      <c r="Q22" s="15">
        <f>Q19+Q20</f>
        <v>0</v>
      </c>
      <c r="R22" s="15">
        <f>R19+R20</f>
        <v>0</v>
      </c>
      <c r="S22" s="15">
        <f>S19+S20</f>
        <v>0</v>
      </c>
      <c r="T22" s="15">
        <f>T19+T20</f>
        <v>0</v>
      </c>
      <c r="U22" s="15"/>
      <c r="V22" s="15">
        <f>V19+V20</f>
        <v>0</v>
      </c>
    </row>
    <row r="23" spans="1:22" ht="15">
      <c r="A23" s="25"/>
      <c r="B23" s="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25">
        <v>10</v>
      </c>
      <c r="B24" s="4" t="s">
        <v>249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/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/>
      <c r="V24" s="15">
        <f>SUM(C24:N24)</f>
        <v>0</v>
      </c>
    </row>
    <row r="25" spans="1:22" ht="15">
      <c r="A25" s="25">
        <v>11</v>
      </c>
      <c r="B25" s="4" t="s">
        <v>250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/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/>
      <c r="V25" s="15">
        <f>SUM(C25:N25)</f>
        <v>0</v>
      </c>
    </row>
    <row r="26" spans="1:22" ht="15">
      <c r="A26" s="25"/>
      <c r="B26" s="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25">
        <v>12</v>
      </c>
      <c r="B27" s="4" t="s">
        <v>179</v>
      </c>
      <c r="C27" s="15">
        <f aca="true" t="shared" si="3" ref="C27:N27">C17-C22-C24-C25</f>
        <v>-771343.8848217893</v>
      </c>
      <c r="D27" s="15">
        <f t="shared" si="3"/>
        <v>94300.05152253332</v>
      </c>
      <c r="E27" s="15">
        <f t="shared" si="3"/>
        <v>197404.57949333327</v>
      </c>
      <c r="F27" s="15">
        <f t="shared" si="3"/>
        <v>153072.68434866663</v>
      </c>
      <c r="G27" s="15">
        <f t="shared" si="3"/>
        <v>-77059.60999999999</v>
      </c>
      <c r="H27" s="15">
        <f t="shared" si="3"/>
        <v>-50559.70801909169</v>
      </c>
      <c r="I27" s="15">
        <f t="shared" si="3"/>
        <v>-227063</v>
      </c>
      <c r="J27" s="15">
        <f t="shared" si="3"/>
        <v>44797.406072388556</v>
      </c>
      <c r="K27" s="15">
        <f t="shared" si="3"/>
        <v>37366.19536762098</v>
      </c>
      <c r="L27" s="15">
        <f t="shared" si="3"/>
        <v>-11040.55428900005</v>
      </c>
      <c r="M27" s="15">
        <f t="shared" si="3"/>
        <v>-26666.666666666668</v>
      </c>
      <c r="N27" s="15">
        <f t="shared" si="3"/>
        <v>-22750.65800096938</v>
      </c>
      <c r="O27" s="15"/>
      <c r="P27" s="15">
        <f>P17-P22-P24-P25</f>
        <v>-127241.37547288464</v>
      </c>
      <c r="Q27" s="15">
        <f>Q17-Q22-Q24-Q25</f>
        <v>112492.5033959798</v>
      </c>
      <c r="R27" s="15">
        <f>R17-R22-R24-R25</f>
        <v>591980</v>
      </c>
      <c r="S27" s="15">
        <f>S17-S22-S24-S25</f>
        <v>0</v>
      </c>
      <c r="T27" s="15">
        <f>T17-T22-T24-T25</f>
        <v>-69247.3957792295</v>
      </c>
      <c r="U27" s="15"/>
      <c r="V27" s="15">
        <f>V17-V22-V24-V25</f>
        <v>-659543.1649929746</v>
      </c>
    </row>
    <row r="28" spans="1:22" ht="15">
      <c r="A28" s="25"/>
      <c r="B28" s="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25">
        <v>13</v>
      </c>
      <c r="B29" s="4" t="s">
        <v>252</v>
      </c>
      <c r="C29" s="15">
        <f>ROUND(+C27*$C$44,0)</f>
        <v>-269970</v>
      </c>
      <c r="D29" s="15">
        <f aca="true" t="shared" si="4" ref="D29:N29">ROUND(+D27*$C$47,0)</f>
        <v>33005</v>
      </c>
      <c r="E29" s="15">
        <f t="shared" si="4"/>
        <v>69092</v>
      </c>
      <c r="F29" s="15">
        <f t="shared" si="4"/>
        <v>53575</v>
      </c>
      <c r="G29" s="15">
        <f t="shared" si="4"/>
        <v>-26971</v>
      </c>
      <c r="H29" s="15">
        <f t="shared" si="4"/>
        <v>-17696</v>
      </c>
      <c r="I29" s="15">
        <f t="shared" si="4"/>
        <v>-79472</v>
      </c>
      <c r="J29" s="15">
        <f t="shared" si="4"/>
        <v>15679</v>
      </c>
      <c r="K29" s="15">
        <f t="shared" si="4"/>
        <v>13078</v>
      </c>
      <c r="L29" s="15">
        <f t="shared" si="4"/>
        <v>-3864</v>
      </c>
      <c r="M29" s="15">
        <f t="shared" si="4"/>
        <v>-9333</v>
      </c>
      <c r="N29" s="15">
        <f t="shared" si="4"/>
        <v>-7963</v>
      </c>
      <c r="O29" s="15"/>
      <c r="P29" s="15">
        <f>ROUND(+P27*$C$47,0)</f>
        <v>-44534</v>
      </c>
      <c r="Q29" s="15">
        <f>ROUND(+Q27*$C$47,0)</f>
        <v>39372</v>
      </c>
      <c r="R29" s="15">
        <f>ROUND(+R27*$C$47,0)</f>
        <v>207193</v>
      </c>
      <c r="S29" s="15">
        <f>ROUND(+S27*$C$47,0)</f>
        <v>0</v>
      </c>
      <c r="T29" s="15">
        <f>ROUND(+T27*$C$47,0)</f>
        <v>-24237</v>
      </c>
      <c r="U29" s="15"/>
      <c r="V29" s="15">
        <f>SUM(C29:N29)</f>
        <v>-230840</v>
      </c>
    </row>
    <row r="30" spans="1:22" ht="15">
      <c r="A30" s="25">
        <v>14</v>
      </c>
      <c r="B30" s="4" t="s">
        <v>253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/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/>
      <c r="V30" s="15">
        <f>SUM(C30:N30)</f>
        <v>0</v>
      </c>
    </row>
    <row r="31" spans="1:22" ht="15">
      <c r="A31" s="25"/>
      <c r="B31" s="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25">
        <v>15</v>
      </c>
      <c r="B32" s="4" t="s">
        <v>254</v>
      </c>
      <c r="C32" s="15">
        <f aca="true" t="shared" si="5" ref="C32:N32">C29+C30</f>
        <v>-269970</v>
      </c>
      <c r="D32" s="15">
        <f t="shared" si="5"/>
        <v>33005</v>
      </c>
      <c r="E32" s="15">
        <f t="shared" si="5"/>
        <v>69092</v>
      </c>
      <c r="F32" s="15">
        <f t="shared" si="5"/>
        <v>53575</v>
      </c>
      <c r="G32" s="15">
        <f t="shared" si="5"/>
        <v>-26971</v>
      </c>
      <c r="H32" s="15">
        <f t="shared" si="5"/>
        <v>-17696</v>
      </c>
      <c r="I32" s="15">
        <f t="shared" si="5"/>
        <v>-79472</v>
      </c>
      <c r="J32" s="15">
        <f t="shared" si="5"/>
        <v>15679</v>
      </c>
      <c r="K32" s="15">
        <f t="shared" si="5"/>
        <v>13078</v>
      </c>
      <c r="L32" s="15">
        <f t="shared" si="5"/>
        <v>-3864</v>
      </c>
      <c r="M32" s="15">
        <f t="shared" si="5"/>
        <v>-9333</v>
      </c>
      <c r="N32" s="15">
        <f t="shared" si="5"/>
        <v>-7963</v>
      </c>
      <c r="O32" s="15"/>
      <c r="P32" s="15">
        <f>P29+P30</f>
        <v>-44534</v>
      </c>
      <c r="Q32" s="15">
        <f>Q29+Q30</f>
        <v>39372</v>
      </c>
      <c r="R32" s="15">
        <f>R29+R30</f>
        <v>207193</v>
      </c>
      <c r="S32" s="15">
        <f>S29+S30</f>
        <v>0</v>
      </c>
      <c r="T32" s="15">
        <f>T29+T30</f>
        <v>-24237</v>
      </c>
      <c r="U32" s="15"/>
      <c r="V32" s="15">
        <f>V29+V30</f>
        <v>-230840</v>
      </c>
    </row>
    <row r="33" spans="1:22" ht="15">
      <c r="A33" s="25"/>
      <c r="B33" s="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25">
        <v>16</v>
      </c>
      <c r="B34" s="4" t="s">
        <v>255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/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/>
      <c r="V34" s="15">
        <f>SUM(C34:N34)</f>
        <v>0</v>
      </c>
    </row>
    <row r="35" spans="1:22" ht="15">
      <c r="A35" s="25">
        <v>17</v>
      </c>
      <c r="B35" s="4" t="s">
        <v>256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/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/>
      <c r="V35" s="15">
        <f>SUM(C35:N35)</f>
        <v>0</v>
      </c>
    </row>
    <row r="36" spans="1:22" ht="15">
      <c r="A36" s="25">
        <v>18</v>
      </c>
      <c r="B36" s="4" t="s">
        <v>257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/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/>
      <c r="V36" s="15">
        <f>SUM(C36:N36)</f>
        <v>0</v>
      </c>
    </row>
    <row r="37" spans="1:22" ht="15">
      <c r="A37" s="25"/>
      <c r="B37" s="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25">
        <v>19</v>
      </c>
      <c r="B38" s="4" t="s">
        <v>258</v>
      </c>
      <c r="C38" s="15">
        <f aca="true" t="shared" si="6" ref="C38:N38">C32+C34+C36</f>
        <v>-269970</v>
      </c>
      <c r="D38" s="15">
        <f t="shared" si="6"/>
        <v>33005</v>
      </c>
      <c r="E38" s="15">
        <f t="shared" si="6"/>
        <v>69092</v>
      </c>
      <c r="F38" s="15">
        <f t="shared" si="6"/>
        <v>53575</v>
      </c>
      <c r="G38" s="15">
        <f t="shared" si="6"/>
        <v>-26971</v>
      </c>
      <c r="H38" s="15">
        <f t="shared" si="6"/>
        <v>-17696</v>
      </c>
      <c r="I38" s="15">
        <f t="shared" si="6"/>
        <v>-79472</v>
      </c>
      <c r="J38" s="15">
        <f t="shared" si="6"/>
        <v>15679</v>
      </c>
      <c r="K38" s="15">
        <f t="shared" si="6"/>
        <v>13078</v>
      </c>
      <c r="L38" s="15">
        <f t="shared" si="6"/>
        <v>-3864</v>
      </c>
      <c r="M38" s="15">
        <f t="shared" si="6"/>
        <v>-9333</v>
      </c>
      <c r="N38" s="15">
        <f t="shared" si="6"/>
        <v>-7963</v>
      </c>
      <c r="O38" s="15"/>
      <c r="P38" s="15">
        <f>P32+P34+P36</f>
        <v>-44534</v>
      </c>
      <c r="Q38" s="15">
        <f>Q32+Q34+Q36</f>
        <v>39372</v>
      </c>
      <c r="R38" s="15">
        <f>R32+R34+R36</f>
        <v>207193</v>
      </c>
      <c r="S38" s="15">
        <f>S32+S34+S36</f>
        <v>0</v>
      </c>
      <c r="T38" s="15">
        <f>T32+T34+T36</f>
        <v>-24237</v>
      </c>
      <c r="U38" s="15"/>
      <c r="V38" s="15">
        <f>V32+V34+V36</f>
        <v>-230840</v>
      </c>
    </row>
    <row r="39" spans="1:22" ht="15">
      <c r="A39" s="25"/>
      <c r="B39" s="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5">
      <c r="A40" s="25">
        <v>20</v>
      </c>
      <c r="B40" s="4" t="s">
        <v>259</v>
      </c>
      <c r="C40" s="15">
        <f aca="true" t="shared" si="7" ref="C40:N40">C22+C35</f>
        <v>0</v>
      </c>
      <c r="D40" s="15">
        <f t="shared" si="7"/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15">
        <f t="shared" si="7"/>
        <v>0</v>
      </c>
      <c r="J40" s="15">
        <f t="shared" si="7"/>
        <v>0</v>
      </c>
      <c r="K40" s="15">
        <f t="shared" si="7"/>
        <v>0</v>
      </c>
      <c r="L40" s="15">
        <f t="shared" si="7"/>
        <v>0</v>
      </c>
      <c r="M40" s="15">
        <f t="shared" si="7"/>
        <v>0</v>
      </c>
      <c r="N40" s="15">
        <f t="shared" si="7"/>
        <v>0</v>
      </c>
      <c r="O40" s="15"/>
      <c r="P40" s="15">
        <f>P22+P35</f>
        <v>0</v>
      </c>
      <c r="Q40" s="15">
        <f>Q22+Q35</f>
        <v>0</v>
      </c>
      <c r="R40" s="15">
        <f>R22+R35</f>
        <v>0</v>
      </c>
      <c r="S40" s="15">
        <f>S22+S35</f>
        <v>0</v>
      </c>
      <c r="T40" s="15">
        <f>T22+T35</f>
        <v>0</v>
      </c>
      <c r="U40" s="15"/>
      <c r="V40" s="15">
        <f>V22+V35</f>
        <v>0</v>
      </c>
    </row>
    <row r="41" spans="1:22" ht="15">
      <c r="A41" s="4"/>
      <c r="B41" s="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ht="15">
      <c r="A42" s="4"/>
      <c r="B42" s="4"/>
      <c r="C42" s="38"/>
      <c r="D42" s="38"/>
      <c r="E42" s="38"/>
      <c r="F42" s="38"/>
      <c r="G42" s="38"/>
      <c r="H42" s="3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ht="15">
      <c r="A43" s="4" t="s">
        <v>262</v>
      </c>
      <c r="B43" s="4"/>
      <c r="C43" s="59">
        <v>0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ht="15">
      <c r="A44" s="4" t="s">
        <v>263</v>
      </c>
      <c r="B44" s="4"/>
      <c r="C44" s="59">
        <f>'KSM-NCS-3 p10 Cost of Cap'!$C$48</f>
        <v>0.35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ht="15">
      <c r="A45" s="4"/>
      <c r="B45" s="4"/>
      <c r="C45" s="5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">
      <c r="A46" s="4" t="s">
        <v>262</v>
      </c>
      <c r="B46" s="4"/>
      <c r="C46" s="59">
        <f>$C$43</f>
        <v>0</v>
      </c>
      <c r="D46" s="3"/>
      <c r="E46" s="3"/>
      <c r="F46" s="3"/>
      <c r="G46" s="3"/>
      <c r="H46" s="3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">
      <c r="A47" s="4" t="s">
        <v>263</v>
      </c>
      <c r="B47" s="4"/>
      <c r="C47" s="59">
        <f>$C$44</f>
        <v>0.35</v>
      </c>
      <c r="D47" s="3"/>
      <c r="E47" s="3"/>
      <c r="F47" s="3"/>
      <c r="G47" s="3"/>
      <c r="H47" s="3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">
      <c r="A48" s="4"/>
      <c r="B48" s="4"/>
      <c r="C48" s="38"/>
      <c r="D48" s="3"/>
      <c r="E48" s="3"/>
      <c r="F48" s="3"/>
      <c r="G48" s="3"/>
      <c r="H48" s="3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>
      <c r="A49" s="4"/>
      <c r="B49" s="4"/>
      <c r="C49" s="16"/>
      <c r="D49" s="16"/>
      <c r="E49" s="16"/>
      <c r="F49" s="3"/>
      <c r="G49" s="16"/>
      <c r="H49" s="38"/>
      <c r="I49" s="3"/>
      <c r="J49" s="3"/>
      <c r="K49" s="3"/>
      <c r="L49" s="3"/>
      <c r="M49" s="3"/>
      <c r="N49" s="3"/>
      <c r="O49" s="3"/>
      <c r="P49" s="16"/>
      <c r="Q49" s="3"/>
      <c r="R49" s="3"/>
      <c r="S49" s="3"/>
      <c r="T49" s="16"/>
      <c r="U49" s="3"/>
      <c r="V49" s="3"/>
    </row>
    <row r="50" spans="1:22" ht="15">
      <c r="A50" s="4"/>
      <c r="B50" s="4"/>
      <c r="C50" s="38"/>
      <c r="D50" s="38"/>
      <c r="E50" s="38"/>
      <c r="F50" s="3"/>
      <c r="G50" s="38"/>
      <c r="H50" s="38"/>
      <c r="I50" s="3"/>
      <c r="J50" s="3"/>
      <c r="K50" s="3"/>
      <c r="L50" s="3"/>
      <c r="M50" s="3"/>
      <c r="N50" s="3"/>
      <c r="O50" s="3"/>
      <c r="P50" s="38"/>
      <c r="Q50" s="3"/>
      <c r="R50" s="3"/>
      <c r="S50" s="3"/>
      <c r="T50" s="38"/>
      <c r="U50" s="3"/>
      <c r="V50" s="3"/>
    </row>
    <row r="51" spans="1:22" ht="15">
      <c r="A51" s="4"/>
      <c r="B51" s="4"/>
      <c r="C51" s="38"/>
      <c r="D51" s="38"/>
      <c r="E51" s="38"/>
      <c r="F51" s="3"/>
      <c r="G51" s="38"/>
      <c r="H51" s="38"/>
      <c r="I51" s="3"/>
      <c r="J51" s="3"/>
      <c r="K51" s="3"/>
      <c r="L51" s="3"/>
      <c r="M51" s="3"/>
      <c r="N51" s="3"/>
      <c r="O51" s="3"/>
      <c r="P51" s="38"/>
      <c r="Q51" s="3"/>
      <c r="R51" s="3"/>
      <c r="S51" s="3"/>
      <c r="T51" s="38"/>
      <c r="U51" s="3"/>
      <c r="V51" s="3"/>
    </row>
    <row r="52" spans="1:22" ht="15">
      <c r="A52" s="4">
        <v>1</v>
      </c>
      <c r="B52" s="4" t="s">
        <v>285</v>
      </c>
      <c r="C52" s="3">
        <f>'KSM-NCS-4 p2&amp;3 Adjust Issues'!C34+'KSM-NCS-4 p2&amp;3 Adjust Issues'!C27-'KSM-NCS-4 p2&amp;3 Adjust Issues'!C50</f>
        <v>-771343.8848217893</v>
      </c>
      <c r="D52" s="3">
        <f>'KSM-NCS-4 p2&amp;3 Adjust Issues'!D34+'KSM-NCS-4 p2&amp;3 Adjust Issues'!D27-'KSM-NCS-4 p2&amp;3 Adjust Issues'!D50</f>
        <v>94300.05152253332</v>
      </c>
      <c r="E52" s="3">
        <f>'KSM-NCS-4 p2&amp;3 Adjust Issues'!E34+'KSM-NCS-4 p2&amp;3 Adjust Issues'!E27-'KSM-NCS-4 p2&amp;3 Adjust Issues'!E50</f>
        <v>197404.57949333327</v>
      </c>
      <c r="F52" s="3">
        <f>'KSM-NCS-4 p2&amp;3 Adjust Issues'!F34+'KSM-NCS-4 p2&amp;3 Adjust Issues'!F27-'KSM-NCS-4 p2&amp;3 Adjust Issues'!F50</f>
        <v>153072.68434866663</v>
      </c>
      <c r="G52" s="3">
        <f>'KSM-NCS-4 p2&amp;3 Adjust Issues'!G34+'KSM-NCS-4 p2&amp;3 Adjust Issues'!G27-'KSM-NCS-4 p2&amp;3 Adjust Issues'!G50</f>
        <v>-77059.60999999999</v>
      </c>
      <c r="H52" s="3">
        <f>'KSM-NCS-4 p2&amp;3 Adjust Issues'!H34+'KSM-NCS-4 p2&amp;3 Adjust Issues'!H27-'KSM-NCS-4 p2&amp;3 Adjust Issues'!H50</f>
        <v>-50559.70801909169</v>
      </c>
      <c r="I52" s="3">
        <f>'KSM-NCS-4 p2&amp;3 Adjust Issues'!I34+'KSM-NCS-4 p2&amp;3 Adjust Issues'!I27-'KSM-NCS-4 p2&amp;3 Adjust Issues'!I50</f>
        <v>-227063</v>
      </c>
      <c r="J52" s="3">
        <f>'KSM-NCS-4 p2&amp;3 Adjust Issues'!J34+'KSM-NCS-4 p2&amp;3 Adjust Issues'!J27-'KSM-NCS-4 p2&amp;3 Adjust Issues'!J50</f>
        <v>44797.406072388556</v>
      </c>
      <c r="K52" s="3">
        <f>'KSM-NCS-4 p2&amp;3 Adjust Issues'!K34+'KSM-NCS-4 p2&amp;3 Adjust Issues'!K27-'KSM-NCS-4 p2&amp;3 Adjust Issues'!K50</f>
        <v>37366.19536762098</v>
      </c>
      <c r="L52" s="3">
        <f>'KSM-NCS-4 p2&amp;3 Adjust Issues'!L34+'KSM-NCS-4 p2&amp;3 Adjust Issues'!L27-'KSM-NCS-4 p2&amp;3 Adjust Issues'!L50</f>
        <v>-11040.55428900005</v>
      </c>
      <c r="M52" s="3">
        <f>'KSM-NCS-4 p2&amp;3 Adjust Issues'!M34+'KSM-NCS-4 p2&amp;3 Adjust Issues'!M27-'KSM-NCS-4 p2&amp;3 Adjust Issues'!M50</f>
        <v>-26666.666666666668</v>
      </c>
      <c r="N52" s="3">
        <f>'KSM-NCS-4 p2&amp;3 Adjust Issues'!N34+'KSM-NCS-4 p2&amp;3 Adjust Issues'!N27-'KSM-NCS-4 p2&amp;3 Adjust Issues'!N50</f>
        <v>-22750.65800096938</v>
      </c>
      <c r="O52" s="3"/>
      <c r="P52" s="3">
        <f>'KSM-NCS-4 p2&amp;3 Adjust Issues'!P34+'KSM-NCS-4 p2&amp;3 Adjust Issues'!P27-'KSM-NCS-4 p2&amp;3 Adjust Issues'!P50</f>
        <v>-127241.37547288464</v>
      </c>
      <c r="Q52" s="3">
        <f>'KSM-NCS-4 p2&amp;3 Adjust Issues'!Q34+'KSM-NCS-4 p2&amp;3 Adjust Issues'!Q27-'KSM-NCS-4 p2&amp;3 Adjust Issues'!Q50</f>
        <v>112492.5033959798</v>
      </c>
      <c r="R52" s="3">
        <f>'KSM-NCS-4 p2&amp;3 Adjust Issues'!R34+'KSM-NCS-4 p2&amp;3 Adjust Issues'!R27-'KSM-NCS-4 p2&amp;3 Adjust Issues'!R50</f>
        <v>591980</v>
      </c>
      <c r="S52" s="3">
        <f>'KSM-NCS-4 p2&amp;3 Adjust Issues'!S34+'KSM-NCS-4 p2&amp;3 Adjust Issues'!S27-'KSM-NCS-4 p2&amp;3 Adjust Issues'!S50</f>
        <v>0</v>
      </c>
      <c r="T52" s="3">
        <f>'KSM-NCS-4 p2&amp;3 Adjust Issues'!T34+'KSM-NCS-4 p2&amp;3 Adjust Issues'!T27-'KSM-NCS-4 p2&amp;3 Adjust Issues'!T50</f>
        <v>-69247.3957792295</v>
      </c>
      <c r="U52" s="3"/>
      <c r="V52" s="3"/>
    </row>
    <row r="53" spans="1:22" ht="15">
      <c r="A53" s="4">
        <v>2</v>
      </c>
      <c r="B53" s="4" t="s">
        <v>286</v>
      </c>
      <c r="C53" s="3">
        <f>'KSM-NCS-4 p2&amp;3 Adjust Issues'!C27</f>
        <v>-269970</v>
      </c>
      <c r="D53" s="3">
        <f>'KSM-NCS-4 p2&amp;3 Adjust Issues'!D27</f>
        <v>33005</v>
      </c>
      <c r="E53" s="3">
        <f>'KSM-NCS-4 p2&amp;3 Adjust Issues'!E27</f>
        <v>69092</v>
      </c>
      <c r="F53" s="3">
        <f>'KSM-NCS-4 p2&amp;3 Adjust Issues'!F27</f>
        <v>53575</v>
      </c>
      <c r="G53" s="3">
        <f>'KSM-NCS-4 p2&amp;3 Adjust Issues'!G27</f>
        <v>-26971</v>
      </c>
      <c r="H53" s="3">
        <f>'KSM-NCS-4 p2&amp;3 Adjust Issues'!H27</f>
        <v>-17696</v>
      </c>
      <c r="I53" s="3">
        <f>'KSM-NCS-4 p2&amp;3 Adjust Issues'!I27</f>
        <v>-79472</v>
      </c>
      <c r="J53" s="3">
        <f>'KSM-NCS-4 p2&amp;3 Adjust Issues'!J27</f>
        <v>15679</v>
      </c>
      <c r="K53" s="3">
        <f>'KSM-NCS-4 p2&amp;3 Adjust Issues'!K27</f>
        <v>13078</v>
      </c>
      <c r="L53" s="3">
        <f>'KSM-NCS-4 p2&amp;3 Adjust Issues'!L27</f>
        <v>-3864</v>
      </c>
      <c r="M53" s="3">
        <f>'KSM-NCS-4 p2&amp;3 Adjust Issues'!M27</f>
        <v>-9333</v>
      </c>
      <c r="N53" s="3">
        <f>'KSM-NCS-4 p2&amp;3 Adjust Issues'!N27</f>
        <v>-7963</v>
      </c>
      <c r="O53" s="3"/>
      <c r="P53" s="3">
        <f>'KSM-NCS-4 p2&amp;3 Adjust Issues'!P27</f>
        <v>-44534</v>
      </c>
      <c r="Q53" s="3">
        <f>'KSM-NCS-4 p2&amp;3 Adjust Issues'!Q27</f>
        <v>39372</v>
      </c>
      <c r="R53" s="3">
        <f>'KSM-NCS-4 p2&amp;3 Adjust Issues'!R27</f>
        <v>207193</v>
      </c>
      <c r="S53" s="3">
        <f>'KSM-NCS-4 p2&amp;3 Adjust Issues'!S27</f>
        <v>245908.572</v>
      </c>
      <c r="T53" s="3">
        <f>'KSM-NCS-4 p2&amp;3 Adjust Issues'!T27</f>
        <v>-24237</v>
      </c>
      <c r="U53" s="3"/>
      <c r="V53" s="3"/>
    </row>
    <row r="54" spans="1:22" ht="15">
      <c r="A54" s="4">
        <v>3</v>
      </c>
      <c r="B54" s="4" t="s">
        <v>287</v>
      </c>
      <c r="C54" s="3">
        <f aca="true" t="shared" si="8" ref="C54:N54">C52*0.35</f>
        <v>-269970.35968762625</v>
      </c>
      <c r="D54" s="3">
        <f t="shared" si="8"/>
        <v>33005.01803288666</v>
      </c>
      <c r="E54" s="3">
        <f t="shared" si="8"/>
        <v>69091.60282266664</v>
      </c>
      <c r="F54" s="3">
        <f t="shared" si="8"/>
        <v>53575.43952203332</v>
      </c>
      <c r="G54" s="3">
        <f t="shared" si="8"/>
        <v>-26970.863499999992</v>
      </c>
      <c r="H54" s="3">
        <f t="shared" si="8"/>
        <v>-17695.89780668209</v>
      </c>
      <c r="I54" s="3">
        <f t="shared" si="8"/>
        <v>-79472.04999999999</v>
      </c>
      <c r="J54" s="3">
        <f t="shared" si="8"/>
        <v>15679.092125335994</v>
      </c>
      <c r="K54" s="3">
        <f t="shared" si="8"/>
        <v>13078.168378667342</v>
      </c>
      <c r="L54" s="3">
        <f t="shared" si="8"/>
        <v>-3864.1940011500174</v>
      </c>
      <c r="M54" s="3">
        <f t="shared" si="8"/>
        <v>-9333.333333333334</v>
      </c>
      <c r="N54" s="3">
        <f t="shared" si="8"/>
        <v>-7962.730300339282</v>
      </c>
      <c r="O54" s="3"/>
      <c r="P54" s="3">
        <f>P52*0.35</f>
        <v>-44534.481415509625</v>
      </c>
      <c r="Q54" s="3">
        <f>Q52*0.35</f>
        <v>39372.37618859293</v>
      </c>
      <c r="R54" s="3">
        <f>R52*0.35</f>
        <v>207193</v>
      </c>
      <c r="S54" s="3">
        <f>S52*0.35</f>
        <v>0</v>
      </c>
      <c r="T54" s="3">
        <f>T52*0.35</f>
        <v>-24236.588522730322</v>
      </c>
      <c r="U54" s="3"/>
      <c r="V54" s="3"/>
    </row>
    <row r="55" spans="1:22" ht="15">
      <c r="A55" s="4">
        <v>4</v>
      </c>
      <c r="B55" s="4" t="s">
        <v>288</v>
      </c>
      <c r="C55" s="3">
        <f aca="true" t="shared" si="9" ref="C55:N55">C53-C54</f>
        <v>0.3596876262454316</v>
      </c>
      <c r="D55" s="3">
        <f t="shared" si="9"/>
        <v>-0.01803288666269509</v>
      </c>
      <c r="E55" s="3">
        <f t="shared" si="9"/>
        <v>0.3971773333614692</v>
      </c>
      <c r="F55" s="3">
        <f t="shared" si="9"/>
        <v>-0.4395220333171892</v>
      </c>
      <c r="G55" s="3">
        <f t="shared" si="9"/>
        <v>-0.13650000000779983</v>
      </c>
      <c r="H55" s="3">
        <f t="shared" si="9"/>
        <v>-0.10219331791086006</v>
      </c>
      <c r="I55" s="3">
        <f t="shared" si="9"/>
        <v>0.04999999998835847</v>
      </c>
      <c r="J55" s="3">
        <f t="shared" si="9"/>
        <v>-0.09212533599384187</v>
      </c>
      <c r="K55" s="3">
        <f t="shared" si="9"/>
        <v>-0.16837866734204</v>
      </c>
      <c r="L55" s="3">
        <f t="shared" si="9"/>
        <v>0.19400115001735685</v>
      </c>
      <c r="M55" s="3">
        <f t="shared" si="9"/>
        <v>0.33333333333393966</v>
      </c>
      <c r="N55" s="3">
        <f t="shared" si="9"/>
        <v>-0.2696996607182882</v>
      </c>
      <c r="O55" s="3"/>
      <c r="P55" s="3">
        <f>P53-P54</f>
        <v>0.4814155096246395</v>
      </c>
      <c r="Q55" s="3">
        <f>Q53-Q54</f>
        <v>-0.37618859292706475</v>
      </c>
      <c r="R55" s="3">
        <f>R53-R54</f>
        <v>0</v>
      </c>
      <c r="S55" s="3">
        <f>S53-S54</f>
        <v>245908.572</v>
      </c>
      <c r="T55" s="3">
        <f>T53-T54</f>
        <v>-0.4114772696775617</v>
      </c>
      <c r="U55" s="3"/>
      <c r="V55" s="3"/>
    </row>
    <row r="56" spans="1:22" ht="15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">
      <c r="A57" s="4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">
      <c r="A58" s="4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</sheetData>
  <sheetProtection/>
  <printOptions horizontalCentered="1"/>
  <pageMargins left="0.75" right="0.75" top="1" bottom="1" header="0.5" footer="0.5"/>
  <pageSetup fitToWidth="2" fitToHeight="1"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PageLayoutView="0" workbookViewId="0" topLeftCell="D22">
      <selection activeCell="J52" sqref="J52"/>
    </sheetView>
  </sheetViews>
  <sheetFormatPr defaultColWidth="8.8515625" defaultRowHeight="15"/>
  <cols>
    <col min="1" max="1" width="8.8515625" style="44" customWidth="1"/>
    <col min="2" max="2" width="30.57421875" style="44" customWidth="1"/>
    <col min="3" max="3" width="4.7109375" style="44" customWidth="1"/>
    <col min="4" max="4" width="12.7109375" style="44" customWidth="1"/>
    <col min="5" max="5" width="14.00390625" style="44" customWidth="1"/>
    <col min="6" max="6" width="12.7109375" style="44" customWidth="1"/>
    <col min="7" max="7" width="8.421875" style="44" customWidth="1"/>
    <col min="8" max="8" width="14.7109375" style="44" customWidth="1"/>
    <col min="9" max="9" width="14.28125" style="44" customWidth="1"/>
    <col min="10" max="14" width="15.7109375" style="44" customWidth="1"/>
    <col min="15" max="17" width="12.7109375" style="44" customWidth="1"/>
    <col min="18" max="20" width="8.8515625" style="44" customWidth="1"/>
    <col min="21" max="21" width="15.7109375" style="44" customWidth="1"/>
    <col min="22" max="22" width="16.7109375" style="44" customWidth="1"/>
    <col min="23" max="23" width="12.7109375" style="44" customWidth="1"/>
    <col min="24" max="16384" width="8.8515625" style="44" customWidth="1"/>
  </cols>
  <sheetData>
    <row r="1" spans="1:14" s="274" customFormat="1" ht="12" customHeight="1">
      <c r="A1" s="299" t="s">
        <v>0</v>
      </c>
      <c r="J1" s="304" t="s">
        <v>453</v>
      </c>
      <c r="K1" s="275"/>
      <c r="L1" s="276"/>
      <c r="M1" s="277"/>
      <c r="N1" s="304"/>
    </row>
    <row r="2" spans="1:13" s="274" customFormat="1" ht="12.75">
      <c r="A2" s="305" t="s">
        <v>493</v>
      </c>
      <c r="C2" s="278"/>
      <c r="D2" s="278"/>
      <c r="G2" s="279"/>
      <c r="I2" s="279"/>
      <c r="K2" s="275"/>
      <c r="L2" s="276"/>
      <c r="M2" s="275"/>
    </row>
    <row r="3" spans="1:13" s="274" customFormat="1" ht="12.75">
      <c r="A3" s="299" t="s">
        <v>449</v>
      </c>
      <c r="C3" s="278"/>
      <c r="D3" s="280"/>
      <c r="G3" s="279"/>
      <c r="I3" s="279"/>
      <c r="K3" s="275"/>
      <c r="L3" s="276"/>
      <c r="M3" s="275"/>
    </row>
    <row r="4" spans="3:22" s="274" customFormat="1" ht="12.75">
      <c r="C4" s="278"/>
      <c r="D4" s="280"/>
      <c r="G4" s="279"/>
      <c r="I4" s="279"/>
      <c r="K4" s="275"/>
      <c r="L4" s="276"/>
      <c r="M4" s="275"/>
      <c r="U4" s="281"/>
      <c r="V4" s="282"/>
    </row>
    <row r="5" spans="1:22" s="274" customFormat="1" ht="13.5" thickBot="1">
      <c r="A5" s="357">
        <v>1</v>
      </c>
      <c r="B5" s="306" t="s">
        <v>72</v>
      </c>
      <c r="C5" s="283"/>
      <c r="D5" s="284"/>
      <c r="E5" s="285"/>
      <c r="F5" s="285"/>
      <c r="G5" s="286"/>
      <c r="H5" s="285"/>
      <c r="I5" s="286"/>
      <c r="J5" s="285"/>
      <c r="K5" s="394"/>
      <c r="L5" s="395"/>
      <c r="M5" s="394"/>
      <c r="N5" s="396"/>
      <c r="U5" s="281"/>
      <c r="V5" s="282"/>
    </row>
    <row r="6" spans="1:23" s="274" customFormat="1" ht="12.75">
      <c r="A6" s="357">
        <v>2</v>
      </c>
      <c r="C6" s="278"/>
      <c r="D6" s="287"/>
      <c r="E6" s="288"/>
      <c r="F6" s="289"/>
      <c r="G6" s="290"/>
      <c r="H6" s="288"/>
      <c r="I6" s="290"/>
      <c r="J6" s="288"/>
      <c r="K6" s="397"/>
      <c r="L6" s="398"/>
      <c r="M6" s="397"/>
      <c r="N6" s="399"/>
      <c r="U6" s="291"/>
      <c r="V6" s="282"/>
      <c r="W6" s="292"/>
    </row>
    <row r="7" spans="1:23" s="274" customFormat="1" ht="12.75">
      <c r="A7" s="357">
        <v>3</v>
      </c>
      <c r="D7" s="287"/>
      <c r="E7" s="287"/>
      <c r="F7" s="293"/>
      <c r="G7" s="294"/>
      <c r="H7" s="295"/>
      <c r="I7" s="294"/>
      <c r="J7" s="287"/>
      <c r="K7" s="397"/>
      <c r="L7" s="400"/>
      <c r="M7" s="397"/>
      <c r="N7" s="401"/>
      <c r="U7" s="291"/>
      <c r="V7" s="282"/>
      <c r="W7" s="292"/>
    </row>
    <row r="8" spans="1:22" s="274" customFormat="1" ht="15">
      <c r="A8" s="357">
        <v>4</v>
      </c>
      <c r="D8" s="287" t="s">
        <v>323</v>
      </c>
      <c r="E8" s="287"/>
      <c r="F8" s="287" t="s">
        <v>55</v>
      </c>
      <c r="G8" s="294"/>
      <c r="H8" s="287"/>
      <c r="I8" s="294"/>
      <c r="J8" s="287" t="s">
        <v>31</v>
      </c>
      <c r="K8" s="397"/>
      <c r="L8" s="401"/>
      <c r="M8" s="397"/>
      <c r="N8" s="401"/>
      <c r="T8" s="296"/>
      <c r="U8" s="291"/>
      <c r="V8" s="282"/>
    </row>
    <row r="9" spans="1:22" s="274" customFormat="1" ht="12.75">
      <c r="A9" s="357">
        <v>5</v>
      </c>
      <c r="D9" s="287" t="s">
        <v>324</v>
      </c>
      <c r="E9" s="287" t="s">
        <v>323</v>
      </c>
      <c r="F9" s="287" t="s">
        <v>324</v>
      </c>
      <c r="G9" s="287"/>
      <c r="H9" s="287" t="s">
        <v>55</v>
      </c>
      <c r="I9" s="356" t="s">
        <v>55</v>
      </c>
      <c r="J9" s="287" t="s">
        <v>56</v>
      </c>
      <c r="K9" s="401"/>
      <c r="L9" s="398"/>
      <c r="M9" s="397"/>
      <c r="N9" s="401"/>
      <c r="U9" s="291"/>
      <c r="V9" s="282"/>
    </row>
    <row r="10" spans="1:23" s="274" customFormat="1" ht="12.75">
      <c r="A10" s="357">
        <v>6</v>
      </c>
      <c r="B10" s="297"/>
      <c r="C10" s="297"/>
      <c r="D10" s="298" t="s">
        <v>70</v>
      </c>
      <c r="E10" s="298" t="s">
        <v>71</v>
      </c>
      <c r="F10" s="298" t="s">
        <v>70</v>
      </c>
      <c r="G10" s="298"/>
      <c r="H10" s="298" t="s">
        <v>72</v>
      </c>
      <c r="I10" s="367" t="s">
        <v>22</v>
      </c>
      <c r="J10" s="298" t="s">
        <v>73</v>
      </c>
      <c r="K10" s="401"/>
      <c r="L10" s="401"/>
      <c r="M10" s="401"/>
      <c r="N10" s="401"/>
      <c r="U10" s="291"/>
      <c r="V10" s="282"/>
      <c r="W10" s="292"/>
    </row>
    <row r="11" spans="1:21" s="299" customFormat="1" ht="12.75">
      <c r="A11" s="357">
        <v>7</v>
      </c>
      <c r="D11" s="300" t="s">
        <v>64</v>
      </c>
      <c r="E11" s="300" t="s">
        <v>65</v>
      </c>
      <c r="F11" s="300" t="s">
        <v>66</v>
      </c>
      <c r="G11" s="300"/>
      <c r="H11" s="300" t="s">
        <v>67</v>
      </c>
      <c r="I11" s="300" t="s">
        <v>68</v>
      </c>
      <c r="J11" s="300" t="s">
        <v>78</v>
      </c>
      <c r="K11" s="402"/>
      <c r="L11" s="402"/>
      <c r="M11" s="402"/>
      <c r="N11" s="402"/>
      <c r="U11" s="301"/>
    </row>
    <row r="12" spans="1:23" ht="12.75">
      <c r="A12" s="357">
        <v>8</v>
      </c>
      <c r="B12" s="96" t="s">
        <v>588</v>
      </c>
      <c r="D12" s="307"/>
      <c r="E12" s="307"/>
      <c r="F12" s="307"/>
      <c r="G12" s="307"/>
      <c r="H12" s="300"/>
      <c r="I12" s="300"/>
      <c r="J12" s="307"/>
      <c r="K12" s="403"/>
      <c r="L12" s="403"/>
      <c r="M12" s="403"/>
      <c r="N12" s="403"/>
      <c r="Q12" s="307"/>
      <c r="U12" s="308"/>
      <c r="W12" s="309"/>
    </row>
    <row r="13" spans="1:16" ht="12.75">
      <c r="A13" s="357">
        <v>9</v>
      </c>
      <c r="B13" s="310" t="s">
        <v>95</v>
      </c>
      <c r="C13" s="302"/>
      <c r="D13" s="302">
        <v>43003386</v>
      </c>
      <c r="E13" s="303">
        <v>57336046</v>
      </c>
      <c r="F13" s="275">
        <v>42299885.46625907</v>
      </c>
      <c r="G13" s="311"/>
      <c r="H13" s="312">
        <v>55505710.70116243</v>
      </c>
      <c r="I13" s="311">
        <v>1.3121952953143836</v>
      </c>
      <c r="J13" s="312">
        <v>-1830335.2988375723</v>
      </c>
      <c r="K13" s="311"/>
      <c r="L13" s="311"/>
      <c r="M13" s="342"/>
      <c r="N13" s="342"/>
      <c r="P13" s="18"/>
    </row>
    <row r="14" spans="1:14" ht="12.75">
      <c r="A14" s="357">
        <v>10</v>
      </c>
      <c r="B14" s="310" t="s">
        <v>639</v>
      </c>
      <c r="C14" s="302"/>
      <c r="D14" s="302">
        <v>20455924</v>
      </c>
      <c r="E14" s="303">
        <v>26404703</v>
      </c>
      <c r="F14" s="275">
        <v>20273009.781694617</v>
      </c>
      <c r="G14" s="311"/>
      <c r="H14" s="312">
        <v>25539249.867137723</v>
      </c>
      <c r="I14" s="311">
        <v>1.2597660703640672</v>
      </c>
      <c r="J14" s="312">
        <v>-865453.1328622773</v>
      </c>
      <c r="K14" s="311"/>
      <c r="L14" s="342"/>
      <c r="M14" s="342"/>
      <c r="N14" s="342"/>
    </row>
    <row r="15" spans="1:14" ht="12.75">
      <c r="A15" s="357">
        <v>11</v>
      </c>
      <c r="B15" s="310" t="s">
        <v>640</v>
      </c>
      <c r="C15" s="302"/>
      <c r="D15" s="302">
        <v>3269923</v>
      </c>
      <c r="E15" s="303">
        <v>3646239</v>
      </c>
      <c r="F15" s="275">
        <v>3275414.6</v>
      </c>
      <c r="G15" s="311"/>
      <c r="H15" s="312">
        <v>3599636.6704450003</v>
      </c>
      <c r="I15" s="311">
        <v>1.0989865742324652</v>
      </c>
      <c r="J15" s="312">
        <v>-46602.32955499971</v>
      </c>
      <c r="K15" s="311"/>
      <c r="L15" s="342"/>
      <c r="M15" s="342"/>
      <c r="N15" s="342"/>
    </row>
    <row r="16" spans="1:14" ht="12.75">
      <c r="A16" s="357">
        <v>12</v>
      </c>
      <c r="B16" s="310" t="s">
        <v>112</v>
      </c>
      <c r="C16" s="302"/>
      <c r="D16" s="302">
        <v>6300386</v>
      </c>
      <c r="E16" s="303">
        <v>5835604</v>
      </c>
      <c r="F16" s="275">
        <v>6285390</v>
      </c>
      <c r="G16" s="311"/>
      <c r="H16" s="312">
        <v>5617214.286081</v>
      </c>
      <c r="I16" s="311">
        <v>0.8936938338084033</v>
      </c>
      <c r="J16" s="312">
        <v>-218389.71391899977</v>
      </c>
      <c r="K16" s="311"/>
      <c r="L16" s="342"/>
      <c r="M16" s="342"/>
      <c r="N16" s="342"/>
    </row>
    <row r="17" spans="1:14" ht="12.75">
      <c r="A17" s="357">
        <v>13</v>
      </c>
      <c r="B17" s="310"/>
      <c r="C17" s="310"/>
      <c r="D17" s="313"/>
      <c r="E17" s="404"/>
      <c r="F17" s="313"/>
      <c r="G17" s="311"/>
      <c r="H17" s="311"/>
      <c r="I17" s="311"/>
      <c r="J17" s="312"/>
      <c r="K17" s="342"/>
      <c r="L17" s="342"/>
      <c r="M17" s="342"/>
      <c r="N17" s="342"/>
    </row>
    <row r="18" spans="1:14" ht="12.75">
      <c r="A18" s="357">
        <v>14</v>
      </c>
      <c r="B18" s="315"/>
      <c r="C18" s="315"/>
      <c r="D18" s="316"/>
      <c r="E18" s="316"/>
      <c r="F18" s="316"/>
      <c r="G18" s="316"/>
      <c r="H18" s="316"/>
      <c r="I18" s="316"/>
      <c r="J18" s="316"/>
      <c r="K18" s="340"/>
      <c r="L18" s="340"/>
      <c r="M18" s="340"/>
      <c r="N18" s="340"/>
    </row>
    <row r="19" spans="1:14" ht="12.75">
      <c r="A19" s="357">
        <v>15</v>
      </c>
      <c r="B19" s="310" t="s">
        <v>128</v>
      </c>
      <c r="C19" s="310"/>
      <c r="D19" s="313">
        <v>73029619</v>
      </c>
      <c r="E19" s="312">
        <v>93222592</v>
      </c>
      <c r="F19" s="313">
        <v>72133699.84795368</v>
      </c>
      <c r="G19" s="337"/>
      <c r="H19" s="312">
        <v>90261811.52482615</v>
      </c>
      <c r="I19" s="311"/>
      <c r="J19" s="312">
        <v>-2960780.475173849</v>
      </c>
      <c r="K19" s="342"/>
      <c r="L19" s="342"/>
      <c r="M19" s="342"/>
      <c r="N19" s="342"/>
    </row>
    <row r="20" spans="1:14" ht="12.75">
      <c r="A20" s="357">
        <v>16</v>
      </c>
      <c r="B20" s="317"/>
      <c r="C20" s="317"/>
      <c r="D20" s="313"/>
      <c r="E20" s="312"/>
      <c r="G20" s="302"/>
      <c r="K20" s="243"/>
      <c r="L20" s="243"/>
      <c r="M20" s="243"/>
      <c r="N20" s="405"/>
    </row>
    <row r="21" spans="1:23" ht="12.75">
      <c r="A21" s="357">
        <v>17</v>
      </c>
      <c r="B21" s="310" t="s">
        <v>589</v>
      </c>
      <c r="C21" s="310"/>
      <c r="D21" s="302">
        <v>163557</v>
      </c>
      <c r="E21" s="303">
        <v>287096</v>
      </c>
      <c r="F21" s="313"/>
      <c r="G21" s="302"/>
      <c r="I21" s="319"/>
      <c r="J21" s="312">
        <v>-287096</v>
      </c>
      <c r="K21" s="243"/>
      <c r="L21" s="406"/>
      <c r="M21" s="243"/>
      <c r="N21" s="243"/>
      <c r="U21" s="18"/>
      <c r="W21" s="43"/>
    </row>
    <row r="22" spans="1:14" ht="12.75">
      <c r="A22" s="357">
        <v>18</v>
      </c>
      <c r="B22" s="310"/>
      <c r="C22" s="310"/>
      <c r="D22" s="313"/>
      <c r="E22" s="312"/>
      <c r="F22" s="313"/>
      <c r="G22" s="302"/>
      <c r="K22" s="243"/>
      <c r="L22" s="406"/>
      <c r="M22" s="243"/>
      <c r="N22" s="243"/>
    </row>
    <row r="23" spans="1:23" ht="12.75">
      <c r="A23" s="357">
        <v>19</v>
      </c>
      <c r="B23" s="310" t="s">
        <v>145</v>
      </c>
      <c r="C23" s="310"/>
      <c r="D23" s="313">
        <v>228702</v>
      </c>
      <c r="E23" s="311"/>
      <c r="F23" s="313">
        <v>341913.73727930046</v>
      </c>
      <c r="K23" s="243"/>
      <c r="L23" s="406"/>
      <c r="M23" s="243"/>
      <c r="N23" s="243"/>
      <c r="U23" s="18"/>
      <c r="W23" s="43"/>
    </row>
    <row r="24" spans="1:21" ht="12.75">
      <c r="A24" s="357">
        <v>20</v>
      </c>
      <c r="B24" s="320"/>
      <c r="C24" s="320"/>
      <c r="D24" s="321"/>
      <c r="E24" s="321"/>
      <c r="F24" s="321"/>
      <c r="G24" s="321"/>
      <c r="H24" s="321"/>
      <c r="I24" s="321"/>
      <c r="J24" s="321"/>
      <c r="K24" s="243"/>
      <c r="L24" s="406"/>
      <c r="M24" s="243"/>
      <c r="N24" s="243"/>
      <c r="U24" s="18"/>
    </row>
    <row r="25" spans="1:21" ht="12.75">
      <c r="A25" s="357">
        <v>21</v>
      </c>
      <c r="B25" s="310" t="s">
        <v>325</v>
      </c>
      <c r="C25" s="310"/>
      <c r="D25" s="313">
        <v>73421878</v>
      </c>
      <c r="E25" s="312">
        <v>93509688</v>
      </c>
      <c r="F25" s="313">
        <v>72475613.58523297</v>
      </c>
      <c r="H25" s="312">
        <v>90261811.52482615</v>
      </c>
      <c r="J25" s="312">
        <v>-3247876.475173849</v>
      </c>
      <c r="K25" s="243"/>
      <c r="L25" s="406"/>
      <c r="M25" s="243"/>
      <c r="N25" s="243"/>
      <c r="U25" s="18"/>
    </row>
    <row r="26" spans="1:14" ht="12.75">
      <c r="A26" s="357">
        <v>22</v>
      </c>
      <c r="B26" s="317"/>
      <c r="C26" s="317"/>
      <c r="D26" s="313"/>
      <c r="E26" s="312"/>
      <c r="K26" s="243"/>
      <c r="L26" s="406"/>
      <c r="M26" s="407"/>
      <c r="N26" s="243"/>
    </row>
    <row r="27" spans="1:14" ht="12.75">
      <c r="A27" s="357">
        <v>23</v>
      </c>
      <c r="B27" s="317"/>
      <c r="C27" s="317"/>
      <c r="D27" s="313"/>
      <c r="E27" s="312"/>
      <c r="K27" s="243"/>
      <c r="L27" s="408"/>
      <c r="M27" s="243"/>
      <c r="N27" s="243"/>
    </row>
    <row r="28" spans="1:21" ht="12.75">
      <c r="A28" s="357">
        <v>24</v>
      </c>
      <c r="B28" s="322" t="s">
        <v>420</v>
      </c>
      <c r="C28" s="310"/>
      <c r="D28" s="313"/>
      <c r="G28" s="312"/>
      <c r="I28" s="312"/>
      <c r="K28" s="243"/>
      <c r="L28" s="243"/>
      <c r="M28" s="243"/>
      <c r="N28" s="243"/>
      <c r="U28" s="323"/>
    </row>
    <row r="29" spans="1:21" ht="12.75">
      <c r="A29" s="357">
        <v>25</v>
      </c>
      <c r="B29" s="310" t="s">
        <v>455</v>
      </c>
      <c r="C29" s="310"/>
      <c r="D29" s="324">
        <v>3738309</v>
      </c>
      <c r="E29" s="325">
        <v>314899</v>
      </c>
      <c r="F29" s="313">
        <v>3806659</v>
      </c>
      <c r="H29" s="314">
        <v>296524.00635161303</v>
      </c>
      <c r="I29" s="311">
        <v>0.07789613053115949</v>
      </c>
      <c r="J29" s="314">
        <v>-18374.993648386968</v>
      </c>
      <c r="K29" s="354"/>
      <c r="L29" s="354"/>
      <c r="M29" s="243"/>
      <c r="N29" s="243"/>
      <c r="U29" s="326"/>
    </row>
    <row r="30" spans="1:14" ht="12.75">
      <c r="A30" s="357">
        <v>26</v>
      </c>
      <c r="B30" s="310" t="s">
        <v>456</v>
      </c>
      <c r="C30" s="310"/>
      <c r="D30" s="324">
        <v>3635521</v>
      </c>
      <c r="E30" s="325">
        <v>247407</v>
      </c>
      <c r="F30" s="313">
        <v>3656057.2</v>
      </c>
      <c r="H30" s="314">
        <v>278265.67763291346</v>
      </c>
      <c r="I30" s="311">
        <v>0.07611086545169847</v>
      </c>
      <c r="J30" s="314">
        <v>30858.67763291346</v>
      </c>
      <c r="K30" s="354"/>
      <c r="L30" s="354"/>
      <c r="M30" s="243"/>
      <c r="N30" s="243"/>
    </row>
    <row r="31" spans="1:14" ht="12.75">
      <c r="A31" s="357">
        <v>27</v>
      </c>
      <c r="B31" s="310" t="s">
        <v>666</v>
      </c>
      <c r="C31" s="310"/>
      <c r="D31" s="324">
        <v>6056570</v>
      </c>
      <c r="E31" s="325">
        <v>334535.45</v>
      </c>
      <c r="F31" s="313">
        <v>5977188</v>
      </c>
      <c r="H31" s="314">
        <v>330150.77466529736</v>
      </c>
      <c r="I31" s="311">
        <v>0.05523513308687921</v>
      </c>
      <c r="J31" s="314">
        <v>-4384.675334702653</v>
      </c>
      <c r="K31" s="409"/>
      <c r="L31" s="243"/>
      <c r="M31" s="243"/>
      <c r="N31" s="243"/>
    </row>
    <row r="32" spans="1:16" ht="12.75">
      <c r="A32" s="357">
        <v>28</v>
      </c>
      <c r="B32" s="310" t="s">
        <v>180</v>
      </c>
      <c r="C32" s="310"/>
      <c r="D32" s="328">
        <v>0</v>
      </c>
      <c r="E32" s="329">
        <v>188</v>
      </c>
      <c r="F32" s="330">
        <v>0</v>
      </c>
      <c r="H32" s="332">
        <v>188</v>
      </c>
      <c r="I32" s="331">
        <v>0</v>
      </c>
      <c r="J32" s="332">
        <v>0</v>
      </c>
      <c r="K32" s="243"/>
      <c r="L32" s="243"/>
      <c r="M32" s="243"/>
      <c r="N32" s="243"/>
      <c r="P32" s="333"/>
    </row>
    <row r="33" spans="1:14" ht="12.75">
      <c r="A33" s="357">
        <v>29</v>
      </c>
      <c r="B33" s="310" t="s">
        <v>590</v>
      </c>
      <c r="C33" s="310"/>
      <c r="D33" s="334">
        <v>13430400</v>
      </c>
      <c r="E33" s="335">
        <v>897029.45</v>
      </c>
      <c r="F33" s="336">
        <v>13439904.2</v>
      </c>
      <c r="H33" s="308">
        <v>905128.4586498238</v>
      </c>
      <c r="I33" s="337">
        <v>0.06734634750222579</v>
      </c>
      <c r="J33" s="308">
        <v>8099.008649823838</v>
      </c>
      <c r="K33" s="243"/>
      <c r="L33" s="243"/>
      <c r="M33" s="243"/>
      <c r="N33" s="243"/>
    </row>
    <row r="34" spans="1:14" ht="12.75">
      <c r="A34" s="357">
        <v>30</v>
      </c>
      <c r="B34" s="310"/>
      <c r="C34" s="310"/>
      <c r="D34" s="338"/>
      <c r="E34" s="339"/>
      <c r="F34" s="340"/>
      <c r="H34" s="341"/>
      <c r="I34" s="340"/>
      <c r="J34" s="341"/>
      <c r="K34" s="243"/>
      <c r="L34" s="243"/>
      <c r="M34" s="243"/>
      <c r="N34" s="243"/>
    </row>
    <row r="35" spans="1:14" ht="12.75">
      <c r="A35" s="357">
        <v>31</v>
      </c>
      <c r="B35" s="29" t="s">
        <v>187</v>
      </c>
      <c r="C35" s="29"/>
      <c r="D35" s="429">
        <v>86852278</v>
      </c>
      <c r="E35" s="430">
        <v>94406717.45</v>
      </c>
      <c r="F35" s="431">
        <v>85915517.78523298</v>
      </c>
      <c r="H35" s="432">
        <v>91166939.98347598</v>
      </c>
      <c r="I35" s="433">
        <v>1.0611230931689224</v>
      </c>
      <c r="J35" s="432">
        <v>-3239777.4665240254</v>
      </c>
      <c r="K35" s="243"/>
      <c r="L35" s="243"/>
      <c r="M35" s="243"/>
      <c r="N35" s="243"/>
    </row>
    <row r="36" spans="1:14" ht="12.75">
      <c r="A36" s="357">
        <v>32</v>
      </c>
      <c r="H36" s="309"/>
      <c r="J36" s="309"/>
      <c r="K36" s="243"/>
      <c r="L36" s="243"/>
      <c r="M36" s="243"/>
      <c r="N36" s="243"/>
    </row>
    <row r="37" spans="1:14" ht="12.75">
      <c r="A37" s="357">
        <v>33</v>
      </c>
      <c r="D37" s="313"/>
      <c r="E37" s="327"/>
      <c r="F37" s="313"/>
      <c r="J37" s="410"/>
      <c r="K37" s="243"/>
      <c r="L37" s="243"/>
      <c r="M37" s="243"/>
      <c r="N37" s="243"/>
    </row>
    <row r="38" spans="1:14" ht="12.75">
      <c r="A38" s="357">
        <v>34</v>
      </c>
      <c r="F38" s="313"/>
      <c r="J38" s="342"/>
      <c r="K38" s="243"/>
      <c r="L38" s="243"/>
      <c r="M38" s="243"/>
      <c r="N38" s="243"/>
    </row>
    <row r="39" spans="1:14" ht="15.75" thickBot="1">
      <c r="A39" s="357">
        <v>35</v>
      </c>
      <c r="B39" s="306" t="s">
        <v>204</v>
      </c>
      <c r="C39" s="343"/>
      <c r="D39" s="344"/>
      <c r="E39" s="345"/>
      <c r="F39" s="346"/>
      <c r="G39" s="344"/>
      <c r="H39" s="344"/>
      <c r="I39" s="344"/>
      <c r="J39" s="344"/>
      <c r="K39" s="243"/>
      <c r="L39" s="243"/>
      <c r="M39" s="243"/>
      <c r="N39" s="243"/>
    </row>
    <row r="40" spans="1:14" ht="12.75">
      <c r="A40" s="357">
        <v>36</v>
      </c>
      <c r="K40" s="243"/>
      <c r="L40" s="243"/>
      <c r="M40" s="243"/>
      <c r="N40" s="243"/>
    </row>
    <row r="41" spans="1:14" ht="12.75">
      <c r="A41" s="357">
        <v>37</v>
      </c>
      <c r="D41" s="347" t="s">
        <v>76</v>
      </c>
      <c r="E41" s="348" t="s">
        <v>76</v>
      </c>
      <c r="F41" s="356" t="s">
        <v>55</v>
      </c>
      <c r="H41" s="356" t="s">
        <v>55</v>
      </c>
      <c r="I41" s="356" t="s">
        <v>55</v>
      </c>
      <c r="J41" s="287" t="s">
        <v>56</v>
      </c>
      <c r="K41" s="403"/>
      <c r="L41" s="243"/>
      <c r="M41" s="243"/>
      <c r="N41" s="243"/>
    </row>
    <row r="42" spans="1:14" ht="12.75">
      <c r="A42" s="357">
        <v>38</v>
      </c>
      <c r="D42" s="349" t="s">
        <v>70</v>
      </c>
      <c r="E42" s="350" t="s">
        <v>210</v>
      </c>
      <c r="F42" s="367" t="s">
        <v>70</v>
      </c>
      <c r="H42" s="367" t="s">
        <v>210</v>
      </c>
      <c r="I42" s="367" t="s">
        <v>22</v>
      </c>
      <c r="J42" s="298" t="s">
        <v>73</v>
      </c>
      <c r="K42" s="403"/>
      <c r="L42" s="243"/>
      <c r="M42" s="243"/>
      <c r="N42" s="243"/>
    </row>
    <row r="43" spans="1:14" ht="12.75">
      <c r="A43" s="357">
        <v>39</v>
      </c>
      <c r="F43" s="243"/>
      <c r="H43" s="243"/>
      <c r="I43" s="243"/>
      <c r="J43" s="243"/>
      <c r="K43" s="243"/>
      <c r="L43" s="243"/>
      <c r="M43" s="243"/>
      <c r="N43" s="243"/>
    </row>
    <row r="44" spans="1:14" ht="12.75">
      <c r="A44" s="357" t="s">
        <v>667</v>
      </c>
      <c r="B44" s="44" t="s">
        <v>641</v>
      </c>
      <c r="E44" s="318">
        <v>7122665.230000028</v>
      </c>
      <c r="F44" s="243"/>
      <c r="H44" s="411">
        <v>7741343.610001691</v>
      </c>
      <c r="I44" s="243"/>
      <c r="J44" s="342">
        <v>618678.3800016623</v>
      </c>
      <c r="K44" s="243"/>
      <c r="L44" s="243"/>
      <c r="M44" s="243"/>
      <c r="N44" s="243"/>
    </row>
    <row r="45" spans="1:14" ht="12.75">
      <c r="A45" s="357" t="s">
        <v>668</v>
      </c>
      <c r="B45" s="44" t="s">
        <v>642</v>
      </c>
      <c r="D45" s="412"/>
      <c r="E45" s="413">
        <v>-893748.89</v>
      </c>
      <c r="F45" s="412"/>
      <c r="H45" s="352">
        <v>0</v>
      </c>
      <c r="I45" s="412"/>
      <c r="J45" s="352">
        <v>893748.89</v>
      </c>
      <c r="K45" s="243"/>
      <c r="L45" s="243"/>
      <c r="M45" s="243"/>
      <c r="N45" s="243"/>
    </row>
    <row r="46" spans="1:14" ht="12.75">
      <c r="A46" s="357">
        <v>40</v>
      </c>
      <c r="B46" s="310" t="s">
        <v>212</v>
      </c>
      <c r="C46" s="310"/>
      <c r="D46" s="351"/>
      <c r="E46" s="342">
        <v>6228916.340000029</v>
      </c>
      <c r="F46" s="355"/>
      <c r="H46" s="411">
        <v>7741343.610001691</v>
      </c>
      <c r="I46" s="355"/>
      <c r="J46" s="411">
        <v>1512427.2700016624</v>
      </c>
      <c r="K46" s="243"/>
      <c r="L46" s="243"/>
      <c r="M46" s="243"/>
      <c r="N46" s="243"/>
    </row>
    <row r="47" spans="1:14" ht="12.75">
      <c r="A47" s="357">
        <v>41</v>
      </c>
      <c r="B47" s="317"/>
      <c r="C47" s="317"/>
      <c r="E47" s="342"/>
      <c r="F47" s="243"/>
      <c r="H47" s="342"/>
      <c r="I47" s="243"/>
      <c r="J47" s="342"/>
      <c r="K47" s="243"/>
      <c r="L47" s="243"/>
      <c r="M47" s="243"/>
      <c r="N47" s="243"/>
    </row>
    <row r="48" spans="1:14" ht="12.75">
      <c r="A48" s="357" t="s">
        <v>669</v>
      </c>
      <c r="B48" s="414" t="s">
        <v>643</v>
      </c>
      <c r="C48" s="317"/>
      <c r="E48" s="342">
        <v>53740406.260000065</v>
      </c>
      <c r="F48" s="243"/>
      <c r="H48" s="411">
        <v>49648182.93134956</v>
      </c>
      <c r="I48" s="243"/>
      <c r="J48" s="342">
        <v>-4092223.3286505044</v>
      </c>
      <c r="K48" s="243"/>
      <c r="L48" s="243"/>
      <c r="M48" s="243"/>
      <c r="N48" s="243"/>
    </row>
    <row r="49" spans="1:14" ht="12.75">
      <c r="A49" s="357" t="s">
        <v>670</v>
      </c>
      <c r="B49" s="44" t="s">
        <v>644</v>
      </c>
      <c r="C49" s="317"/>
      <c r="D49" s="412"/>
      <c r="E49" s="352">
        <v>-252991.79</v>
      </c>
      <c r="F49" s="412"/>
      <c r="H49" s="415">
        <v>0</v>
      </c>
      <c r="I49" s="412"/>
      <c r="J49" s="352">
        <v>252991.79</v>
      </c>
      <c r="K49" s="243"/>
      <c r="L49" s="243"/>
      <c r="M49" s="243"/>
      <c r="N49" s="243"/>
    </row>
    <row r="50" spans="1:14" ht="12.75">
      <c r="A50" s="357">
        <v>42</v>
      </c>
      <c r="B50" s="310" t="s">
        <v>645</v>
      </c>
      <c r="C50" s="310"/>
      <c r="D50" s="353">
        <v>73029619</v>
      </c>
      <c r="E50" s="342">
        <v>53487414.470000066</v>
      </c>
      <c r="F50" s="353">
        <v>72133699.84795368</v>
      </c>
      <c r="H50" s="411">
        <v>49648182.93134956</v>
      </c>
      <c r="I50" s="354">
        <v>0.68828</v>
      </c>
      <c r="J50" s="411">
        <v>-3839231.5386505043</v>
      </c>
      <c r="K50" s="243"/>
      <c r="L50" s="243"/>
      <c r="M50" s="243"/>
      <c r="N50" s="243"/>
    </row>
    <row r="51" spans="1:14" ht="12.75">
      <c r="A51" s="357">
        <v>43</v>
      </c>
      <c r="B51" s="317"/>
      <c r="C51" s="317"/>
      <c r="E51" s="311"/>
      <c r="F51" s="243"/>
      <c r="H51" s="342"/>
      <c r="I51" s="354"/>
      <c r="J51" s="342"/>
      <c r="K51" s="243"/>
      <c r="L51" s="243"/>
      <c r="M51" s="243"/>
      <c r="N51" s="243"/>
    </row>
    <row r="52" spans="1:14" ht="12.75">
      <c r="A52" s="357">
        <v>44</v>
      </c>
      <c r="B52" s="310" t="s">
        <v>591</v>
      </c>
      <c r="C52" s="310"/>
      <c r="D52" s="434"/>
      <c r="E52" s="352">
        <v>59716330.81000009</v>
      </c>
      <c r="F52" s="330">
        <v>72133699.84795368</v>
      </c>
      <c r="H52" s="352">
        <v>57389526.54135125</v>
      </c>
      <c r="I52" s="331">
        <v>0.7955993753588019</v>
      </c>
      <c r="J52" s="352">
        <v>-2326804.2686488405</v>
      </c>
      <c r="K52" s="405"/>
      <c r="L52" s="243"/>
      <c r="M52" s="243"/>
      <c r="N52" s="243"/>
    </row>
    <row r="53" spans="2:14" ht="12.75">
      <c r="B53" s="317"/>
      <c r="C53" s="317"/>
      <c r="F53" s="243"/>
      <c r="G53" s="243"/>
      <c r="H53" s="243"/>
      <c r="I53" s="243"/>
      <c r="J53" s="243"/>
      <c r="K53" s="243"/>
      <c r="L53" s="243"/>
      <c r="M53" s="243"/>
      <c r="N53" s="243"/>
    </row>
    <row r="54" spans="2:14" ht="12.75">
      <c r="B54" s="317"/>
      <c r="C54" s="317"/>
      <c r="D54" s="353"/>
      <c r="E54" s="416"/>
      <c r="F54" s="243"/>
      <c r="G54" s="243"/>
      <c r="H54" s="243"/>
      <c r="I54" s="416"/>
      <c r="J54" s="416"/>
      <c r="K54" s="243"/>
      <c r="L54" s="243"/>
      <c r="M54" s="243"/>
      <c r="N54" s="243"/>
    </row>
    <row r="55" spans="2:14" ht="12.75">
      <c r="B55" s="310"/>
      <c r="C55" s="310"/>
      <c r="D55" s="355"/>
      <c r="E55" s="354"/>
      <c r="F55" s="355"/>
      <c r="G55" s="355"/>
      <c r="H55" s="417"/>
      <c r="I55" s="418"/>
      <c r="J55" s="419"/>
      <c r="K55" s="243"/>
      <c r="L55" s="243"/>
      <c r="M55" s="243"/>
      <c r="N55" s="243"/>
    </row>
    <row r="56" spans="2:14" ht="12.75">
      <c r="B56" s="317"/>
      <c r="C56" s="317"/>
      <c r="D56" s="243"/>
      <c r="E56" s="342"/>
      <c r="F56" s="243"/>
      <c r="G56" s="243"/>
      <c r="H56" s="420"/>
      <c r="I56" s="419"/>
      <c r="J56" s="419"/>
      <c r="K56" s="243"/>
      <c r="L56" s="243"/>
      <c r="M56" s="243"/>
      <c r="N56" s="243"/>
    </row>
    <row r="57" spans="4:14" ht="12.75">
      <c r="D57" s="353"/>
      <c r="E57" s="342"/>
      <c r="F57" s="353"/>
      <c r="G57" s="354"/>
      <c r="H57" s="419"/>
      <c r="I57" s="419"/>
      <c r="J57" s="419"/>
      <c r="K57" s="243"/>
      <c r="L57" s="243"/>
      <c r="M57" s="243"/>
      <c r="N57" s="243"/>
    </row>
    <row r="58" spans="2:14" ht="12.75">
      <c r="B58" s="317"/>
      <c r="C58" s="317"/>
      <c r="D58" s="243"/>
      <c r="E58" s="354"/>
      <c r="F58" s="243"/>
      <c r="G58" s="354"/>
      <c r="H58" s="419"/>
      <c r="I58" s="419"/>
      <c r="J58" s="419"/>
      <c r="K58" s="243"/>
      <c r="L58" s="243"/>
      <c r="M58" s="243"/>
      <c r="N58" s="243"/>
    </row>
    <row r="59" spans="4:11" ht="12.75">
      <c r="D59" s="334"/>
      <c r="E59" s="342"/>
      <c r="F59" s="353"/>
      <c r="G59" s="354"/>
      <c r="H59" s="419"/>
      <c r="I59" s="421"/>
      <c r="J59" s="419"/>
      <c r="K59" s="243"/>
    </row>
    <row r="60" spans="4:11" ht="12.75">
      <c r="D60" s="243"/>
      <c r="E60" s="243"/>
      <c r="F60" s="243"/>
      <c r="G60" s="243"/>
      <c r="H60" s="420"/>
      <c r="I60" s="422"/>
      <c r="J60" s="420"/>
      <c r="K60" s="243"/>
    </row>
    <row r="61" spans="4:11" ht="12.75">
      <c r="D61" s="243"/>
      <c r="E61" s="243"/>
      <c r="F61" s="243"/>
      <c r="G61" s="243"/>
      <c r="H61" s="420"/>
      <c r="I61" s="420"/>
      <c r="J61" s="420"/>
      <c r="K61" s="243"/>
    </row>
    <row r="62" spans="8:10" ht="12.75">
      <c r="H62" s="423"/>
      <c r="I62" s="423"/>
      <c r="J62" s="423"/>
    </row>
    <row r="63" spans="8:10" ht="12.75">
      <c r="H63" s="423"/>
      <c r="I63" s="423"/>
      <c r="J63" s="423"/>
    </row>
    <row r="64" spans="8:10" ht="12.75">
      <c r="H64" s="423"/>
      <c r="I64" s="423"/>
      <c r="J64" s="423"/>
    </row>
    <row r="65" spans="8:10" ht="12.75">
      <c r="H65" s="423"/>
      <c r="I65" s="423"/>
      <c r="J65" s="423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0"/>
  <sheetViews>
    <sheetView zoomScalePageLayoutView="0" workbookViewId="0" topLeftCell="A1">
      <pane xSplit="2" ySplit="8" topLeftCell="H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50" sqref="Q50"/>
    </sheetView>
  </sheetViews>
  <sheetFormatPr defaultColWidth="9.140625" defaultRowHeight="15"/>
  <cols>
    <col min="1" max="1" width="4.7109375" style="4" customWidth="1"/>
    <col min="2" max="2" width="64.57421875" style="4" bestFit="1" customWidth="1"/>
    <col min="3" max="5" width="13.7109375" style="3" customWidth="1"/>
    <col min="6" max="6" width="6.140625" style="25" customWidth="1"/>
    <col min="7" max="7" width="13.7109375" style="3" customWidth="1"/>
    <col min="8" max="8" width="9.140625" style="3" customWidth="1"/>
    <col min="9" max="11" width="11.7109375" style="3" customWidth="1"/>
    <col min="12" max="16384" width="9.140625" style="3" customWidth="1"/>
  </cols>
  <sheetData>
    <row r="1" spans="1:6" s="4" customFormat="1" ht="12.75">
      <c r="A1" s="4" t="str">
        <f>+'KSM-NCS-3 p1 Test Year Results'!A1</f>
        <v>NW Natural</v>
      </c>
      <c r="C1" s="25"/>
      <c r="D1" s="25"/>
      <c r="E1" s="4" t="s">
        <v>566</v>
      </c>
      <c r="F1" s="25"/>
    </row>
    <row r="2" spans="1:7" s="4" customFormat="1" ht="12.75">
      <c r="A2" s="4" t="str">
        <f>+'KSM-NCS-3 p1 Test Year Results'!A2</f>
        <v>Washington Rate Case</v>
      </c>
      <c r="C2" s="25"/>
      <c r="D2" s="25"/>
      <c r="E2" s="25"/>
      <c r="F2" s="25"/>
      <c r="G2" s="88"/>
    </row>
    <row r="3" spans="1:7" s="4" customFormat="1" ht="12.75">
      <c r="A3" s="4" t="str">
        <f>+'KSM-NCS-3 p1 Test Year Results'!A3</f>
        <v>Test Year Based on Twelve Months Ended September 30, 2007</v>
      </c>
      <c r="C3" s="25"/>
      <c r="D3" s="25"/>
      <c r="E3" s="39"/>
      <c r="F3" s="25"/>
      <c r="G3" s="249"/>
    </row>
    <row r="4" spans="1:7" s="4" customFormat="1" ht="12.75">
      <c r="A4" s="272" t="s">
        <v>553</v>
      </c>
      <c r="C4" s="25"/>
      <c r="D4" s="25"/>
      <c r="E4" s="198"/>
      <c r="F4" s="25"/>
      <c r="G4" s="249"/>
    </row>
    <row r="5" spans="3:7" s="4" customFormat="1" ht="12.75">
      <c r="C5" s="25"/>
      <c r="D5" s="25"/>
      <c r="E5" s="25"/>
      <c r="F5" s="25"/>
      <c r="G5" s="249"/>
    </row>
    <row r="6" spans="3:7" s="4" customFormat="1" ht="12.75">
      <c r="C6" s="25"/>
      <c r="D6" s="25"/>
      <c r="E6" s="25"/>
      <c r="F6" s="25"/>
      <c r="G6" s="249"/>
    </row>
    <row r="7" spans="1:7" s="4" customFormat="1" ht="12.75">
      <c r="A7" s="25" t="s">
        <v>20</v>
      </c>
      <c r="C7" s="25"/>
      <c r="D7" s="25"/>
      <c r="E7" s="25"/>
      <c r="F7" s="25"/>
      <c r="G7" s="249"/>
    </row>
    <row r="8" spans="1:7" s="4" customFormat="1" ht="12.75">
      <c r="A8" s="26" t="s">
        <v>554</v>
      </c>
      <c r="C8" s="26" t="s">
        <v>76</v>
      </c>
      <c r="D8" s="26" t="s">
        <v>55</v>
      </c>
      <c r="E8" s="26" t="s">
        <v>32</v>
      </c>
      <c r="F8" s="25"/>
      <c r="G8" s="249"/>
    </row>
    <row r="9" spans="3:7" s="4" customFormat="1" ht="12.75">
      <c r="C9" s="25" t="s">
        <v>64</v>
      </c>
      <c r="D9" s="25" t="s">
        <v>65</v>
      </c>
      <c r="E9" s="25" t="s">
        <v>66</v>
      </c>
      <c r="F9" s="25"/>
      <c r="G9" s="249"/>
    </row>
    <row r="10" spans="2:7" ht="12.75">
      <c r="B10" s="4" t="s">
        <v>555</v>
      </c>
      <c r="C10" s="16"/>
      <c r="D10" s="16"/>
      <c r="E10" s="16"/>
      <c r="G10" s="249"/>
    </row>
    <row r="11" spans="1:7" ht="12.75">
      <c r="A11" s="25">
        <v>1</v>
      </c>
      <c r="B11" s="250" t="s">
        <v>561</v>
      </c>
      <c r="C11" s="252">
        <v>-122113.42</v>
      </c>
      <c r="D11" s="251">
        <v>0</v>
      </c>
      <c r="E11" s="252">
        <f>+D11-C11</f>
        <v>122113.42</v>
      </c>
      <c r="G11" s="249"/>
    </row>
    <row r="12" spans="1:7" ht="12.75">
      <c r="A12" s="25">
        <f>+A11+1</f>
        <v>2</v>
      </c>
      <c r="B12" s="250" t="s">
        <v>562</v>
      </c>
      <c r="C12" s="267">
        <v>761.32</v>
      </c>
      <c r="D12" s="255">
        <v>0</v>
      </c>
      <c r="E12" s="379">
        <f>+D12-C12</f>
        <v>-761.32</v>
      </c>
      <c r="G12" s="249"/>
    </row>
    <row r="13" spans="1:7" ht="12.75">
      <c r="A13" s="25"/>
      <c r="B13" s="88" t="s">
        <v>159</v>
      </c>
      <c r="C13" s="253"/>
      <c r="D13" s="253"/>
      <c r="E13" s="253"/>
      <c r="G13" s="4"/>
    </row>
    <row r="14" spans="1:11" ht="12.75">
      <c r="A14" s="25">
        <f>+A12+1</f>
        <v>3</v>
      </c>
      <c r="B14" s="256" t="s">
        <v>556</v>
      </c>
      <c r="C14" s="255">
        <f>SUM(C11:C12)</f>
        <v>-121352.09999999999</v>
      </c>
      <c r="D14" s="255">
        <f>SUM(D11:D12)</f>
        <v>0</v>
      </c>
      <c r="E14" s="255">
        <f>SUM(E11:E12)</f>
        <v>121352.09999999999</v>
      </c>
      <c r="H14" s="23"/>
      <c r="J14" s="23"/>
      <c r="K14" s="23"/>
    </row>
    <row r="15" spans="1:11" ht="12.75">
      <c r="A15" s="25"/>
      <c r="B15" s="256"/>
      <c r="C15" s="263"/>
      <c r="D15" s="263"/>
      <c r="E15" s="263"/>
      <c r="H15" s="23"/>
      <c r="I15" s="16" t="s">
        <v>563</v>
      </c>
      <c r="J15" s="16" t="s">
        <v>563</v>
      </c>
      <c r="K15" s="16" t="s">
        <v>563</v>
      </c>
    </row>
    <row r="16" spans="1:19" ht="12.75">
      <c r="A16" s="25"/>
      <c r="B16" s="4" t="s">
        <v>159</v>
      </c>
      <c r="C16" s="254"/>
      <c r="D16" s="254"/>
      <c r="E16" s="254"/>
      <c r="G16" s="4"/>
      <c r="I16" s="257">
        <v>2007</v>
      </c>
      <c r="J16" s="257">
        <v>2006</v>
      </c>
      <c r="K16" s="257">
        <v>2005</v>
      </c>
      <c r="L16" s="268"/>
      <c r="M16" s="268"/>
      <c r="N16" s="268"/>
      <c r="O16" s="268"/>
      <c r="P16" s="268"/>
      <c r="Q16" s="30"/>
      <c r="R16" s="30"/>
      <c r="S16" s="30"/>
    </row>
    <row r="17" spans="1:19" ht="12.75">
      <c r="A17" s="25"/>
      <c r="B17" s="4" t="s">
        <v>557</v>
      </c>
      <c r="C17" s="254"/>
      <c r="D17" s="254"/>
      <c r="E17" s="254"/>
      <c r="G17" s="4"/>
      <c r="H17" s="258" t="s">
        <v>558</v>
      </c>
      <c r="I17" s="258"/>
      <c r="J17" s="258"/>
      <c r="K17" s="258"/>
      <c r="L17" s="269"/>
      <c r="M17" s="30"/>
      <c r="N17" s="30"/>
      <c r="O17" s="30"/>
      <c r="P17" s="30"/>
      <c r="Q17" s="30"/>
      <c r="R17" s="30"/>
      <c r="S17" s="30"/>
    </row>
    <row r="18" spans="1:19" ht="12.75">
      <c r="A18" s="25">
        <f>+A14+1</f>
        <v>4</v>
      </c>
      <c r="B18" s="259" t="s">
        <v>460</v>
      </c>
      <c r="C18" s="260">
        <f>+'KSM-NCS-3 p9 Other Rev&amp;Tax'!E10</f>
        <v>62445</v>
      </c>
      <c r="D18" s="254">
        <f>+H18</f>
        <v>49981.666666666664</v>
      </c>
      <c r="E18" s="254">
        <f aca="true" t="shared" si="0" ref="E18:E25">+D18-C18</f>
        <v>-12463.333333333336</v>
      </c>
      <c r="F18" s="261" t="s">
        <v>559</v>
      </c>
      <c r="H18" s="262">
        <f aca="true" t="shared" si="1" ref="H18:H25">AVERAGE(I18:K18)</f>
        <v>49981.666666666664</v>
      </c>
      <c r="I18" s="262">
        <f aca="true" t="shared" si="2" ref="I18:I25">+C18</f>
        <v>62445</v>
      </c>
      <c r="J18" s="271">
        <v>37775</v>
      </c>
      <c r="K18" s="41">
        <v>49725</v>
      </c>
      <c r="L18" s="130"/>
      <c r="M18" s="30"/>
      <c r="N18" s="30"/>
      <c r="O18" s="30"/>
      <c r="P18" s="30"/>
      <c r="Q18" s="270"/>
      <c r="R18" s="30"/>
      <c r="S18" s="30"/>
    </row>
    <row r="19" spans="1:19" ht="12.75">
      <c r="A19" s="25">
        <f aca="true" t="shared" si="3" ref="A19:A25">+A18+1</f>
        <v>5</v>
      </c>
      <c r="B19" s="259" t="s">
        <v>461</v>
      </c>
      <c r="C19" s="260">
        <f>+'KSM-NCS-3 p9 Other Rev&amp;Tax'!E11</f>
        <v>149646.8</v>
      </c>
      <c r="D19" s="254">
        <f>+C19</f>
        <v>149646.8</v>
      </c>
      <c r="E19" s="254">
        <f t="shared" si="0"/>
        <v>0</v>
      </c>
      <c r="F19" s="261"/>
      <c r="H19" s="262">
        <f t="shared" si="1"/>
        <v>128658.59999999999</v>
      </c>
      <c r="I19" s="262">
        <f t="shared" si="2"/>
        <v>149646.8</v>
      </c>
      <c r="J19" s="271">
        <v>128840.5</v>
      </c>
      <c r="K19" s="41">
        <v>107488.5</v>
      </c>
      <c r="L19" s="130"/>
      <c r="M19" s="30"/>
      <c r="N19" s="30"/>
      <c r="O19" s="30"/>
      <c r="P19" s="30"/>
      <c r="Q19" s="270"/>
      <c r="R19" s="30"/>
      <c r="S19" s="30"/>
    </row>
    <row r="20" spans="1:19" ht="12.75">
      <c r="A20" s="25">
        <f t="shared" si="3"/>
        <v>6</v>
      </c>
      <c r="B20" s="259" t="s">
        <v>462</v>
      </c>
      <c r="C20" s="260">
        <f>+'KSM-NCS-3 p9 Other Rev&amp;Tax'!E12</f>
        <v>24735</v>
      </c>
      <c r="D20" s="254">
        <f>+H20</f>
        <v>24698.333333333332</v>
      </c>
      <c r="E20" s="254">
        <f t="shared" si="0"/>
        <v>-36.66666666666788</v>
      </c>
      <c r="F20" s="261" t="s">
        <v>559</v>
      </c>
      <c r="H20" s="262">
        <f t="shared" si="1"/>
        <v>24698.333333333332</v>
      </c>
      <c r="I20" s="262">
        <f t="shared" si="2"/>
        <v>24735</v>
      </c>
      <c r="J20" s="271">
        <v>23827.5</v>
      </c>
      <c r="K20" s="41">
        <v>25532.5</v>
      </c>
      <c r="L20" s="130"/>
      <c r="M20" s="30"/>
      <c r="N20" s="30"/>
      <c r="O20" s="30"/>
      <c r="P20" s="30"/>
      <c r="Q20" s="270"/>
      <c r="R20" s="30"/>
      <c r="S20" s="30"/>
    </row>
    <row r="21" spans="1:19" ht="12.75">
      <c r="A21" s="25">
        <f t="shared" si="3"/>
        <v>7</v>
      </c>
      <c r="B21" s="259" t="s">
        <v>564</v>
      </c>
      <c r="C21" s="260">
        <f>+'KSM-NCS-3 p9 Other Rev&amp;Tax'!E13</f>
        <v>16350</v>
      </c>
      <c r="D21" s="254">
        <f>+H21</f>
        <v>13470</v>
      </c>
      <c r="E21" s="254">
        <f t="shared" si="0"/>
        <v>-2880</v>
      </c>
      <c r="F21" s="261" t="s">
        <v>559</v>
      </c>
      <c r="H21" s="262">
        <f t="shared" si="1"/>
        <v>13470</v>
      </c>
      <c r="I21" s="262">
        <f t="shared" si="2"/>
        <v>16350</v>
      </c>
      <c r="J21" s="271">
        <v>12255</v>
      </c>
      <c r="K21" s="41">
        <v>11805</v>
      </c>
      <c r="L21" s="130"/>
      <c r="M21" s="30"/>
      <c r="N21" s="30"/>
      <c r="O21" s="30"/>
      <c r="P21" s="30"/>
      <c r="Q21" s="270"/>
      <c r="R21" s="30"/>
      <c r="S21" s="30"/>
    </row>
    <row r="22" spans="1:19" ht="12.75">
      <c r="A22" s="25">
        <f t="shared" si="3"/>
        <v>8</v>
      </c>
      <c r="B22" s="259" t="s">
        <v>464</v>
      </c>
      <c r="C22" s="260">
        <f>+'KSM-NCS-3 p9 Other Rev&amp;Tax'!E14</f>
        <v>33750</v>
      </c>
      <c r="D22" s="254">
        <f>+H22</f>
        <v>32955</v>
      </c>
      <c r="E22" s="254">
        <f t="shared" si="0"/>
        <v>-795</v>
      </c>
      <c r="F22" s="261" t="s">
        <v>559</v>
      </c>
      <c r="H22" s="262">
        <f t="shared" si="1"/>
        <v>32955</v>
      </c>
      <c r="I22" s="262">
        <f t="shared" si="2"/>
        <v>33750</v>
      </c>
      <c r="J22" s="271">
        <v>26820</v>
      </c>
      <c r="K22" s="41">
        <v>38295</v>
      </c>
      <c r="L22" s="130"/>
      <c r="M22" s="30"/>
      <c r="N22" s="30"/>
      <c r="O22" s="30"/>
      <c r="P22" s="30"/>
      <c r="Q22" s="270"/>
      <c r="R22" s="30"/>
      <c r="S22" s="30"/>
    </row>
    <row r="23" spans="1:19" ht="12.75">
      <c r="A23" s="25">
        <f t="shared" si="3"/>
        <v>9</v>
      </c>
      <c r="B23" s="259" t="s">
        <v>465</v>
      </c>
      <c r="C23" s="260">
        <f>+'KSM-NCS-3 p9 Other Rev&amp;Tax'!E15</f>
        <v>20259.33</v>
      </c>
      <c r="D23" s="254">
        <f>+H23</f>
        <v>21278.72</v>
      </c>
      <c r="E23" s="254">
        <f>+D23-C23</f>
        <v>1019.3899999999994</v>
      </c>
      <c r="F23" s="261" t="s">
        <v>559</v>
      </c>
      <c r="H23" s="262">
        <f>AVERAGE(I23:K23)</f>
        <v>21278.72</v>
      </c>
      <c r="I23" s="262">
        <f>+C23</f>
        <v>20259.33</v>
      </c>
      <c r="J23" s="271">
        <v>21473.49</v>
      </c>
      <c r="K23" s="41">
        <v>22103.34</v>
      </c>
      <c r="L23" s="130"/>
      <c r="M23" s="30"/>
      <c r="N23" s="30"/>
      <c r="O23" s="30"/>
      <c r="P23" s="30"/>
      <c r="Q23" s="270"/>
      <c r="R23" s="30"/>
      <c r="S23" s="30"/>
    </row>
    <row r="24" spans="1:19" ht="12.75">
      <c r="A24" s="25">
        <f t="shared" si="3"/>
        <v>10</v>
      </c>
      <c r="B24" s="259" t="s">
        <v>466</v>
      </c>
      <c r="C24" s="260">
        <f>+'KSM-NCS-3 p9 Other Rev&amp;Tax'!E16</f>
        <v>31749.95000000001</v>
      </c>
      <c r="D24" s="254">
        <f>+H24</f>
        <v>24875.906666666666</v>
      </c>
      <c r="E24" s="254">
        <f t="shared" si="0"/>
        <v>-6874.043333333346</v>
      </c>
      <c r="F24" s="261" t="s">
        <v>559</v>
      </c>
      <c r="H24" s="262">
        <f t="shared" si="1"/>
        <v>24875.906666666666</v>
      </c>
      <c r="I24" s="262">
        <f t="shared" si="2"/>
        <v>31749.95000000001</v>
      </c>
      <c r="J24" s="271">
        <v>21602.2</v>
      </c>
      <c r="K24" s="41">
        <v>21275.57</v>
      </c>
      <c r="L24" s="130"/>
      <c r="M24" s="30"/>
      <c r="N24" s="30"/>
      <c r="O24" s="30"/>
      <c r="P24" s="30"/>
      <c r="Q24" s="270"/>
      <c r="R24" s="30"/>
      <c r="S24" s="30"/>
    </row>
    <row r="25" spans="1:19" ht="12.75">
      <c r="A25" s="25">
        <f t="shared" si="3"/>
        <v>11</v>
      </c>
      <c r="B25" s="259" t="s">
        <v>565</v>
      </c>
      <c r="C25" s="264">
        <f>+'KSM-NCS-3 p9 Other Rev&amp;Tax'!E18-'KSM-NCS-4 p7 Misc Rev Adjs'!C14</f>
        <v>1039.9899999999907</v>
      </c>
      <c r="D25" s="255">
        <v>0</v>
      </c>
      <c r="E25" s="255">
        <f t="shared" si="0"/>
        <v>-1039.9899999999907</v>
      </c>
      <c r="F25" s="261"/>
      <c r="G25" s="4"/>
      <c r="H25" s="262">
        <f t="shared" si="1"/>
        <v>-6414.080000000003</v>
      </c>
      <c r="I25" s="262">
        <f t="shared" si="2"/>
        <v>1039.9899999999907</v>
      </c>
      <c r="J25" s="271">
        <v>-23257.13</v>
      </c>
      <c r="K25" s="41">
        <v>2974.9</v>
      </c>
      <c r="L25" s="130"/>
      <c r="M25" s="30"/>
      <c r="N25" s="30"/>
      <c r="O25" s="30"/>
      <c r="P25" s="30"/>
      <c r="Q25" s="270"/>
      <c r="R25" s="30"/>
      <c r="S25" s="30"/>
    </row>
    <row r="26" spans="2:19" ht="12.75">
      <c r="B26" s="4" t="s">
        <v>159</v>
      </c>
      <c r="C26" s="253"/>
      <c r="D26" s="253"/>
      <c r="E26" s="253"/>
      <c r="G26" s="4"/>
      <c r="L26" s="30"/>
      <c r="M26" s="30"/>
      <c r="N26" s="30"/>
      <c r="O26" s="30"/>
      <c r="P26" s="30"/>
      <c r="Q26" s="30"/>
      <c r="R26" s="30"/>
      <c r="S26" s="30"/>
    </row>
    <row r="27" spans="1:19" ht="12.75">
      <c r="A27" s="25">
        <f>+A25+1</f>
        <v>12</v>
      </c>
      <c r="B27" s="256" t="s">
        <v>556</v>
      </c>
      <c r="C27" s="255">
        <f>SUM(C18:C26)</f>
        <v>339976.07</v>
      </c>
      <c r="D27" s="255">
        <f>SUM(D18:D26)</f>
        <v>316906.4266666667</v>
      </c>
      <c r="E27" s="255">
        <f>SUM(E18:E26)</f>
        <v>-23069.64333333334</v>
      </c>
      <c r="G27" s="4"/>
      <c r="I27" s="255">
        <f>SUM(I18:I25)</f>
        <v>339976.07</v>
      </c>
      <c r="J27" s="255">
        <f>SUM(J18:J25)</f>
        <v>249336.56</v>
      </c>
      <c r="K27" s="255">
        <f>SUM(K18:K25)</f>
        <v>279199.81</v>
      </c>
      <c r="L27" s="263"/>
      <c r="M27" s="263"/>
      <c r="N27" s="263"/>
      <c r="O27" s="263"/>
      <c r="P27" s="263"/>
      <c r="Q27" s="30"/>
      <c r="R27" s="30"/>
      <c r="S27" s="30"/>
    </row>
    <row r="28" spans="1:12" ht="12.75">
      <c r="A28" s="25"/>
      <c r="C28" s="254"/>
      <c r="D28" s="254"/>
      <c r="E28" s="254"/>
      <c r="L28" s="265"/>
    </row>
    <row r="29" spans="1:11" ht="13.5" thickBot="1">
      <c r="A29" s="25">
        <f>+A27+1</f>
        <v>13</v>
      </c>
      <c r="B29" s="256" t="s">
        <v>75</v>
      </c>
      <c r="C29" s="266">
        <f>C27+C14</f>
        <v>218623.97000000003</v>
      </c>
      <c r="D29" s="266">
        <f>D27+D14</f>
        <v>316906.4266666667</v>
      </c>
      <c r="E29" s="266">
        <f>E27+E14</f>
        <v>98282.45666666665</v>
      </c>
      <c r="H29" s="23"/>
      <c r="I29" s="23"/>
      <c r="J29" s="23"/>
      <c r="K29" s="23"/>
    </row>
    <row r="30" spans="3:5" ht="13.5" thickTop="1">
      <c r="C30" s="15"/>
      <c r="D30" s="15"/>
      <c r="E30" s="15"/>
    </row>
    <row r="31" spans="1:5" ht="12.75">
      <c r="A31" s="4" t="s">
        <v>560</v>
      </c>
      <c r="C31" s="15"/>
      <c r="D31" s="15"/>
      <c r="E31" s="15"/>
    </row>
    <row r="32" spans="3:5" ht="12.75">
      <c r="C32" s="15"/>
      <c r="D32" s="15"/>
      <c r="E32" s="15"/>
    </row>
    <row r="33" spans="3:5" ht="12.75">
      <c r="C33" s="15"/>
      <c r="D33" s="15"/>
      <c r="E33" s="15"/>
    </row>
    <row r="34" spans="3:5" ht="12.75">
      <c r="C34" s="15"/>
      <c r="D34" s="15"/>
      <c r="E34" s="15"/>
    </row>
    <row r="35" spans="3:5" ht="12.75">
      <c r="C35" s="15"/>
      <c r="D35" s="15"/>
      <c r="E35" s="15"/>
    </row>
    <row r="36" spans="3:5" ht="12.75">
      <c r="C36" s="15"/>
      <c r="D36" s="15"/>
      <c r="E36" s="15"/>
    </row>
    <row r="37" spans="3:5" ht="12.75">
      <c r="C37" s="15"/>
      <c r="D37" s="15"/>
      <c r="E37" s="15"/>
    </row>
    <row r="38" spans="3:5" ht="12.75">
      <c r="C38" s="15"/>
      <c r="D38" s="15"/>
      <c r="E38" s="15"/>
    </row>
    <row r="39" spans="3:5" ht="12.75">
      <c r="C39" s="15"/>
      <c r="D39" s="15"/>
      <c r="E39" s="15"/>
    </row>
    <row r="40" spans="3:5" ht="12.75">
      <c r="C40" s="15"/>
      <c r="D40" s="15"/>
      <c r="E40" s="15"/>
    </row>
    <row r="41" spans="3:5" ht="12.75">
      <c r="C41" s="15"/>
      <c r="D41" s="15"/>
      <c r="E41" s="15"/>
    </row>
    <row r="42" spans="3:5" ht="12.75">
      <c r="C42" s="15"/>
      <c r="D42" s="15"/>
      <c r="E42" s="15"/>
    </row>
    <row r="43" spans="3:5" ht="12.75">
      <c r="C43" s="15"/>
      <c r="D43" s="15"/>
      <c r="E43" s="15"/>
    </row>
    <row r="44" spans="3:5" ht="12.75">
      <c r="C44" s="15"/>
      <c r="D44" s="15"/>
      <c r="E44" s="15"/>
    </row>
    <row r="45" spans="3:5" ht="12.75">
      <c r="C45" s="15"/>
      <c r="D45" s="15"/>
      <c r="E45" s="15"/>
    </row>
    <row r="46" spans="3:5" ht="12.75">
      <c r="C46" s="15"/>
      <c r="D46" s="15"/>
      <c r="E46" s="15"/>
    </row>
    <row r="47" spans="3:5" ht="12.75">
      <c r="C47" s="15"/>
      <c r="D47" s="15"/>
      <c r="E47" s="15"/>
    </row>
    <row r="48" spans="3:5" ht="12.75">
      <c r="C48" s="15"/>
      <c r="D48" s="15"/>
      <c r="E48" s="15"/>
    </row>
    <row r="49" spans="3:5" ht="12.75">
      <c r="C49" s="15"/>
      <c r="D49" s="15"/>
      <c r="E49" s="15"/>
    </row>
    <row r="50" spans="3:5" ht="12.75">
      <c r="C50" s="15"/>
      <c r="D50" s="15"/>
      <c r="E50" s="15"/>
    </row>
    <row r="51" spans="3:5" ht="12.75">
      <c r="C51" s="15"/>
      <c r="D51" s="15"/>
      <c r="E51" s="15"/>
    </row>
    <row r="52" spans="3:5" ht="12.75">
      <c r="C52" s="15"/>
      <c r="D52" s="15"/>
      <c r="E52" s="15"/>
    </row>
    <row r="53" spans="3:5" ht="12.75">
      <c r="C53" s="15"/>
      <c r="D53" s="15"/>
      <c r="E53" s="15"/>
    </row>
    <row r="54" spans="3:5" ht="12.75">
      <c r="C54" s="15"/>
      <c r="D54" s="15"/>
      <c r="E54" s="15"/>
    </row>
    <row r="55" spans="3:5" ht="12.75">
      <c r="C55" s="15"/>
      <c r="D55" s="15"/>
      <c r="E55" s="15"/>
    </row>
    <row r="56" spans="3:5" ht="12.75">
      <c r="C56" s="15"/>
      <c r="D56" s="15"/>
      <c r="E56" s="15"/>
    </row>
    <row r="57" spans="3:5" ht="12.75">
      <c r="C57" s="15"/>
      <c r="D57" s="15"/>
      <c r="E57" s="15"/>
    </row>
    <row r="58" spans="3:5" ht="12.75">
      <c r="C58" s="15"/>
      <c r="D58" s="15"/>
      <c r="E58" s="15"/>
    </row>
    <row r="59" spans="3:5" ht="12.75">
      <c r="C59" s="15"/>
      <c r="D59" s="15"/>
      <c r="E59" s="15"/>
    </row>
    <row r="60" spans="3:5" ht="12.75">
      <c r="C60" s="15"/>
      <c r="D60" s="15"/>
      <c r="E60" s="15"/>
    </row>
    <row r="61" spans="3:5" ht="12.75">
      <c r="C61" s="15"/>
      <c r="D61" s="15"/>
      <c r="E61" s="15"/>
    </row>
    <row r="62" spans="3:5" ht="12.75">
      <c r="C62" s="15"/>
      <c r="D62" s="15"/>
      <c r="E62" s="15"/>
    </row>
    <row r="63" spans="3:5" ht="12.75">
      <c r="C63" s="15"/>
      <c r="D63" s="15"/>
      <c r="E63" s="15"/>
    </row>
    <row r="64" spans="3:5" ht="12.75">
      <c r="C64" s="15"/>
      <c r="D64" s="15"/>
      <c r="E64" s="15"/>
    </row>
    <row r="65" spans="3:5" ht="12.75">
      <c r="C65" s="15"/>
      <c r="D65" s="15"/>
      <c r="E65" s="15"/>
    </row>
    <row r="66" spans="3:5" ht="12.75">
      <c r="C66" s="15"/>
      <c r="D66" s="15"/>
      <c r="E66" s="15"/>
    </row>
    <row r="67" spans="3:5" ht="12.75">
      <c r="C67" s="15"/>
      <c r="D67" s="15"/>
      <c r="E67" s="15"/>
    </row>
    <row r="68" spans="3:5" ht="12.75">
      <c r="C68" s="15"/>
      <c r="D68" s="15"/>
      <c r="E68" s="15"/>
    </row>
    <row r="69" spans="3:5" ht="12.75">
      <c r="C69" s="15"/>
      <c r="D69" s="15"/>
      <c r="E69" s="15"/>
    </row>
    <row r="70" spans="3:5" ht="12.75">
      <c r="C70" s="15"/>
      <c r="D70" s="15"/>
      <c r="E70" s="15"/>
    </row>
    <row r="71" spans="3:5" ht="12.75">
      <c r="C71" s="15"/>
      <c r="D71" s="15"/>
      <c r="E71" s="15"/>
    </row>
    <row r="72" spans="3:5" ht="12.75">
      <c r="C72" s="15"/>
      <c r="D72" s="15"/>
      <c r="E72" s="15"/>
    </row>
    <row r="73" spans="3:5" ht="12.75">
      <c r="C73" s="15"/>
      <c r="D73" s="15"/>
      <c r="E73" s="15"/>
    </row>
    <row r="74" spans="3:5" ht="12.75">
      <c r="C74" s="15"/>
      <c r="D74" s="15"/>
      <c r="E74" s="15"/>
    </row>
    <row r="75" spans="3:5" ht="12.75">
      <c r="C75" s="15"/>
      <c r="D75" s="15"/>
      <c r="E75" s="15"/>
    </row>
    <row r="76" spans="3:5" ht="12.75">
      <c r="C76" s="15"/>
      <c r="D76" s="15"/>
      <c r="E76" s="15"/>
    </row>
    <row r="77" spans="3:5" ht="12.75">
      <c r="C77" s="15"/>
      <c r="D77" s="15"/>
      <c r="E77" s="15"/>
    </row>
    <row r="78" spans="3:5" ht="12.75">
      <c r="C78" s="15"/>
      <c r="D78" s="15"/>
      <c r="E78" s="15"/>
    </row>
    <row r="79" spans="3:5" ht="12.75">
      <c r="C79" s="15"/>
      <c r="D79" s="15"/>
      <c r="E79" s="15"/>
    </row>
    <row r="80" spans="3:5" ht="12.75">
      <c r="C80" s="15"/>
      <c r="D80" s="15"/>
      <c r="E80" s="15"/>
    </row>
    <row r="81" spans="3:5" ht="12.75">
      <c r="C81" s="15"/>
      <c r="D81" s="15"/>
      <c r="E81" s="15"/>
    </row>
    <row r="82" spans="3:5" ht="12.75">
      <c r="C82" s="15"/>
      <c r="D82" s="15"/>
      <c r="E82" s="15"/>
    </row>
    <row r="83" spans="3:5" ht="12.75">
      <c r="C83" s="15"/>
      <c r="D83" s="15"/>
      <c r="E83" s="15"/>
    </row>
    <row r="84" spans="3:5" ht="12.75">
      <c r="C84" s="15"/>
      <c r="D84" s="15"/>
      <c r="E84" s="15"/>
    </row>
    <row r="85" spans="3:5" ht="12.75">
      <c r="C85" s="15"/>
      <c r="D85" s="15"/>
      <c r="E85" s="15"/>
    </row>
    <row r="86" spans="3:5" ht="12.75">
      <c r="C86" s="15"/>
      <c r="D86" s="15"/>
      <c r="E86" s="15"/>
    </row>
    <row r="87" spans="3:5" ht="12.75">
      <c r="C87" s="15"/>
      <c r="D87" s="15"/>
      <c r="E87" s="15"/>
    </row>
    <row r="88" spans="3:5" ht="12.75">
      <c r="C88" s="15"/>
      <c r="D88" s="15"/>
      <c r="E88" s="15"/>
    </row>
    <row r="89" spans="3:5" ht="12.75">
      <c r="C89" s="15"/>
      <c r="D89" s="15"/>
      <c r="E89" s="15"/>
    </row>
    <row r="90" spans="3:5" ht="12.75">
      <c r="C90" s="15"/>
      <c r="D90" s="15"/>
      <c r="E90" s="15"/>
    </row>
    <row r="91" spans="3:5" ht="12.75">
      <c r="C91" s="15"/>
      <c r="D91" s="15"/>
      <c r="E91" s="15"/>
    </row>
    <row r="92" spans="3:5" ht="12.75">
      <c r="C92" s="15"/>
      <c r="D92" s="15"/>
      <c r="E92" s="15"/>
    </row>
    <row r="93" spans="3:5" ht="12.75">
      <c r="C93" s="15"/>
      <c r="D93" s="15"/>
      <c r="E93" s="15"/>
    </row>
    <row r="94" spans="3:5" ht="12.75">
      <c r="C94" s="15"/>
      <c r="D94" s="15"/>
      <c r="E94" s="15"/>
    </row>
    <row r="95" spans="3:5" ht="12.75">
      <c r="C95" s="15"/>
      <c r="D95" s="15"/>
      <c r="E95" s="15"/>
    </row>
    <row r="96" spans="3:5" ht="12.75">
      <c r="C96" s="15"/>
      <c r="D96" s="15"/>
      <c r="E96" s="15"/>
    </row>
    <row r="97" spans="3:5" ht="12.75">
      <c r="C97" s="15"/>
      <c r="D97" s="15"/>
      <c r="E97" s="15"/>
    </row>
    <row r="98" spans="3:5" ht="12.75">
      <c r="C98" s="15"/>
      <c r="D98" s="15"/>
      <c r="E98" s="15"/>
    </row>
    <row r="99" spans="3:5" ht="12.75">
      <c r="C99" s="15"/>
      <c r="D99" s="15"/>
      <c r="E99" s="15"/>
    </row>
    <row r="100" spans="3:5" ht="12.75">
      <c r="C100" s="15"/>
      <c r="D100" s="15"/>
      <c r="E100" s="15"/>
    </row>
    <row r="101" spans="3:5" ht="12.75">
      <c r="C101" s="15"/>
      <c r="D101" s="15"/>
      <c r="E101" s="15"/>
    </row>
    <row r="102" spans="3:5" ht="12.75">
      <c r="C102" s="15"/>
      <c r="D102" s="15"/>
      <c r="E102" s="15"/>
    </row>
    <row r="103" spans="3:5" ht="12.75">
      <c r="C103" s="15"/>
      <c r="D103" s="15"/>
      <c r="E103" s="15"/>
    </row>
    <row r="104" spans="3:5" ht="12.75">
      <c r="C104" s="15"/>
      <c r="D104" s="15"/>
      <c r="E104" s="15"/>
    </row>
    <row r="105" spans="3:5" ht="12.75">
      <c r="C105" s="15"/>
      <c r="D105" s="15"/>
      <c r="E105" s="15"/>
    </row>
    <row r="106" spans="3:5" ht="12.75">
      <c r="C106" s="15"/>
      <c r="D106" s="15"/>
      <c r="E106" s="15"/>
    </row>
    <row r="107" spans="3:5" ht="12.75">
      <c r="C107" s="15"/>
      <c r="D107" s="15"/>
      <c r="E107" s="15"/>
    </row>
    <row r="108" spans="3:5" ht="12.75">
      <c r="C108" s="15"/>
      <c r="D108" s="15"/>
      <c r="E108" s="15"/>
    </row>
    <row r="109" spans="3:5" ht="12.75">
      <c r="C109" s="15"/>
      <c r="D109" s="15"/>
      <c r="E109" s="15"/>
    </row>
    <row r="110" spans="3:5" ht="12.75">
      <c r="C110" s="15"/>
      <c r="D110" s="15"/>
      <c r="E110" s="15"/>
    </row>
    <row r="111" spans="3:5" ht="12.75">
      <c r="C111" s="15"/>
      <c r="D111" s="15"/>
      <c r="E111" s="15"/>
    </row>
    <row r="112" spans="3:5" ht="12.75">
      <c r="C112" s="15"/>
      <c r="D112" s="15"/>
      <c r="E112" s="15"/>
    </row>
    <row r="113" spans="3:5" ht="12.75">
      <c r="C113" s="15"/>
      <c r="D113" s="15"/>
      <c r="E113" s="15"/>
    </row>
    <row r="114" spans="3:5" ht="12.75">
      <c r="C114" s="15"/>
      <c r="D114" s="15"/>
      <c r="E114" s="15"/>
    </row>
    <row r="115" spans="3:5" ht="12.75">
      <c r="C115" s="15"/>
      <c r="D115" s="15"/>
      <c r="E115" s="15"/>
    </row>
    <row r="116" spans="3:5" ht="12.75">
      <c r="C116" s="15"/>
      <c r="D116" s="15"/>
      <c r="E116" s="15"/>
    </row>
    <row r="117" spans="3:5" ht="12.75">
      <c r="C117" s="15"/>
      <c r="D117" s="15"/>
      <c r="E117" s="15"/>
    </row>
    <row r="118" spans="3:5" ht="12.75">
      <c r="C118" s="15"/>
      <c r="D118" s="15"/>
      <c r="E118" s="15"/>
    </row>
    <row r="119" spans="3:5" ht="12.75">
      <c r="C119" s="15"/>
      <c r="D119" s="15"/>
      <c r="E119" s="15"/>
    </row>
    <row r="120" spans="3:5" ht="12.75">
      <c r="C120" s="15"/>
      <c r="D120" s="15"/>
      <c r="E120" s="15"/>
    </row>
    <row r="121" spans="3:5" ht="12.75">
      <c r="C121" s="15"/>
      <c r="D121" s="15"/>
      <c r="E121" s="15"/>
    </row>
    <row r="122" spans="3:5" ht="12.75">
      <c r="C122" s="15"/>
      <c r="D122" s="15"/>
      <c r="E122" s="15"/>
    </row>
    <row r="123" spans="3:5" ht="12.75">
      <c r="C123" s="15"/>
      <c r="D123" s="15"/>
      <c r="E123" s="15"/>
    </row>
    <row r="124" spans="3:5" ht="12.75">
      <c r="C124" s="15"/>
      <c r="D124" s="15"/>
      <c r="E124" s="15"/>
    </row>
    <row r="125" spans="3:5" ht="12.75">
      <c r="C125" s="15"/>
      <c r="D125" s="15"/>
      <c r="E125" s="15"/>
    </row>
    <row r="126" spans="3:5" ht="12.75">
      <c r="C126" s="15"/>
      <c r="D126" s="15"/>
      <c r="E126" s="15"/>
    </row>
    <row r="127" spans="3:5" ht="12.75">
      <c r="C127" s="15"/>
      <c r="D127" s="15"/>
      <c r="E127" s="15"/>
    </row>
    <row r="128" spans="3:5" ht="12.75">
      <c r="C128" s="15"/>
      <c r="D128" s="15"/>
      <c r="E128" s="15"/>
    </row>
    <row r="129" spans="3:5" ht="12.75">
      <c r="C129" s="15"/>
      <c r="D129" s="15"/>
      <c r="E129" s="15"/>
    </row>
    <row r="130" spans="3:5" ht="12.75">
      <c r="C130" s="15"/>
      <c r="D130" s="15"/>
      <c r="E130" s="15"/>
    </row>
    <row r="131" spans="3:5" ht="12.75">
      <c r="C131" s="15"/>
      <c r="D131" s="15"/>
      <c r="E131" s="15"/>
    </row>
    <row r="132" spans="3:5" ht="12.75">
      <c r="C132" s="15"/>
      <c r="D132" s="15"/>
      <c r="E132" s="15"/>
    </row>
    <row r="133" spans="3:5" ht="12.75">
      <c r="C133" s="15"/>
      <c r="D133" s="15"/>
      <c r="E133" s="15"/>
    </row>
    <row r="134" spans="3:5" ht="12.75">
      <c r="C134" s="15"/>
      <c r="D134" s="15"/>
      <c r="E134" s="15"/>
    </row>
    <row r="135" spans="3:5" ht="12.75">
      <c r="C135" s="15"/>
      <c r="D135" s="15"/>
      <c r="E135" s="15"/>
    </row>
    <row r="136" spans="3:5" ht="12.75">
      <c r="C136" s="15"/>
      <c r="D136" s="15"/>
      <c r="E136" s="15"/>
    </row>
    <row r="137" spans="3:5" ht="12.75">
      <c r="C137" s="15"/>
      <c r="D137" s="15"/>
      <c r="E137" s="15"/>
    </row>
    <row r="138" spans="3:5" ht="12.75">
      <c r="C138" s="15"/>
      <c r="D138" s="15"/>
      <c r="E138" s="15"/>
    </row>
    <row r="139" spans="3:5" ht="12.75">
      <c r="C139" s="15"/>
      <c r="D139" s="15"/>
      <c r="E139" s="15"/>
    </row>
    <row r="140" spans="3:5" ht="12.75">
      <c r="C140" s="15"/>
      <c r="D140" s="15"/>
      <c r="E140" s="15"/>
    </row>
    <row r="141" spans="3:5" ht="12.75">
      <c r="C141" s="15"/>
      <c r="D141" s="15"/>
      <c r="E141" s="15"/>
    </row>
    <row r="142" spans="3:5" ht="12.75">
      <c r="C142" s="15"/>
      <c r="D142" s="15"/>
      <c r="E142" s="15"/>
    </row>
    <row r="143" spans="3:5" ht="12.75">
      <c r="C143" s="15"/>
      <c r="D143" s="15"/>
      <c r="E143" s="15"/>
    </row>
    <row r="144" spans="3:5" ht="12.75">
      <c r="C144" s="15"/>
      <c r="D144" s="15"/>
      <c r="E144" s="15"/>
    </row>
    <row r="145" spans="3:5" ht="12.75">
      <c r="C145" s="15"/>
      <c r="D145" s="15"/>
      <c r="E145" s="15"/>
    </row>
    <row r="146" spans="3:5" ht="12.75">
      <c r="C146" s="15"/>
      <c r="D146" s="15"/>
      <c r="E146" s="15"/>
    </row>
    <row r="147" spans="3:5" ht="12.75">
      <c r="C147" s="15"/>
      <c r="D147" s="15"/>
      <c r="E147" s="15"/>
    </row>
    <row r="148" spans="3:5" ht="12.75">
      <c r="C148" s="15"/>
      <c r="D148" s="15"/>
      <c r="E148" s="15"/>
    </row>
    <row r="149" spans="3:5" ht="12.75">
      <c r="C149" s="15"/>
      <c r="D149" s="15"/>
      <c r="E149" s="15"/>
    </row>
    <row r="150" spans="3:5" ht="12.75">
      <c r="C150" s="15"/>
      <c r="D150" s="15"/>
      <c r="E150" s="15"/>
    </row>
    <row r="151" spans="3:5" ht="12.75">
      <c r="C151" s="15"/>
      <c r="D151" s="15"/>
      <c r="E151" s="15"/>
    </row>
    <row r="152" spans="3:5" ht="12.75">
      <c r="C152" s="15"/>
      <c r="D152" s="15"/>
      <c r="E152" s="15"/>
    </row>
    <row r="153" spans="3:5" ht="12.75">
      <c r="C153" s="15"/>
      <c r="D153" s="15"/>
      <c r="E153" s="15"/>
    </row>
    <row r="154" spans="3:5" ht="12.75">
      <c r="C154" s="15"/>
      <c r="D154" s="15"/>
      <c r="E154" s="15"/>
    </row>
    <row r="155" spans="3:5" ht="12.75">
      <c r="C155" s="15"/>
      <c r="D155" s="15"/>
      <c r="E155" s="15"/>
    </row>
    <row r="156" spans="3:5" ht="12.75">
      <c r="C156" s="15"/>
      <c r="D156" s="15"/>
      <c r="E156" s="15"/>
    </row>
    <row r="157" spans="3:5" ht="12.75">
      <c r="C157" s="15"/>
      <c r="D157" s="15"/>
      <c r="E157" s="15"/>
    </row>
    <row r="158" spans="3:5" ht="12.75">
      <c r="C158" s="15"/>
      <c r="D158" s="15"/>
      <c r="E158" s="15"/>
    </row>
    <row r="159" spans="3:5" ht="12.75">
      <c r="C159" s="15"/>
      <c r="D159" s="15"/>
      <c r="E159" s="15"/>
    </row>
    <row r="160" spans="3:5" ht="12.75">
      <c r="C160" s="15"/>
      <c r="D160" s="15"/>
      <c r="E160" s="15"/>
    </row>
    <row r="161" spans="3:5" ht="12.75">
      <c r="C161" s="15"/>
      <c r="D161" s="15"/>
      <c r="E161" s="15"/>
    </row>
    <row r="162" spans="3:5" ht="12.75">
      <c r="C162" s="15"/>
      <c r="D162" s="15"/>
      <c r="E162" s="15"/>
    </row>
    <row r="163" spans="3:5" ht="12.75">
      <c r="C163" s="15"/>
      <c r="D163" s="15"/>
      <c r="E163" s="15"/>
    </row>
    <row r="164" spans="3:5" ht="12.75">
      <c r="C164" s="15"/>
      <c r="D164" s="15"/>
      <c r="E164" s="15"/>
    </row>
    <row r="165" spans="3:5" ht="12.75">
      <c r="C165" s="15"/>
      <c r="D165" s="15"/>
      <c r="E165" s="15"/>
    </row>
    <row r="166" spans="3:5" ht="12.75">
      <c r="C166" s="15"/>
      <c r="D166" s="15"/>
      <c r="E166" s="15"/>
    </row>
    <row r="167" spans="3:5" ht="12.75">
      <c r="C167" s="15"/>
      <c r="D167" s="15"/>
      <c r="E167" s="15"/>
    </row>
    <row r="168" spans="3:5" ht="12.75">
      <c r="C168" s="15"/>
      <c r="D168" s="15"/>
      <c r="E168" s="15"/>
    </row>
    <row r="169" spans="3:5" ht="12.75">
      <c r="C169" s="15"/>
      <c r="D169" s="15"/>
      <c r="E169" s="15"/>
    </row>
    <row r="170" spans="3:5" ht="12.75">
      <c r="C170" s="15"/>
      <c r="D170" s="15"/>
      <c r="E170" s="15"/>
    </row>
    <row r="171" spans="3:5" ht="12.75">
      <c r="C171" s="15"/>
      <c r="D171" s="15"/>
      <c r="E171" s="15"/>
    </row>
    <row r="172" spans="3:5" ht="12.75">
      <c r="C172" s="15"/>
      <c r="D172" s="15"/>
      <c r="E172" s="15"/>
    </row>
    <row r="173" spans="3:5" ht="12.75">
      <c r="C173" s="15"/>
      <c r="D173" s="15"/>
      <c r="E173" s="15"/>
    </row>
    <row r="174" spans="3:5" ht="12.75">
      <c r="C174" s="15"/>
      <c r="D174" s="15"/>
      <c r="E174" s="15"/>
    </row>
    <row r="175" spans="3:5" ht="12.75">
      <c r="C175" s="15"/>
      <c r="D175" s="15"/>
      <c r="E175" s="15"/>
    </row>
    <row r="176" spans="3:5" ht="12.75">
      <c r="C176" s="15"/>
      <c r="D176" s="15"/>
      <c r="E176" s="15"/>
    </row>
    <row r="177" spans="3:5" ht="12.75">
      <c r="C177" s="15"/>
      <c r="D177" s="15"/>
      <c r="E177" s="15"/>
    </row>
    <row r="178" spans="3:5" ht="12.75">
      <c r="C178" s="15"/>
      <c r="D178" s="15"/>
      <c r="E178" s="15"/>
    </row>
    <row r="179" spans="3:5" ht="12.75">
      <c r="C179" s="15"/>
      <c r="D179" s="15"/>
      <c r="E179" s="15"/>
    </row>
    <row r="180" spans="3:5" ht="12.75">
      <c r="C180" s="15"/>
      <c r="D180" s="15"/>
      <c r="E180" s="15"/>
    </row>
    <row r="181" spans="3:5" ht="12.75">
      <c r="C181" s="15"/>
      <c r="D181" s="15"/>
      <c r="E181" s="15"/>
    </row>
    <row r="182" spans="3:5" ht="12.75">
      <c r="C182" s="15"/>
      <c r="D182" s="15"/>
      <c r="E182" s="15"/>
    </row>
    <row r="183" spans="3:5" ht="12.75">
      <c r="C183" s="15"/>
      <c r="D183" s="15"/>
      <c r="E183" s="15"/>
    </row>
    <row r="184" spans="3:5" ht="12.75">
      <c r="C184" s="15"/>
      <c r="D184" s="15"/>
      <c r="E184" s="15"/>
    </row>
    <row r="185" spans="3:5" ht="12.75">
      <c r="C185" s="15"/>
      <c r="D185" s="15"/>
      <c r="E185" s="15"/>
    </row>
    <row r="186" spans="3:5" ht="12.75">
      <c r="C186" s="15"/>
      <c r="D186" s="15"/>
      <c r="E186" s="15"/>
    </row>
    <row r="187" spans="3:5" ht="12.75">
      <c r="C187" s="15"/>
      <c r="D187" s="15"/>
      <c r="E187" s="15"/>
    </row>
    <row r="188" spans="3:5" ht="12.75">
      <c r="C188" s="15"/>
      <c r="D188" s="15"/>
      <c r="E188" s="15"/>
    </row>
    <row r="189" spans="3:5" ht="12.75">
      <c r="C189" s="15"/>
      <c r="D189" s="15"/>
      <c r="E189" s="15"/>
    </row>
    <row r="190" spans="3:5" ht="12.75">
      <c r="C190" s="15"/>
      <c r="D190" s="15"/>
      <c r="E190" s="15"/>
    </row>
    <row r="191" spans="3:5" ht="12.75">
      <c r="C191" s="15"/>
      <c r="D191" s="15"/>
      <c r="E191" s="15"/>
    </row>
    <row r="192" spans="3:5" ht="12.75">
      <c r="C192" s="15"/>
      <c r="D192" s="15"/>
      <c r="E192" s="15"/>
    </row>
    <row r="193" spans="3:5" ht="12.75">
      <c r="C193" s="15"/>
      <c r="D193" s="15"/>
      <c r="E193" s="15"/>
    </row>
    <row r="194" spans="3:5" ht="12.75">
      <c r="C194" s="15"/>
      <c r="D194" s="15"/>
      <c r="E194" s="15"/>
    </row>
    <row r="195" spans="3:5" ht="12.75">
      <c r="C195" s="15"/>
      <c r="D195" s="15"/>
      <c r="E195" s="15"/>
    </row>
    <row r="196" spans="3:5" ht="12.75">
      <c r="C196" s="15"/>
      <c r="D196" s="15"/>
      <c r="E196" s="15"/>
    </row>
    <row r="197" spans="3:5" ht="12.75">
      <c r="C197" s="15"/>
      <c r="D197" s="15"/>
      <c r="E197" s="15"/>
    </row>
    <row r="198" spans="3:5" ht="12.75">
      <c r="C198" s="15"/>
      <c r="D198" s="15"/>
      <c r="E198" s="15"/>
    </row>
    <row r="199" spans="3:5" ht="12.75">
      <c r="C199" s="15"/>
      <c r="D199" s="15"/>
      <c r="E199" s="15"/>
    </row>
    <row r="200" spans="3:5" ht="12.75">
      <c r="C200" s="15"/>
      <c r="D200" s="15"/>
      <c r="E200" s="15"/>
    </row>
    <row r="201" spans="3:5" ht="12.75">
      <c r="C201" s="15"/>
      <c r="D201" s="15"/>
      <c r="E201" s="15"/>
    </row>
    <row r="202" spans="3:5" ht="12.75">
      <c r="C202" s="15"/>
      <c r="D202" s="15"/>
      <c r="E202" s="15"/>
    </row>
    <row r="203" spans="3:5" ht="12.75">
      <c r="C203" s="15"/>
      <c r="D203" s="15"/>
      <c r="E203" s="15"/>
    </row>
    <row r="204" spans="3:5" ht="12.75">
      <c r="C204" s="15"/>
      <c r="D204" s="15"/>
      <c r="E204" s="15"/>
    </row>
    <row r="205" spans="3:5" ht="12.75">
      <c r="C205" s="15"/>
      <c r="D205" s="15"/>
      <c r="E205" s="15"/>
    </row>
    <row r="206" spans="3:5" ht="12.75">
      <c r="C206" s="15"/>
      <c r="D206" s="15"/>
      <c r="E206" s="15"/>
    </row>
    <row r="207" spans="3:5" ht="12.75">
      <c r="C207" s="15"/>
      <c r="D207" s="15"/>
      <c r="E207" s="15"/>
    </row>
    <row r="208" spans="3:5" ht="12.75">
      <c r="C208" s="15"/>
      <c r="D208" s="15"/>
      <c r="E208" s="15"/>
    </row>
    <row r="209" spans="3:5" ht="12.75">
      <c r="C209" s="15"/>
      <c r="D209" s="15"/>
      <c r="E209" s="15"/>
    </row>
    <row r="210" spans="3:5" ht="12.75">
      <c r="C210" s="15"/>
      <c r="D210" s="15"/>
      <c r="E210" s="15"/>
    </row>
    <row r="211" spans="3:5" ht="12.75">
      <c r="C211" s="15"/>
      <c r="D211" s="15"/>
      <c r="E211" s="15"/>
    </row>
    <row r="212" spans="3:5" ht="12.75">
      <c r="C212" s="15"/>
      <c r="D212" s="15"/>
      <c r="E212" s="15"/>
    </row>
    <row r="213" spans="3:5" ht="12.75">
      <c r="C213" s="15"/>
      <c r="D213" s="15"/>
      <c r="E213" s="15"/>
    </row>
    <row r="214" spans="3:5" ht="12.75">
      <c r="C214" s="15"/>
      <c r="D214" s="15"/>
      <c r="E214" s="15"/>
    </row>
    <row r="215" spans="3:5" ht="12.75">
      <c r="C215" s="15"/>
      <c r="D215" s="15"/>
      <c r="E215" s="15"/>
    </row>
    <row r="216" spans="3:5" ht="12.75">
      <c r="C216" s="15"/>
      <c r="D216" s="15"/>
      <c r="E216" s="15"/>
    </row>
    <row r="217" spans="3:5" ht="12.75">
      <c r="C217" s="15"/>
      <c r="D217" s="15"/>
      <c r="E217" s="15"/>
    </row>
    <row r="218" spans="3:5" ht="12.75">
      <c r="C218" s="15"/>
      <c r="D218" s="15"/>
      <c r="E218" s="15"/>
    </row>
    <row r="219" spans="3:5" ht="12.75">
      <c r="C219" s="15"/>
      <c r="D219" s="15"/>
      <c r="E219" s="15"/>
    </row>
    <row r="220" spans="3:5" ht="12.75">
      <c r="C220" s="15"/>
      <c r="D220" s="15"/>
      <c r="E220" s="15"/>
    </row>
    <row r="221" spans="3:5" ht="12.75">
      <c r="C221" s="15"/>
      <c r="D221" s="15"/>
      <c r="E221" s="15"/>
    </row>
    <row r="222" spans="3:5" ht="12.75">
      <c r="C222" s="15"/>
      <c r="D222" s="15"/>
      <c r="E222" s="15"/>
    </row>
    <row r="223" spans="3:5" ht="12.75">
      <c r="C223" s="15"/>
      <c r="D223" s="15"/>
      <c r="E223" s="15"/>
    </row>
    <row r="224" spans="3:5" ht="12.75">
      <c r="C224" s="15"/>
      <c r="D224" s="15"/>
      <c r="E224" s="15"/>
    </row>
    <row r="225" spans="3:5" ht="12.75">
      <c r="C225" s="15"/>
      <c r="D225" s="15"/>
      <c r="E225" s="15"/>
    </row>
    <row r="226" spans="3:5" ht="12.75">
      <c r="C226" s="15"/>
      <c r="D226" s="15"/>
      <c r="E226" s="15"/>
    </row>
    <row r="227" spans="3:5" ht="12.75">
      <c r="C227" s="15"/>
      <c r="D227" s="15"/>
      <c r="E227" s="15"/>
    </row>
    <row r="228" spans="3:5" ht="12.75">
      <c r="C228" s="15"/>
      <c r="D228" s="15"/>
      <c r="E228" s="15"/>
    </row>
    <row r="229" spans="3:5" ht="12.75">
      <c r="C229" s="15"/>
      <c r="D229" s="15"/>
      <c r="E229" s="15"/>
    </row>
    <row r="230" spans="3:5" ht="12.75">
      <c r="C230" s="15"/>
      <c r="D230" s="15"/>
      <c r="E230" s="15"/>
    </row>
    <row r="231" spans="3:5" ht="12.75">
      <c r="C231" s="15"/>
      <c r="D231" s="15"/>
      <c r="E231" s="15"/>
    </row>
    <row r="232" spans="3:5" ht="12.75">
      <c r="C232" s="15"/>
      <c r="D232" s="15"/>
      <c r="E232" s="15"/>
    </row>
    <row r="233" spans="3:5" ht="12.75">
      <c r="C233" s="15"/>
      <c r="D233" s="15"/>
      <c r="E233" s="15"/>
    </row>
    <row r="234" spans="3:5" ht="12.75">
      <c r="C234" s="15"/>
      <c r="D234" s="15"/>
      <c r="E234" s="15"/>
    </row>
    <row r="235" spans="3:5" ht="12.75">
      <c r="C235" s="15"/>
      <c r="D235" s="15"/>
      <c r="E235" s="15"/>
    </row>
    <row r="236" spans="3:5" ht="12.75">
      <c r="C236" s="15"/>
      <c r="D236" s="15"/>
      <c r="E236" s="15"/>
    </row>
    <row r="237" spans="3:5" ht="12.75">
      <c r="C237" s="15"/>
      <c r="D237" s="15"/>
      <c r="E237" s="15"/>
    </row>
    <row r="238" spans="3:5" ht="12.75">
      <c r="C238" s="15"/>
      <c r="D238" s="15"/>
      <c r="E238" s="15"/>
    </row>
    <row r="239" spans="3:5" ht="12.75">
      <c r="C239" s="15"/>
      <c r="D239" s="15"/>
      <c r="E239" s="15"/>
    </row>
    <row r="240" spans="3:5" ht="12.75">
      <c r="C240" s="15"/>
      <c r="D240" s="15"/>
      <c r="E240" s="15"/>
    </row>
    <row r="241" spans="3:5" ht="12.75">
      <c r="C241" s="15"/>
      <c r="D241" s="15"/>
      <c r="E241" s="15"/>
    </row>
    <row r="242" spans="3:5" ht="12.75">
      <c r="C242" s="15"/>
      <c r="D242" s="15"/>
      <c r="E242" s="15"/>
    </row>
    <row r="243" spans="3:5" ht="12.75">
      <c r="C243" s="15"/>
      <c r="D243" s="15"/>
      <c r="E243" s="15"/>
    </row>
    <row r="244" spans="3:5" ht="12.75">
      <c r="C244" s="15"/>
      <c r="D244" s="15"/>
      <c r="E244" s="15"/>
    </row>
    <row r="245" spans="3:5" ht="12.75">
      <c r="C245" s="15"/>
      <c r="D245" s="15"/>
      <c r="E245" s="15"/>
    </row>
    <row r="246" spans="3:5" ht="12.75">
      <c r="C246" s="15"/>
      <c r="D246" s="15"/>
      <c r="E246" s="15"/>
    </row>
    <row r="247" spans="3:5" ht="12.75">
      <c r="C247" s="15"/>
      <c r="D247" s="15"/>
      <c r="E247" s="15"/>
    </row>
    <row r="248" spans="3:5" ht="12.75">
      <c r="C248" s="15"/>
      <c r="D248" s="15"/>
      <c r="E248" s="15"/>
    </row>
    <row r="249" spans="3:5" ht="12.75">
      <c r="C249" s="15"/>
      <c r="D249" s="15"/>
      <c r="E249" s="15"/>
    </row>
    <row r="250" spans="3:5" ht="12.75">
      <c r="C250" s="15"/>
      <c r="D250" s="15"/>
      <c r="E250" s="15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4" customWidth="1"/>
    <col min="2" max="2" width="41.7109375" style="4" customWidth="1"/>
    <col min="3" max="8" width="13.7109375" style="3" customWidth="1"/>
    <col min="9" max="16384" width="9.140625" style="3" customWidth="1"/>
  </cols>
  <sheetData>
    <row r="1" spans="1:8" ht="12.75">
      <c r="A1" s="4" t="s">
        <v>1</v>
      </c>
      <c r="H1" s="36" t="s">
        <v>656</v>
      </c>
    </row>
    <row r="2" spans="1:8" ht="12.75">
      <c r="A2" s="36" t="str">
        <f>+'KSM-NCS-4 p2&amp;3 Adjust Issues'!A3</f>
        <v>Test Period - Twelve Months Ended September 30, 2007</v>
      </c>
      <c r="H2" s="59"/>
    </row>
    <row r="3" spans="1:8" ht="12.75">
      <c r="A3" s="4" t="s">
        <v>7</v>
      </c>
      <c r="H3" s="59"/>
    </row>
    <row r="4" ht="12.75">
      <c r="G4" s="155"/>
    </row>
    <row r="5" ht="12.75">
      <c r="G5" s="68"/>
    </row>
    <row r="6" spans="1:8" ht="12.75">
      <c r="A6" s="25" t="s">
        <v>20</v>
      </c>
      <c r="C6" s="71" t="s">
        <v>457</v>
      </c>
      <c r="D6" s="71" t="s">
        <v>476</v>
      </c>
      <c r="E6" s="71" t="s">
        <v>537</v>
      </c>
      <c r="F6" s="25" t="s">
        <v>33</v>
      </c>
      <c r="G6" s="25" t="s">
        <v>15</v>
      </c>
      <c r="H6" s="25"/>
    </row>
    <row r="7" spans="1:8" ht="12.75">
      <c r="A7" s="26" t="s">
        <v>37</v>
      </c>
      <c r="C7" s="156" t="s">
        <v>458</v>
      </c>
      <c r="D7" s="156" t="s">
        <v>477</v>
      </c>
      <c r="E7" s="156" t="s">
        <v>538</v>
      </c>
      <c r="F7" s="26" t="s">
        <v>44</v>
      </c>
      <c r="G7" s="26" t="s">
        <v>58</v>
      </c>
      <c r="H7" s="26" t="s">
        <v>32</v>
      </c>
    </row>
    <row r="8" spans="3:8" ht="12.75">
      <c r="C8" s="25" t="s">
        <v>64</v>
      </c>
      <c r="D8" s="25" t="s">
        <v>65</v>
      </c>
      <c r="E8" s="25" t="s">
        <v>66</v>
      </c>
      <c r="F8" s="25" t="s">
        <v>67</v>
      </c>
      <c r="G8" s="25" t="s">
        <v>68</v>
      </c>
      <c r="H8" s="25" t="s">
        <v>74</v>
      </c>
    </row>
    <row r="9" spans="2:3" ht="12.75">
      <c r="B9" s="35" t="s">
        <v>86</v>
      </c>
      <c r="C9" s="157"/>
    </row>
    <row r="10" spans="1:8" ht="12.75">
      <c r="A10" s="25">
        <v>1</v>
      </c>
      <c r="B10" s="36" t="s">
        <v>315</v>
      </c>
      <c r="C10" s="158">
        <v>1628295</v>
      </c>
      <c r="D10" s="158">
        <v>2588843</v>
      </c>
      <c r="E10" s="158">
        <v>3081422</v>
      </c>
      <c r="F10" s="132">
        <f>SUM(C10:E10)/3</f>
        <v>2432853.3333333335</v>
      </c>
      <c r="G10" s="159">
        <v>3788147</v>
      </c>
      <c r="H10" s="132">
        <f>F10-G10</f>
        <v>-1355293.6666666665</v>
      </c>
    </row>
    <row r="11" spans="1:8" ht="12.75">
      <c r="A11" s="25">
        <v>2</v>
      </c>
      <c r="B11" s="36" t="s">
        <v>316</v>
      </c>
      <c r="C11" s="128">
        <v>0</v>
      </c>
      <c r="D11" s="128">
        <v>0</v>
      </c>
      <c r="E11" s="128">
        <v>0</v>
      </c>
      <c r="F11" s="129">
        <f>SUM(C11:E11)/3</f>
        <v>0</v>
      </c>
      <c r="G11" s="160">
        <v>0</v>
      </c>
      <c r="H11" s="129">
        <f>F11-G11</f>
        <v>0</v>
      </c>
    </row>
    <row r="12" spans="1:8" ht="12.75">
      <c r="A12" s="25">
        <v>3</v>
      </c>
      <c r="B12" s="35" t="s">
        <v>113</v>
      </c>
      <c r="C12" s="127">
        <f aca="true" t="shared" si="0" ref="C12:H12">+C10+C11</f>
        <v>1628295</v>
      </c>
      <c r="D12" s="127">
        <f t="shared" si="0"/>
        <v>2588843</v>
      </c>
      <c r="E12" s="127">
        <f t="shared" si="0"/>
        <v>3081422</v>
      </c>
      <c r="F12" s="127">
        <f t="shared" si="0"/>
        <v>2432853.3333333335</v>
      </c>
      <c r="G12" s="161">
        <f t="shared" si="0"/>
        <v>3788147</v>
      </c>
      <c r="H12" s="127">
        <f t="shared" si="0"/>
        <v>-1355293.6666666665</v>
      </c>
    </row>
    <row r="13" spans="1:8" ht="12.75">
      <c r="A13" s="25"/>
      <c r="B13" s="35"/>
      <c r="C13" s="127"/>
      <c r="D13" s="127"/>
      <c r="E13" s="127"/>
      <c r="F13" s="127"/>
      <c r="G13" s="161"/>
      <c r="H13" s="127"/>
    </row>
    <row r="14" spans="1:8" ht="12.75">
      <c r="A14" s="25"/>
      <c r="B14" s="35" t="s">
        <v>122</v>
      </c>
      <c r="C14" s="127"/>
      <c r="D14" s="127"/>
      <c r="E14" s="127"/>
      <c r="F14" s="162">
        <f>ROUND(F17/(F17+F12),3)</f>
        <v>0.249</v>
      </c>
      <c r="H14" s="127"/>
    </row>
    <row r="15" spans="1:8" ht="12.75">
      <c r="A15" s="25">
        <v>4</v>
      </c>
      <c r="B15" s="36" t="s">
        <v>315</v>
      </c>
      <c r="C15" s="126">
        <v>573071</v>
      </c>
      <c r="D15" s="126">
        <v>819959</v>
      </c>
      <c r="E15" s="126">
        <v>1032417</v>
      </c>
      <c r="F15" s="127">
        <f>SUM(C15:E15)/3</f>
        <v>808482.3333333334</v>
      </c>
      <c r="G15" s="163">
        <v>1185113</v>
      </c>
      <c r="H15" s="127">
        <f>F15-G15</f>
        <v>-376630.6666666666</v>
      </c>
    </row>
    <row r="16" spans="1:8" ht="12.75">
      <c r="A16" s="25">
        <v>5</v>
      </c>
      <c r="B16" s="36" t="s">
        <v>316</v>
      </c>
      <c r="C16" s="128">
        <v>0</v>
      </c>
      <c r="D16" s="128">
        <v>0</v>
      </c>
      <c r="E16" s="128">
        <v>0</v>
      </c>
      <c r="F16" s="129">
        <f>SUM(C16:E16)/3</f>
        <v>0</v>
      </c>
      <c r="G16" s="160">
        <v>0</v>
      </c>
      <c r="H16" s="129">
        <f>F16-G16</f>
        <v>0</v>
      </c>
    </row>
    <row r="17" spans="1:8" ht="12.75">
      <c r="A17" s="25">
        <v>6</v>
      </c>
      <c r="B17" s="35" t="s">
        <v>113</v>
      </c>
      <c r="C17" s="127">
        <f aca="true" t="shared" si="1" ref="C17:H17">+C15+C16</f>
        <v>573071</v>
      </c>
      <c r="D17" s="127">
        <f t="shared" si="1"/>
        <v>819959</v>
      </c>
      <c r="E17" s="127">
        <f t="shared" si="1"/>
        <v>1032417</v>
      </c>
      <c r="F17" s="127">
        <f t="shared" si="1"/>
        <v>808482.3333333334</v>
      </c>
      <c r="G17" s="161">
        <f t="shared" si="1"/>
        <v>1185113</v>
      </c>
      <c r="H17" s="127">
        <f t="shared" si="1"/>
        <v>-376630.6666666666</v>
      </c>
    </row>
    <row r="18" spans="1:8" ht="12.75">
      <c r="A18" s="25"/>
      <c r="B18" s="35"/>
      <c r="C18" s="127"/>
      <c r="D18" s="127"/>
      <c r="E18" s="127"/>
      <c r="F18" s="127"/>
      <c r="G18" s="161"/>
      <c r="H18" s="127"/>
    </row>
    <row r="19" spans="1:8" ht="12.75">
      <c r="A19" s="25"/>
      <c r="B19" s="35" t="s">
        <v>150</v>
      </c>
      <c r="C19" s="127"/>
      <c r="D19" s="127"/>
      <c r="E19" s="127"/>
      <c r="F19" s="127"/>
      <c r="G19" s="161"/>
      <c r="H19" s="127"/>
    </row>
    <row r="20" spans="1:8" ht="12.75">
      <c r="A20" s="25">
        <v>7</v>
      </c>
      <c r="B20" s="36" t="s">
        <v>315</v>
      </c>
      <c r="C20" s="126">
        <v>605089</v>
      </c>
      <c r="D20" s="126">
        <v>935977</v>
      </c>
      <c r="E20" s="126">
        <v>1188798</v>
      </c>
      <c r="F20" s="127">
        <f>SUM(C20:E20)/3</f>
        <v>909954.6666666666</v>
      </c>
      <c r="G20" s="163">
        <v>1158853</v>
      </c>
      <c r="H20" s="127">
        <f>F20-G20</f>
        <v>-248898.33333333337</v>
      </c>
    </row>
    <row r="21" spans="1:8" ht="12.75">
      <c r="A21" s="25">
        <v>8</v>
      </c>
      <c r="B21" s="36" t="s">
        <v>316</v>
      </c>
      <c r="C21" s="128">
        <f>327889+466248</f>
        <v>794137</v>
      </c>
      <c r="D21" s="128">
        <f>466239+656234</f>
        <v>1122473</v>
      </c>
      <c r="E21" s="128">
        <f>617582+880433</f>
        <v>1498015</v>
      </c>
      <c r="F21" s="129">
        <f>SUM(C21:E21)/3</f>
        <v>1138208.3333333333</v>
      </c>
      <c r="G21" s="160">
        <f>542961+853998</f>
        <v>1396959</v>
      </c>
      <c r="H21" s="129">
        <f>F21-G21</f>
        <v>-258750.66666666674</v>
      </c>
    </row>
    <row r="22" spans="1:8" ht="12.75">
      <c r="A22" s="25">
        <v>9</v>
      </c>
      <c r="B22" s="35" t="s">
        <v>113</v>
      </c>
      <c r="C22" s="127">
        <f aca="true" t="shared" si="2" ref="C22:H22">+C20+C21</f>
        <v>1399226</v>
      </c>
      <c r="D22" s="127">
        <f t="shared" si="2"/>
        <v>2058450</v>
      </c>
      <c r="E22" s="127">
        <f t="shared" si="2"/>
        <v>2686813</v>
      </c>
      <c r="F22" s="127">
        <f t="shared" si="2"/>
        <v>2048163</v>
      </c>
      <c r="G22" s="161">
        <f t="shared" si="2"/>
        <v>2555812</v>
      </c>
      <c r="H22" s="127">
        <f t="shared" si="2"/>
        <v>-507649.0000000001</v>
      </c>
    </row>
    <row r="23" spans="1:8" ht="12.75">
      <c r="A23" s="25"/>
      <c r="B23" s="35"/>
      <c r="C23" s="127"/>
      <c r="D23" s="127"/>
      <c r="E23" s="127"/>
      <c r="F23" s="164"/>
      <c r="G23" s="161"/>
      <c r="H23" s="127"/>
    </row>
    <row r="24" spans="1:8" ht="12.75">
      <c r="A24" s="25"/>
      <c r="B24" s="35" t="s">
        <v>169</v>
      </c>
      <c r="C24" s="127"/>
      <c r="D24" s="127"/>
      <c r="E24" s="127"/>
      <c r="F24" s="164"/>
      <c r="G24" s="161"/>
      <c r="H24" s="127"/>
    </row>
    <row r="25" spans="1:8" ht="12.75">
      <c r="A25" s="25">
        <v>10</v>
      </c>
      <c r="B25" s="36" t="s">
        <v>315</v>
      </c>
      <c r="C25" s="126">
        <v>220649</v>
      </c>
      <c r="D25" s="126">
        <v>305059</v>
      </c>
      <c r="E25" s="126">
        <v>412619</v>
      </c>
      <c r="F25" s="127">
        <f>SUM(C25:E25)/3</f>
        <v>312775.6666666667</v>
      </c>
      <c r="G25" s="163">
        <v>398139</v>
      </c>
      <c r="H25" s="127">
        <f>F25-G25</f>
        <v>-85363.33333333331</v>
      </c>
    </row>
    <row r="26" spans="1:8" ht="12.75">
      <c r="A26" s="25">
        <v>11</v>
      </c>
      <c r="B26" s="36" t="s">
        <v>316</v>
      </c>
      <c r="C26" s="128">
        <f>66528+500387</f>
        <v>566915</v>
      </c>
      <c r="D26" s="128">
        <f>95407+707631</f>
        <v>803038</v>
      </c>
      <c r="E26" s="128">
        <f>95709+976019</f>
        <v>1071728</v>
      </c>
      <c r="F26" s="129">
        <f>SUM(C26:E26)/3</f>
        <v>813893.6666666666</v>
      </c>
      <c r="G26" s="160">
        <f>84793+948874</f>
        <v>1033667</v>
      </c>
      <c r="H26" s="129">
        <f>F26-G26</f>
        <v>-219773.33333333337</v>
      </c>
    </row>
    <row r="27" spans="1:8" ht="12.75">
      <c r="A27" s="25">
        <v>12</v>
      </c>
      <c r="B27" s="35" t="s">
        <v>113</v>
      </c>
      <c r="C27" s="127">
        <f aca="true" t="shared" si="3" ref="C27:H27">+C25+C26</f>
        <v>787564</v>
      </c>
      <c r="D27" s="127">
        <f t="shared" si="3"/>
        <v>1108097</v>
      </c>
      <c r="E27" s="127">
        <f t="shared" si="3"/>
        <v>1484347</v>
      </c>
      <c r="F27" s="127">
        <f t="shared" si="3"/>
        <v>1126669.3333333333</v>
      </c>
      <c r="G27" s="161">
        <f t="shared" si="3"/>
        <v>1431806</v>
      </c>
      <c r="H27" s="127">
        <f t="shared" si="3"/>
        <v>-305136.6666666667</v>
      </c>
    </row>
    <row r="28" spans="1:8" ht="12.75">
      <c r="A28" s="25"/>
      <c r="B28" s="35"/>
      <c r="C28" s="127"/>
      <c r="D28" s="127"/>
      <c r="E28" s="127"/>
      <c r="F28" s="127"/>
      <c r="G28" s="161"/>
      <c r="H28" s="127"/>
    </row>
    <row r="29" spans="1:8" ht="12.75">
      <c r="A29" s="25"/>
      <c r="B29" s="35"/>
      <c r="C29" s="127">
        <f aca="true" t="shared" si="4" ref="C29:H29">+C27+C22+C17+C12</f>
        <v>4388156</v>
      </c>
      <c r="D29" s="127">
        <f t="shared" si="4"/>
        <v>6575349</v>
      </c>
      <c r="E29" s="127">
        <f t="shared" si="4"/>
        <v>8284999</v>
      </c>
      <c r="F29" s="127">
        <f>+F27+F22+F17+F12</f>
        <v>6416168</v>
      </c>
      <c r="G29" s="127">
        <f t="shared" si="4"/>
        <v>8960878</v>
      </c>
      <c r="H29" s="127">
        <f t="shared" si="4"/>
        <v>-2544710</v>
      </c>
    </row>
    <row r="30" spans="1:8" ht="12.75">
      <c r="A30" s="25"/>
      <c r="B30" s="35"/>
      <c r="C30" s="7"/>
      <c r="D30" s="7"/>
      <c r="E30" s="7"/>
      <c r="F30" s="7"/>
      <c r="G30" s="7"/>
      <c r="H30" s="7"/>
    </row>
    <row r="31" spans="1:8" ht="12.75">
      <c r="A31" s="25">
        <v>13</v>
      </c>
      <c r="B31" s="36" t="s">
        <v>382</v>
      </c>
      <c r="C31" s="7"/>
      <c r="D31" s="7"/>
      <c r="E31" s="7"/>
      <c r="F31" s="7"/>
      <c r="G31" s="7"/>
      <c r="H31" s="114">
        <f>H12+H22</f>
        <v>-1862942.6666666665</v>
      </c>
    </row>
    <row r="32" spans="1:8" ht="12.75">
      <c r="A32" s="25">
        <v>14</v>
      </c>
      <c r="B32" s="35" t="s">
        <v>181</v>
      </c>
      <c r="E32" s="7"/>
      <c r="F32" s="2" t="s">
        <v>193</v>
      </c>
      <c r="H32" s="84">
        <f>'KSM-NCS-3 p4&amp;5 Factors'!D120</f>
        <v>0.10465999999999998</v>
      </c>
    </row>
    <row r="33" spans="1:8" ht="13.5" thickBot="1">
      <c r="A33" s="25">
        <v>15</v>
      </c>
      <c r="B33" s="36" t="s">
        <v>384</v>
      </c>
      <c r="C33" s="7"/>
      <c r="D33" s="7"/>
      <c r="E33" s="7"/>
      <c r="F33" s="2"/>
      <c r="H33" s="139">
        <f>H31*H32</f>
        <v>-194975.57949333327</v>
      </c>
    </row>
    <row r="34" spans="1:8" ht="13.5" thickTop="1">
      <c r="A34" s="25"/>
      <c r="B34" s="35"/>
      <c r="C34" s="7"/>
      <c r="D34" s="7"/>
      <c r="E34" s="7"/>
      <c r="F34" s="2"/>
      <c r="H34" s="114"/>
    </row>
    <row r="35" spans="1:8" ht="12.75">
      <c r="A35" s="25">
        <v>16</v>
      </c>
      <c r="B35" s="36" t="s">
        <v>381</v>
      </c>
      <c r="C35" s="7"/>
      <c r="D35" s="7"/>
      <c r="E35" s="7"/>
      <c r="F35" s="2"/>
      <c r="H35" s="114">
        <f>H17+H27</f>
        <v>-681767.3333333333</v>
      </c>
    </row>
    <row r="36" spans="1:8" ht="12.75">
      <c r="A36" s="25">
        <v>17</v>
      </c>
      <c r="B36" s="35" t="s">
        <v>181</v>
      </c>
      <c r="D36" s="7"/>
      <c r="E36" s="7"/>
      <c r="F36" s="4" t="s">
        <v>43</v>
      </c>
      <c r="H36" s="84">
        <f>'KSM-NCS-3 p4&amp;5 Factors'!E86</f>
        <v>0.1089</v>
      </c>
    </row>
    <row r="37" spans="1:8" ht="13.5" thickBot="1">
      <c r="A37" s="25">
        <v>18</v>
      </c>
      <c r="B37" s="36" t="s">
        <v>383</v>
      </c>
      <c r="E37" s="7"/>
      <c r="H37" s="139">
        <f>H35*H36</f>
        <v>-74244.46259999998</v>
      </c>
    </row>
    <row r="38" ht="13.5" thickTop="1">
      <c r="E38" s="7"/>
    </row>
    <row r="39" ht="12.75">
      <c r="E39" s="7"/>
    </row>
    <row r="40" spans="1:8" ht="12.75">
      <c r="A40" s="4" t="s">
        <v>218</v>
      </c>
      <c r="H40" s="59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421875" style="0" customWidth="1"/>
    <col min="2" max="2" width="39.8515625" style="0" customWidth="1"/>
    <col min="3" max="3" width="19.140625" style="0" customWidth="1"/>
    <col min="7" max="7" width="11.7109375" style="424" bestFit="1" customWidth="1"/>
    <col min="8" max="8" width="10.140625" style="424" bestFit="1" customWidth="1"/>
    <col min="9" max="9" width="11.7109375" style="424" bestFit="1" customWidth="1"/>
  </cols>
  <sheetData>
    <row r="1" spans="1:3" ht="15">
      <c r="A1" s="4" t="str">
        <f>'KSM-NCS-4 p11 Uncollectibles'!A1</f>
        <v>NW Natural</v>
      </c>
      <c r="B1" s="4"/>
      <c r="C1" s="36" t="s">
        <v>657</v>
      </c>
    </row>
    <row r="2" spans="1:3" ht="15">
      <c r="A2" s="4" t="str">
        <f>'KSM-NCS-4 p11 Uncollectibles'!A2</f>
        <v>Test Period - Twelve Months Ended September 30, 2007</v>
      </c>
      <c r="B2" s="4"/>
      <c r="C2" s="4"/>
    </row>
    <row r="3" spans="1:3" ht="15">
      <c r="A3" s="35" t="s">
        <v>646</v>
      </c>
      <c r="B3" s="4"/>
      <c r="C3" s="4"/>
    </row>
    <row r="4" spans="1:3" ht="15">
      <c r="A4" s="4"/>
      <c r="B4" s="4"/>
      <c r="C4" s="4"/>
    </row>
    <row r="5" spans="1:3" ht="15">
      <c r="A5" s="4"/>
      <c r="B5" s="4"/>
      <c r="C5" s="4"/>
    </row>
    <row r="6" spans="1:3" ht="15">
      <c r="A6" s="25" t="s">
        <v>20</v>
      </c>
      <c r="B6" s="4"/>
      <c r="C6" s="4"/>
    </row>
    <row r="7" spans="1:3" ht="15">
      <c r="A7" s="26" t="s">
        <v>37</v>
      </c>
      <c r="B7" s="4"/>
      <c r="C7" s="26" t="s">
        <v>62</v>
      </c>
    </row>
    <row r="8" spans="1:3" ht="15">
      <c r="A8" s="25"/>
      <c r="B8" s="4"/>
      <c r="C8" s="25" t="s">
        <v>64</v>
      </c>
    </row>
    <row r="9" spans="1:3" ht="15">
      <c r="A9" s="25"/>
      <c r="B9" s="4"/>
      <c r="C9" s="3"/>
    </row>
    <row r="10" spans="1:3" ht="15">
      <c r="A10" s="25"/>
      <c r="B10" s="4"/>
      <c r="C10" s="3"/>
    </row>
    <row r="11" spans="1:3" ht="15">
      <c r="A11" s="25">
        <v>1</v>
      </c>
      <c r="B11" s="4" t="s">
        <v>647</v>
      </c>
      <c r="C11" s="247">
        <v>229609.02652299992</v>
      </c>
    </row>
    <row r="12" spans="1:3" ht="15">
      <c r="A12" s="3"/>
      <c r="B12" s="3"/>
      <c r="C12" s="30"/>
    </row>
    <row r="13" spans="1:3" ht="15">
      <c r="A13" s="25">
        <v>2</v>
      </c>
      <c r="B13" s="4" t="s">
        <v>648</v>
      </c>
      <c r="C13" s="27">
        <f>+C11/3</f>
        <v>76536.3421743333</v>
      </c>
    </row>
    <row r="14" spans="1:3" ht="15">
      <c r="A14" s="3"/>
      <c r="B14" s="3"/>
      <c r="C14" s="30"/>
    </row>
    <row r="15" spans="1:3" ht="15.75" thickBot="1">
      <c r="A15" s="25">
        <v>3</v>
      </c>
      <c r="B15" s="4" t="s">
        <v>32</v>
      </c>
      <c r="C15" s="87">
        <f>+C13-C11</f>
        <v>-153072.68434866663</v>
      </c>
    </row>
    <row r="16" ht="15.75" thickTop="1"/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7109375" style="3" customWidth="1"/>
    <col min="2" max="2" width="50.140625" style="3" customWidth="1"/>
    <col min="3" max="3" width="14.8515625" style="3" customWidth="1"/>
    <col min="4" max="16384" width="9.140625" style="3" customWidth="1"/>
  </cols>
  <sheetData>
    <row r="1" spans="1:4" ht="12.75">
      <c r="A1" s="4" t="str">
        <f>'KSM-NCS-4 p11 Uncollectibles'!A1</f>
        <v>NW Natural</v>
      </c>
      <c r="B1" s="4"/>
      <c r="C1" s="36" t="s">
        <v>568</v>
      </c>
      <c r="D1" s="89"/>
    </row>
    <row r="2" spans="1:3" ht="12.75">
      <c r="A2" s="4" t="str">
        <f>'KSM-NCS-4 p11 Uncollectibles'!A2</f>
        <v>Test Period - Twelve Months Ended September 30, 2007</v>
      </c>
      <c r="B2" s="4"/>
      <c r="C2" s="4"/>
    </row>
    <row r="3" spans="1:3" ht="12.75">
      <c r="A3" s="35" t="s">
        <v>547</v>
      </c>
      <c r="B3" s="4"/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25" t="s">
        <v>20</v>
      </c>
      <c r="B6" s="4"/>
      <c r="C6" s="4"/>
    </row>
    <row r="7" spans="1:3" ht="12.75">
      <c r="A7" s="26" t="s">
        <v>37</v>
      </c>
      <c r="B7" s="4"/>
      <c r="C7" s="26" t="s">
        <v>62</v>
      </c>
    </row>
    <row r="8" spans="1:3" ht="12.75">
      <c r="A8" s="25"/>
      <c r="B8" s="4"/>
      <c r="C8" s="25" t="s">
        <v>64</v>
      </c>
    </row>
    <row r="9" spans="1:2" ht="12.75">
      <c r="A9" s="25"/>
      <c r="B9" s="4"/>
    </row>
    <row r="10" spans="1:2" ht="12.75">
      <c r="A10" s="25"/>
      <c r="B10" s="4"/>
    </row>
    <row r="11" spans="1:3" ht="12.75">
      <c r="A11" s="25">
        <v>1</v>
      </c>
      <c r="B11" s="4" t="s">
        <v>549</v>
      </c>
      <c r="C11" s="247">
        <f>+'KSM-NCS-3 p9 Other Rev&amp;Tax'!E24</f>
        <v>974950.39</v>
      </c>
    </row>
    <row r="12" ht="12.75">
      <c r="C12" s="30"/>
    </row>
    <row r="13" spans="1:3" ht="12.75">
      <c r="A13" s="25">
        <v>2</v>
      </c>
      <c r="B13" s="4" t="s">
        <v>548</v>
      </c>
      <c r="C13" s="27">
        <v>1052010</v>
      </c>
    </row>
    <row r="14" ht="12.75">
      <c r="C14" s="30"/>
    </row>
    <row r="15" spans="1:3" ht="13.5" thickBot="1">
      <c r="A15" s="25">
        <v>3</v>
      </c>
      <c r="B15" s="4" t="s">
        <v>32</v>
      </c>
      <c r="C15" s="87">
        <f>+C13-C11</f>
        <v>77059.60999999999</v>
      </c>
    </row>
    <row r="16" ht="13.5" thickTop="1"/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4.7109375" style="4" customWidth="1"/>
    <col min="2" max="2" width="41.7109375" style="4" customWidth="1"/>
    <col min="3" max="6" width="13.7109375" style="3" customWidth="1"/>
    <col min="7" max="16384" width="9.140625" style="3" customWidth="1"/>
  </cols>
  <sheetData>
    <row r="1" spans="1:7" ht="12.75">
      <c r="A1" s="4" t="s">
        <v>0</v>
      </c>
      <c r="F1" s="36" t="s">
        <v>327</v>
      </c>
      <c r="G1" s="89"/>
    </row>
    <row r="2" spans="1:6" ht="12.75">
      <c r="A2" s="4" t="str">
        <f>'KSM-NCS-4 p2&amp;3 Adjust Issues'!A3</f>
        <v>Test Period - Twelve Months Ended September 30, 2007</v>
      </c>
      <c r="F2" s="4"/>
    </row>
    <row r="3" spans="1:4" ht="12.75">
      <c r="A3" s="4" t="s">
        <v>8</v>
      </c>
      <c r="D3" s="37"/>
    </row>
    <row r="4" ht="12.75">
      <c r="A4" s="4" t="s">
        <v>14</v>
      </c>
    </row>
    <row r="6" spans="4:6" ht="12.75">
      <c r="D6" s="70" t="s">
        <v>489</v>
      </c>
      <c r="E6" s="70"/>
      <c r="F6" s="70"/>
    </row>
    <row r="7" spans="1:6" ht="12.75">
      <c r="A7" s="25" t="s">
        <v>20</v>
      </c>
      <c r="C7" s="71" t="s">
        <v>490</v>
      </c>
      <c r="D7" s="72">
        <v>2007</v>
      </c>
      <c r="E7" s="72">
        <f>+D7-1</f>
        <v>2006</v>
      </c>
      <c r="F7" s="72">
        <f>+E7-1</f>
        <v>2005</v>
      </c>
    </row>
    <row r="8" spans="1:6" ht="12.75">
      <c r="A8" s="73" t="s">
        <v>37</v>
      </c>
      <c r="C8" s="26" t="s">
        <v>75</v>
      </c>
      <c r="D8" s="26" t="s">
        <v>76</v>
      </c>
      <c r="E8" s="26" t="s">
        <v>76</v>
      </c>
      <c r="F8" s="26" t="s">
        <v>76</v>
      </c>
    </row>
    <row r="9" spans="1:6" ht="12.75">
      <c r="A9" s="25"/>
      <c r="C9" s="25" t="s">
        <v>64</v>
      </c>
      <c r="D9" s="25" t="s">
        <v>65</v>
      </c>
      <c r="E9" s="25" t="s">
        <v>66</v>
      </c>
      <c r="F9" s="25" t="s">
        <v>67</v>
      </c>
    </row>
    <row r="10" spans="1:2" ht="12.75">
      <c r="A10" s="25"/>
      <c r="B10" s="4" t="s">
        <v>89</v>
      </c>
    </row>
    <row r="11" spans="1:6" ht="12.75">
      <c r="A11" s="25">
        <v>1</v>
      </c>
      <c r="B11" s="4" t="s">
        <v>96</v>
      </c>
      <c r="C11" s="74">
        <f>SUM(D11:F11)</f>
        <v>1513301.558</v>
      </c>
      <c r="D11" s="75">
        <v>555923.699</v>
      </c>
      <c r="E11" s="75">
        <v>527884.832</v>
      </c>
      <c r="F11" s="75">
        <v>429493.027</v>
      </c>
    </row>
    <row r="12" spans="1:6" ht="12.75">
      <c r="A12" s="25">
        <v>2</v>
      </c>
      <c r="B12" s="4" t="s">
        <v>101</v>
      </c>
      <c r="C12" s="76">
        <f>SUM(D12:F12)</f>
        <v>814392.226</v>
      </c>
      <c r="D12" s="77">
        <v>301409.245</v>
      </c>
      <c r="E12" s="77">
        <v>285736.397</v>
      </c>
      <c r="F12" s="77">
        <v>227246.584</v>
      </c>
    </row>
    <row r="13" spans="1:6" ht="12.75">
      <c r="A13" s="25">
        <v>3</v>
      </c>
      <c r="B13" s="4" t="s">
        <v>108</v>
      </c>
      <c r="C13" s="76">
        <f>SUM(D13:F13)</f>
        <v>186426.549</v>
      </c>
      <c r="D13" s="77">
        <v>56731.696</v>
      </c>
      <c r="E13" s="77">
        <v>72387.531</v>
      </c>
      <c r="F13" s="77">
        <v>57307.322</v>
      </c>
    </row>
    <row r="14" spans="1:6" ht="12.75">
      <c r="A14" s="25">
        <v>4</v>
      </c>
      <c r="B14" s="4" t="s">
        <v>114</v>
      </c>
      <c r="C14" s="78">
        <f>SUM(D14:F14)</f>
        <v>270908.136</v>
      </c>
      <c r="D14" s="79">
        <v>75833.68</v>
      </c>
      <c r="E14" s="79">
        <v>108331.494</v>
      </c>
      <c r="F14" s="79">
        <v>86742.962</v>
      </c>
    </row>
    <row r="15" spans="1:6" ht="12.75">
      <c r="A15" s="25">
        <v>5</v>
      </c>
      <c r="B15" s="4" t="s">
        <v>119</v>
      </c>
      <c r="C15" s="76">
        <f>SUM(C11:C14)</f>
        <v>2785028.469</v>
      </c>
      <c r="D15" s="76">
        <f>SUM(D11:D14)</f>
        <v>989898.3200000001</v>
      </c>
      <c r="E15" s="76">
        <f>SUM(E11:E14)</f>
        <v>994340.254</v>
      </c>
      <c r="F15" s="76">
        <f>SUM(F11:F14)</f>
        <v>800789.895</v>
      </c>
    </row>
    <row r="16" spans="1:6" ht="12.75">
      <c r="A16" s="25"/>
      <c r="C16" s="38"/>
      <c r="D16" s="80"/>
      <c r="E16" s="80"/>
      <c r="F16" s="80"/>
    </row>
    <row r="17" spans="1:6" ht="12.75">
      <c r="A17" s="25"/>
      <c r="B17" s="4" t="s">
        <v>129</v>
      </c>
      <c r="C17" s="38"/>
      <c r="D17" s="38"/>
      <c r="E17" s="38"/>
      <c r="F17" s="38"/>
    </row>
    <row r="18" spans="1:6" ht="12.75">
      <c r="A18" s="25">
        <v>6</v>
      </c>
      <c r="B18" s="4" t="s">
        <v>96</v>
      </c>
      <c r="C18" s="76">
        <f>SUM(D18:F18)</f>
        <v>7788.535</v>
      </c>
      <c r="D18" s="77">
        <v>2746.127</v>
      </c>
      <c r="E18" s="77">
        <v>2889.285</v>
      </c>
      <c r="F18" s="77">
        <v>2153.123</v>
      </c>
    </row>
    <row r="19" spans="1:6" ht="12.75">
      <c r="A19" s="25">
        <v>7</v>
      </c>
      <c r="B19" s="4" t="s">
        <v>101</v>
      </c>
      <c r="C19" s="76">
        <f>SUM(D19:F19)</f>
        <v>881.922</v>
      </c>
      <c r="D19" s="77">
        <v>359.695</v>
      </c>
      <c r="E19" s="77">
        <v>268.98</v>
      </c>
      <c r="F19" s="77">
        <v>253.247</v>
      </c>
    </row>
    <row r="20" spans="1:6" ht="12.75">
      <c r="A20" s="25">
        <v>8</v>
      </c>
      <c r="B20" s="4" t="s">
        <v>108</v>
      </c>
      <c r="C20" s="76">
        <f>SUM(D20:F20)</f>
        <v>10.150000000000002</v>
      </c>
      <c r="D20" s="77">
        <v>32.649</v>
      </c>
      <c r="E20" s="77">
        <v>-3.828</v>
      </c>
      <c r="F20" s="77">
        <v>-18.671</v>
      </c>
    </row>
    <row r="21" spans="1:6" ht="12.75">
      <c r="A21" s="25">
        <v>9</v>
      </c>
      <c r="B21" s="4" t="s">
        <v>114</v>
      </c>
      <c r="C21" s="81">
        <f>SUM(D21:F21)</f>
        <v>25</v>
      </c>
      <c r="D21" s="82">
        <v>25</v>
      </c>
      <c r="E21" s="82">
        <v>0</v>
      </c>
      <c r="F21" s="82">
        <v>0</v>
      </c>
    </row>
    <row r="22" spans="1:6" ht="12.75">
      <c r="A22" s="25">
        <v>10</v>
      </c>
      <c r="B22" s="4" t="s">
        <v>119</v>
      </c>
      <c r="C22" s="76">
        <f>SUM(C18:C21)</f>
        <v>8705.607</v>
      </c>
      <c r="D22" s="76">
        <f>SUM(D18:D21)</f>
        <v>3163.471</v>
      </c>
      <c r="E22" s="76">
        <f>SUM(E18:E21)</f>
        <v>3154.437</v>
      </c>
      <c r="F22" s="76">
        <f>SUM(F18:F21)</f>
        <v>2387.699</v>
      </c>
    </row>
    <row r="23" ht="12.75">
      <c r="A23" s="25"/>
    </row>
    <row r="24" spans="1:2" ht="12.75">
      <c r="A24" s="25"/>
      <c r="B24" s="4" t="s">
        <v>153</v>
      </c>
    </row>
    <row r="25" spans="1:6" ht="12.75">
      <c r="A25" s="25">
        <v>11</v>
      </c>
      <c r="B25" s="4" t="s">
        <v>96</v>
      </c>
      <c r="C25" s="22">
        <f aca="true" t="shared" si="0" ref="C25:F29">C18/C11</f>
        <v>0.0051467170960250875</v>
      </c>
      <c r="D25" s="22">
        <f t="shared" si="0"/>
        <v>0.00493975523069039</v>
      </c>
      <c r="E25" s="22">
        <f t="shared" si="0"/>
        <v>0.005473324529998997</v>
      </c>
      <c r="F25" s="22">
        <f t="shared" si="0"/>
        <v>0.005013173357061278</v>
      </c>
    </row>
    <row r="26" spans="1:6" ht="12.75">
      <c r="A26" s="25">
        <v>12</v>
      </c>
      <c r="B26" s="4" t="s">
        <v>101</v>
      </c>
      <c r="C26" s="22">
        <f t="shared" si="0"/>
        <v>0.0010829204550879394</v>
      </c>
      <c r="D26" s="22">
        <f t="shared" si="0"/>
        <v>0.0011933774625924297</v>
      </c>
      <c r="E26" s="22">
        <f t="shared" si="0"/>
        <v>0.0009413571488409298</v>
      </c>
      <c r="F26" s="22">
        <f t="shared" si="0"/>
        <v>0.00111441499160225</v>
      </c>
    </row>
    <row r="27" spans="1:6" ht="12.75">
      <c r="A27" s="25">
        <v>13</v>
      </c>
      <c r="B27" s="4" t="s">
        <v>108</v>
      </c>
      <c r="C27" s="22">
        <f t="shared" si="0"/>
        <v>5.4445035079204317E-05</v>
      </c>
      <c r="D27" s="22">
        <f t="shared" si="0"/>
        <v>0.0005754983951123195</v>
      </c>
      <c r="E27" s="22">
        <f t="shared" si="0"/>
        <v>-5.288203571966006E-05</v>
      </c>
      <c r="F27" s="22">
        <f t="shared" si="0"/>
        <v>-0.0003258047898312191</v>
      </c>
    </row>
    <row r="28" spans="1:6" ht="12.75">
      <c r="A28" s="25">
        <v>14</v>
      </c>
      <c r="B28" s="4" t="s">
        <v>114</v>
      </c>
      <c r="C28" s="83">
        <f t="shared" si="0"/>
        <v>9.228220447391806E-05</v>
      </c>
      <c r="D28" s="83">
        <f t="shared" si="0"/>
        <v>0.0003296688226128549</v>
      </c>
      <c r="E28" s="83">
        <f t="shared" si="0"/>
        <v>0</v>
      </c>
      <c r="F28" s="83">
        <f t="shared" si="0"/>
        <v>0</v>
      </c>
    </row>
    <row r="29" spans="1:6" ht="12.75">
      <c r="A29" s="25">
        <v>15</v>
      </c>
      <c r="B29" s="4" t="s">
        <v>166</v>
      </c>
      <c r="C29" s="22">
        <f t="shared" si="0"/>
        <v>0.003125859249519937</v>
      </c>
      <c r="D29" s="22">
        <f t="shared" si="0"/>
        <v>0.0031957534790037828</v>
      </c>
      <c r="E29" s="22">
        <f t="shared" si="0"/>
        <v>0.003172391932550686</v>
      </c>
      <c r="F29" s="22">
        <f t="shared" si="0"/>
        <v>0.002981679732609513</v>
      </c>
    </row>
    <row r="30" spans="1:6" ht="12.75">
      <c r="A30" s="25"/>
      <c r="C30" s="22"/>
      <c r="D30" s="22"/>
      <c r="E30" s="22"/>
      <c r="F30" s="22"/>
    </row>
    <row r="31" spans="1:3" ht="12.75">
      <c r="A31" s="25"/>
      <c r="B31" s="4" t="s">
        <v>173</v>
      </c>
      <c r="C31" s="38"/>
    </row>
    <row r="32" spans="1:3" ht="12.75">
      <c r="A32" s="25">
        <v>16</v>
      </c>
      <c r="B32" s="4" t="s">
        <v>96</v>
      </c>
      <c r="C32" s="38">
        <f>C25*D11</f>
        <v>2861.182005728805</v>
      </c>
    </row>
    <row r="33" spans="1:3" ht="12.75">
      <c r="A33" s="25">
        <v>17</v>
      </c>
      <c r="B33" s="4" t="s">
        <v>101</v>
      </c>
      <c r="C33" s="15">
        <f>C26*D12</f>
        <v>326.4022367631122</v>
      </c>
    </row>
    <row r="34" spans="1:3" ht="12.75">
      <c r="A34" s="25">
        <v>18</v>
      </c>
      <c r="B34" s="4" t="s">
        <v>108</v>
      </c>
      <c r="C34" s="15">
        <f>C27*D13</f>
        <v>3.0887591788227553</v>
      </c>
    </row>
    <row r="35" spans="1:5" ht="12.75">
      <c r="A35" s="25">
        <v>19</v>
      </c>
      <c r="B35" s="4" t="s">
        <v>114</v>
      </c>
      <c r="C35" s="27">
        <f>C28*D14</f>
        <v>6.99809916376967</v>
      </c>
      <c r="E35" s="38"/>
    </row>
    <row r="36" spans="1:4" ht="12.75">
      <c r="A36" s="25">
        <v>20</v>
      </c>
      <c r="B36" s="4" t="s">
        <v>119</v>
      </c>
      <c r="C36" s="38">
        <f>SUM(C32:C35)</f>
        <v>3197.67110083451</v>
      </c>
      <c r="D36" s="38"/>
    </row>
    <row r="37" ht="12.75">
      <c r="A37" s="25"/>
    </row>
    <row r="38" spans="1:4" ht="12.75">
      <c r="A38" s="25">
        <v>21</v>
      </c>
      <c r="B38" s="4" t="s">
        <v>188</v>
      </c>
      <c r="C38" s="84">
        <f>'KSM-NCS-3 p4&amp;5 Factors'!E12</f>
        <v>0.10084978656339344</v>
      </c>
      <c r="D38" s="85" t="s">
        <v>189</v>
      </c>
    </row>
    <row r="39" spans="1:4" ht="12.75">
      <c r="A39" s="25"/>
      <c r="C39" s="38"/>
      <c r="D39" s="38"/>
    </row>
    <row r="40" spans="1:4" ht="12.75">
      <c r="A40" s="25">
        <v>22</v>
      </c>
      <c r="B40" s="4" t="s">
        <v>194</v>
      </c>
      <c r="C40" s="38">
        <f>C36*C38*1000</f>
        <v>322484.4480190917</v>
      </c>
      <c r="D40" s="38"/>
    </row>
    <row r="41" spans="1:4" ht="12.75">
      <c r="A41" s="25"/>
      <c r="C41" s="38"/>
      <c r="D41" s="38"/>
    </row>
    <row r="42" spans="1:4" ht="12.75">
      <c r="A42" s="25">
        <v>23</v>
      </c>
      <c r="B42" s="4" t="s">
        <v>197</v>
      </c>
      <c r="C42" s="86">
        <f>+'KSM-NCS-4 p1 Rev Req'!C20</f>
        <v>271924.74</v>
      </c>
      <c r="D42" s="38"/>
    </row>
    <row r="43" spans="1:4" ht="12.75">
      <c r="A43" s="25"/>
      <c r="D43" s="38"/>
    </row>
    <row r="44" spans="1:4" ht="13.5" thickBot="1">
      <c r="A44" s="25">
        <v>24</v>
      </c>
      <c r="B44" s="4" t="s">
        <v>205</v>
      </c>
      <c r="C44" s="87">
        <f>C40-C42</f>
        <v>50559.70801909169</v>
      </c>
      <c r="D44" s="38"/>
    </row>
    <row r="45" ht="13.5" thickTop="1">
      <c r="C45" s="38"/>
    </row>
    <row r="46" spans="3:4" ht="12.75">
      <c r="C46" s="38"/>
      <c r="D46" s="38"/>
    </row>
    <row r="47" spans="3:4" ht="12.75">
      <c r="C47" s="38"/>
      <c r="D47" s="38"/>
    </row>
    <row r="48" spans="2:4" ht="12.75">
      <c r="B48" s="4" t="s">
        <v>213</v>
      </c>
      <c r="C48" s="22">
        <f>D29</f>
        <v>0.0031957534790037828</v>
      </c>
      <c r="D48" s="3" t="s">
        <v>214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2" width="4.7109375" style="88" customWidth="1"/>
    <col min="3" max="3" width="47.00390625" style="88" customWidth="1"/>
    <col min="4" max="4" width="15.57421875" style="89" customWidth="1"/>
    <col min="5" max="5" width="9.140625" style="89" customWidth="1"/>
    <col min="6" max="6" width="14.421875" style="89" customWidth="1"/>
    <col min="7" max="7" width="14.28125" style="89" customWidth="1"/>
    <col min="8" max="16384" width="9.140625" style="89" customWidth="1"/>
  </cols>
  <sheetData>
    <row r="1" spans="1:4" ht="12.75">
      <c r="A1" s="88" t="s">
        <v>328</v>
      </c>
      <c r="D1" s="71" t="s">
        <v>2</v>
      </c>
    </row>
    <row r="2" ht="12.75">
      <c r="A2" s="88" t="s">
        <v>329</v>
      </c>
    </row>
    <row r="3" ht="12.75">
      <c r="A3" s="90" t="str">
        <f>+'KSM-NCS-4 p11 Uncollectibles'!A2</f>
        <v>Test Period - Twelve Months Ended September 30, 2007</v>
      </c>
    </row>
    <row r="6" spans="1:4" ht="12.75">
      <c r="A6" s="91" t="s">
        <v>20</v>
      </c>
      <c r="B6" s="29"/>
      <c r="C6" s="29"/>
      <c r="D6" s="92" t="s">
        <v>44</v>
      </c>
    </row>
    <row r="7" spans="1:4" ht="12.75">
      <c r="A7" s="93" t="s">
        <v>37</v>
      </c>
      <c r="B7" s="94"/>
      <c r="C7" s="94"/>
      <c r="D7" s="95" t="s">
        <v>330</v>
      </c>
    </row>
    <row r="8" spans="1:4" ht="12.75">
      <c r="A8" s="91"/>
      <c r="B8" s="29"/>
      <c r="C8" s="29"/>
      <c r="D8" s="92"/>
    </row>
    <row r="9" spans="1:3" ht="12.75">
      <c r="A9" s="91"/>
      <c r="B9" s="29"/>
      <c r="C9" s="29"/>
    </row>
    <row r="10" spans="1:3" ht="12.75">
      <c r="A10" s="96" t="s">
        <v>331</v>
      </c>
      <c r="B10" s="29"/>
      <c r="C10" s="29"/>
    </row>
    <row r="11" spans="1:4" ht="12.75">
      <c r="A11" s="91">
        <v>1</v>
      </c>
      <c r="B11" s="29"/>
      <c r="C11" s="97" t="s">
        <v>332</v>
      </c>
      <c r="D11" s="116">
        <v>603762575.7224998</v>
      </c>
    </row>
    <row r="12" spans="1:4" ht="12.75">
      <c r="A12" s="91">
        <f>+A11+1</f>
        <v>2</v>
      </c>
      <c r="B12" s="29"/>
      <c r="C12" s="97" t="s">
        <v>333</v>
      </c>
      <c r="D12" s="122">
        <v>0</v>
      </c>
    </row>
    <row r="13" spans="1:4" ht="12.75">
      <c r="A13" s="91">
        <f>+A12+1</f>
        <v>3</v>
      </c>
      <c r="B13" s="29"/>
      <c r="C13" s="99" t="s">
        <v>365</v>
      </c>
      <c r="D13" s="122">
        <v>576939422.8441666</v>
      </c>
    </row>
    <row r="14" spans="1:4" ht="12.75">
      <c r="A14" s="91">
        <f>+A13+1</f>
        <v>4</v>
      </c>
      <c r="B14" s="29"/>
      <c r="C14" s="97" t="s">
        <v>334</v>
      </c>
      <c r="D14" s="122">
        <v>3647827</v>
      </c>
    </row>
    <row r="15" spans="1:4" ht="12.75">
      <c r="A15" s="91">
        <f>+A14+1</f>
        <v>5</v>
      </c>
      <c r="B15" s="29"/>
      <c r="C15" s="97" t="s">
        <v>335</v>
      </c>
      <c r="D15" s="123">
        <v>6325549.168333332</v>
      </c>
    </row>
    <row r="16" spans="1:4" ht="12.75">
      <c r="A16" s="91">
        <f>+A15+1</f>
        <v>6</v>
      </c>
      <c r="B16" s="29"/>
      <c r="C16" s="97" t="s">
        <v>336</v>
      </c>
      <c r="D16" s="98">
        <f>SUM(D11:D15)</f>
        <v>1190675374.735</v>
      </c>
    </row>
    <row r="17" spans="1:4" ht="12.75">
      <c r="A17" s="91"/>
      <c r="B17" s="29"/>
      <c r="C17" s="29"/>
      <c r="D17" s="98"/>
    </row>
    <row r="18" spans="1:4" ht="12.75">
      <c r="A18" s="96" t="s">
        <v>337</v>
      </c>
      <c r="B18" s="29"/>
      <c r="C18" s="29"/>
      <c r="D18" s="98"/>
    </row>
    <row r="19" spans="1:4" ht="12.75">
      <c r="A19" s="91"/>
      <c r="B19" s="96"/>
      <c r="C19" s="29"/>
      <c r="D19" s="98"/>
    </row>
    <row r="20" spans="1:4" ht="12.75">
      <c r="A20" s="91"/>
      <c r="B20" s="97" t="s">
        <v>338</v>
      </c>
      <c r="C20" s="29"/>
      <c r="D20" s="98"/>
    </row>
    <row r="21" spans="1:4" ht="12.75">
      <c r="A21" s="91">
        <f>+A16+1</f>
        <v>7</v>
      </c>
      <c r="B21" s="29"/>
      <c r="C21" s="97" t="s">
        <v>339</v>
      </c>
      <c r="D21" s="122">
        <v>1948901439.9349997</v>
      </c>
    </row>
    <row r="22" spans="1:4" ht="12.75">
      <c r="A22" s="91">
        <f aca="true" t="shared" si="0" ref="A22:A28">+A21+1</f>
        <v>8</v>
      </c>
      <c r="B22" s="29"/>
      <c r="C22" s="97" t="s">
        <v>110</v>
      </c>
      <c r="D22" s="122">
        <v>-779415029.7108334</v>
      </c>
    </row>
    <row r="23" spans="1:4" ht="12.75">
      <c r="A23" s="91">
        <f t="shared" si="0"/>
        <v>9</v>
      </c>
      <c r="B23" s="29"/>
      <c r="C23" s="97" t="s">
        <v>340</v>
      </c>
      <c r="D23" s="122">
        <v>-115614129.09166665</v>
      </c>
    </row>
    <row r="24" spans="1:4" ht="12.75">
      <c r="A24" s="91">
        <f t="shared" si="0"/>
        <v>10</v>
      </c>
      <c r="B24" s="29"/>
      <c r="C24" s="97" t="s">
        <v>341</v>
      </c>
      <c r="D24" s="122">
        <v>13645769.068333331</v>
      </c>
    </row>
    <row r="25" spans="1:4" ht="12.75">
      <c r="A25" s="91">
        <f t="shared" si="0"/>
        <v>11</v>
      </c>
      <c r="B25" s="29"/>
      <c r="C25" s="97" t="s">
        <v>342</v>
      </c>
      <c r="D25" s="122">
        <v>-895.0250000000657</v>
      </c>
    </row>
    <row r="26" spans="1:4" ht="12.75">
      <c r="A26" s="91">
        <f t="shared" si="0"/>
        <v>12</v>
      </c>
      <c r="B26" s="29"/>
      <c r="C26" s="97" t="s">
        <v>131</v>
      </c>
      <c r="D26" s="122">
        <v>-4386407.31125</v>
      </c>
    </row>
    <row r="27" spans="1:4" ht="12.75">
      <c r="A27" s="91">
        <f t="shared" si="0"/>
        <v>13</v>
      </c>
      <c r="B27" s="29"/>
      <c r="C27" s="97" t="s">
        <v>343</v>
      </c>
      <c r="D27" s="123">
        <v>-2376403.795833334</v>
      </c>
    </row>
    <row r="28" spans="1:4" ht="12.75">
      <c r="A28" s="91">
        <f t="shared" si="0"/>
        <v>14</v>
      </c>
      <c r="B28" s="29"/>
      <c r="C28" s="97" t="s">
        <v>344</v>
      </c>
      <c r="D28" s="98">
        <f>SUM(D21:D27)</f>
        <v>1060754344.0687498</v>
      </c>
    </row>
    <row r="29" spans="1:4" ht="12.75">
      <c r="A29" s="91"/>
      <c r="B29" s="29"/>
      <c r="C29" s="29"/>
      <c r="D29" s="98"/>
    </row>
    <row r="30" spans="1:4" ht="12.75">
      <c r="A30" s="91"/>
      <c r="B30" s="29"/>
      <c r="C30" s="29"/>
      <c r="D30" s="98"/>
    </row>
    <row r="31" spans="1:4" ht="12.75">
      <c r="A31" s="91"/>
      <c r="B31" s="29" t="s">
        <v>345</v>
      </c>
      <c r="C31" s="29"/>
      <c r="D31" s="98"/>
    </row>
    <row r="32" spans="1:4" ht="12.75">
      <c r="A32" s="91">
        <f>+A28+1</f>
        <v>15</v>
      </c>
      <c r="B32" s="29"/>
      <c r="C32" s="29" t="s">
        <v>346</v>
      </c>
      <c r="D32" s="120">
        <v>22451330.905833334</v>
      </c>
    </row>
    <row r="33" spans="1:4" ht="12.75">
      <c r="A33" s="91">
        <f aca="true" t="shared" si="1" ref="A33:A40">+A32+1</f>
        <v>16</v>
      </c>
      <c r="B33" s="29"/>
      <c r="C33" s="29" t="s">
        <v>347</v>
      </c>
      <c r="D33" s="120">
        <v>59628477.201250024</v>
      </c>
    </row>
    <row r="34" spans="1:4" ht="12.75">
      <c r="A34" s="91">
        <f t="shared" si="1"/>
        <v>17</v>
      </c>
      <c r="B34" s="29"/>
      <c r="C34" s="29" t="s">
        <v>348</v>
      </c>
      <c r="D34" s="120">
        <v>-7153679.954583333</v>
      </c>
    </row>
    <row r="35" spans="1:4" ht="12.75">
      <c r="A35" s="91">
        <f t="shared" si="1"/>
        <v>18</v>
      </c>
      <c r="B35" s="29"/>
      <c r="C35" s="29" t="s">
        <v>366</v>
      </c>
      <c r="D35" s="120">
        <v>-25596769.578333333</v>
      </c>
    </row>
    <row r="36" spans="1:4" ht="12.75">
      <c r="A36" s="91">
        <f t="shared" si="1"/>
        <v>19</v>
      </c>
      <c r="B36" s="29"/>
      <c r="C36" s="29" t="s">
        <v>367</v>
      </c>
      <c r="D36" s="120">
        <v>964898.3650000006</v>
      </c>
    </row>
    <row r="37" spans="1:4" ht="12.75">
      <c r="A37" s="91">
        <f t="shared" si="1"/>
        <v>20</v>
      </c>
      <c r="B37" s="29"/>
      <c r="C37" s="29" t="s">
        <v>368</v>
      </c>
      <c r="D37" s="120">
        <v>221208.03333333335</v>
      </c>
    </row>
    <row r="38" spans="1:4" ht="12.75">
      <c r="A38" s="91">
        <f t="shared" si="1"/>
        <v>21</v>
      </c>
      <c r="B38" s="29"/>
      <c r="C38" s="29" t="s">
        <v>349</v>
      </c>
      <c r="D38" s="120">
        <v>-35879106.008750014</v>
      </c>
    </row>
    <row r="39" spans="1:4" ht="12.75">
      <c r="A39" s="91">
        <f t="shared" si="1"/>
        <v>22</v>
      </c>
      <c r="B39" s="29"/>
      <c r="C39" s="29" t="s">
        <v>350</v>
      </c>
      <c r="D39" s="121">
        <v>43474540.02416713</v>
      </c>
    </row>
    <row r="40" spans="1:4" ht="12.75">
      <c r="A40" s="91">
        <f t="shared" si="1"/>
        <v>23</v>
      </c>
      <c r="B40" s="29"/>
      <c r="C40" s="29" t="s">
        <v>351</v>
      </c>
      <c r="D40" s="98">
        <f>SUM(D32:D39)</f>
        <v>58110898.98791713</v>
      </c>
    </row>
    <row r="41" spans="1:4" ht="12.75">
      <c r="A41" s="91"/>
      <c r="B41" s="29"/>
      <c r="C41" s="29"/>
      <c r="D41" s="98"/>
    </row>
    <row r="42" spans="1:4" ht="12.75">
      <c r="A42" s="91"/>
      <c r="B42" s="29"/>
      <c r="C42" s="29"/>
      <c r="D42" s="98"/>
    </row>
    <row r="43" spans="1:4" ht="12.75">
      <c r="A43" s="91">
        <f>+A40+1</f>
        <v>24</v>
      </c>
      <c r="B43" s="99" t="s">
        <v>369</v>
      </c>
      <c r="C43" s="29"/>
      <c r="D43" s="98">
        <f>+D40+D28</f>
        <v>1118865243.0566669</v>
      </c>
    </row>
    <row r="44" spans="1:4" ht="12.75">
      <c r="A44" s="91"/>
      <c r="B44" s="29"/>
      <c r="C44" s="29"/>
      <c r="D44" s="98"/>
    </row>
    <row r="45" spans="1:4" ht="12.75">
      <c r="A45" s="91"/>
      <c r="B45" s="29"/>
      <c r="C45" s="29"/>
      <c r="D45" s="98"/>
    </row>
    <row r="46" spans="1:4" ht="12.75">
      <c r="A46" s="91">
        <f>+A43+1</f>
        <v>25</v>
      </c>
      <c r="B46" s="99" t="s">
        <v>370</v>
      </c>
      <c r="C46" s="29"/>
      <c r="D46" s="98">
        <f>+D16-D43</f>
        <v>71810131.67833304</v>
      </c>
    </row>
    <row r="47" spans="1:4" ht="12.75">
      <c r="A47" s="91">
        <f>+A46+1</f>
        <v>26</v>
      </c>
      <c r="B47" s="29"/>
      <c r="C47" s="29" t="s">
        <v>352</v>
      </c>
      <c r="D47" s="119">
        <v>60547597.672916666</v>
      </c>
    </row>
    <row r="48" spans="1:4" ht="12.75">
      <c r="A48" s="91">
        <f>+A47+1</f>
        <v>27</v>
      </c>
      <c r="B48" s="29"/>
      <c r="C48" s="29" t="s">
        <v>353</v>
      </c>
      <c r="D48" s="98">
        <f>+D46-D47</f>
        <v>11262534.005416378</v>
      </c>
    </row>
    <row r="49" spans="1:4" ht="12.75">
      <c r="A49" s="91"/>
      <c r="B49" s="29"/>
      <c r="C49" s="29"/>
      <c r="D49" s="98"/>
    </row>
    <row r="50" spans="1:4" ht="12.75">
      <c r="A50" s="91">
        <f>+A48+1</f>
        <v>28</v>
      </c>
      <c r="B50" s="99" t="s">
        <v>371</v>
      </c>
      <c r="C50" s="29"/>
      <c r="D50" s="98">
        <f>+D43</f>
        <v>1118865243.0566669</v>
      </c>
    </row>
    <row r="51" spans="1:4" ht="12.75">
      <c r="A51" s="91">
        <f>+A50+1</f>
        <v>29</v>
      </c>
      <c r="B51" s="29"/>
      <c r="C51" s="99" t="s">
        <v>372</v>
      </c>
      <c r="D51" s="98">
        <f>-D32</f>
        <v>-22451330.905833334</v>
      </c>
    </row>
    <row r="52" spans="1:4" ht="12.75">
      <c r="A52" s="91">
        <f>+A51+1</f>
        <v>30</v>
      </c>
      <c r="B52" s="29"/>
      <c r="C52" s="99" t="s">
        <v>373</v>
      </c>
      <c r="D52" s="100">
        <f>-D38</f>
        <v>35879106.008750014</v>
      </c>
    </row>
    <row r="53" spans="1:4" ht="12.75">
      <c r="A53" s="91">
        <f>+A52+1</f>
        <v>31</v>
      </c>
      <c r="B53" s="29" t="s">
        <v>354</v>
      </c>
      <c r="C53" s="29"/>
      <c r="D53" s="98">
        <f>+D50+D51+D52</f>
        <v>1132293018.1595836</v>
      </c>
    </row>
    <row r="54" spans="1:4" ht="12.75">
      <c r="A54" s="91"/>
      <c r="B54" s="29"/>
      <c r="C54" s="29"/>
      <c r="D54" s="98"/>
    </row>
    <row r="55" spans="1:7" ht="12.75">
      <c r="A55" s="91">
        <f>+A53+1</f>
        <v>32</v>
      </c>
      <c r="B55" s="99" t="s">
        <v>374</v>
      </c>
      <c r="C55" s="29"/>
      <c r="D55" s="101">
        <f>+D48/D53</f>
        <v>0.009946660294454854</v>
      </c>
      <c r="F55" s="102"/>
      <c r="G55" s="102"/>
    </row>
    <row r="56" spans="1:4" ht="12.75">
      <c r="A56" s="91"/>
      <c r="B56" s="29"/>
      <c r="C56" s="29"/>
      <c r="D56" s="98"/>
    </row>
    <row r="57" spans="1:4" ht="12.75">
      <c r="A57" s="91">
        <f>+A55+1</f>
        <v>33</v>
      </c>
      <c r="B57" s="29" t="s">
        <v>546</v>
      </c>
      <c r="C57" s="29"/>
      <c r="D57" s="98">
        <f>+'KSM-NCS-3 p6&amp;7 Rate Base'!Q97</f>
        <v>118753441.0894271</v>
      </c>
    </row>
    <row r="58" spans="1:4" ht="12.75">
      <c r="A58" s="92"/>
      <c r="D58" s="98"/>
    </row>
    <row r="59" spans="1:4" ht="12.75">
      <c r="A59" s="92">
        <v>34</v>
      </c>
      <c r="B59" s="29" t="s">
        <v>355</v>
      </c>
      <c r="C59" s="29"/>
      <c r="D59" s="98">
        <f>+D57*D55</f>
        <v>1181200.1373140882</v>
      </c>
    </row>
    <row r="60" spans="1:4" ht="12.75">
      <c r="A60" s="92"/>
      <c r="B60" s="29" t="s">
        <v>356</v>
      </c>
      <c r="C60" s="99" t="s">
        <v>376</v>
      </c>
      <c r="D60" s="98"/>
    </row>
    <row r="61" spans="1:4" ht="12.75">
      <c r="A61" s="92">
        <v>35</v>
      </c>
      <c r="B61" s="29"/>
      <c r="C61" s="29" t="s">
        <v>357</v>
      </c>
      <c r="D61" s="98">
        <f>D47</f>
        <v>60547597.672916666</v>
      </c>
    </row>
    <row r="62" spans="1:6" ht="12.75">
      <c r="A62" s="92">
        <v>36</v>
      </c>
      <c r="B62" s="29"/>
      <c r="C62" s="29" t="s">
        <v>358</v>
      </c>
      <c r="D62" s="103">
        <f>+'KSM-NCS-3 p4&amp;5 Factors'!E54</f>
        <v>0.09510516111522671</v>
      </c>
      <c r="F62" s="89" t="s">
        <v>551</v>
      </c>
    </row>
    <row r="63" spans="1:4" ht="12.75">
      <c r="A63" s="92">
        <v>37</v>
      </c>
      <c r="B63" s="29"/>
      <c r="C63" s="99" t="s">
        <v>377</v>
      </c>
      <c r="D63" s="98">
        <f>+D61*D62</f>
        <v>5758389.031822666</v>
      </c>
    </row>
    <row r="64" spans="1:4" ht="12.75">
      <c r="A64" s="92"/>
      <c r="B64" s="29"/>
      <c r="C64" s="29"/>
      <c r="D64" s="98"/>
    </row>
    <row r="65" spans="1:4" ht="13.5" thickBot="1">
      <c r="A65" s="92">
        <v>38</v>
      </c>
      <c r="B65" s="99" t="s">
        <v>378</v>
      </c>
      <c r="C65" s="29"/>
      <c r="D65" s="104">
        <f>(+D63+D59)</f>
        <v>6939589.169136753</v>
      </c>
    </row>
    <row r="66" ht="13.5" thickTop="1"/>
  </sheetData>
  <sheetProtection/>
  <printOptions horizontalCentered="1"/>
  <pageMargins left="0.5" right="0.5" top="0.5" bottom="0.5" header="0.25" footer="0.25"/>
  <pageSetup fitToHeight="1" fitToWidth="1" horizontalDpi="600" verticalDpi="6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4">
      <selection activeCell="F37" sqref="F37"/>
    </sheetView>
  </sheetViews>
  <sheetFormatPr defaultColWidth="9.140625" defaultRowHeight="15"/>
  <cols>
    <col min="1" max="1" width="4.7109375" style="4" customWidth="1"/>
    <col min="2" max="2" width="51.140625" style="4" customWidth="1"/>
    <col min="3" max="5" width="13.7109375" style="3" customWidth="1"/>
    <col min="6" max="16384" width="9.140625" style="3" customWidth="1"/>
  </cols>
  <sheetData>
    <row r="1" spans="1:6" ht="12.75">
      <c r="A1" s="4" t="s">
        <v>0</v>
      </c>
      <c r="E1" s="36" t="s">
        <v>3</v>
      </c>
      <c r="F1" s="89"/>
    </row>
    <row r="2" ht="12.75">
      <c r="A2" s="4" t="str">
        <f>+'KSM-NCS-3 p8 Taxes'!A2</f>
        <v>Test Period - Twelve Months Ended September 30, 2007</v>
      </c>
    </row>
    <row r="3" ht="12.75">
      <c r="A3" s="4" t="s">
        <v>635</v>
      </c>
    </row>
    <row r="5" spans="3:5" ht="12.75">
      <c r="C5" s="31" t="s">
        <v>11</v>
      </c>
      <c r="D5" s="31"/>
      <c r="E5" s="31"/>
    </row>
    <row r="6" spans="1:5" ht="12.75">
      <c r="A6" s="25" t="s">
        <v>20</v>
      </c>
      <c r="C6" s="31" t="s">
        <v>34</v>
      </c>
      <c r="D6" s="31" t="s">
        <v>35</v>
      </c>
      <c r="E6" s="31" t="s">
        <v>36</v>
      </c>
    </row>
    <row r="7" spans="1:5" ht="12.75">
      <c r="A7" s="26" t="s">
        <v>37</v>
      </c>
      <c r="C7" s="26" t="s">
        <v>59</v>
      </c>
      <c r="D7" s="26" t="s">
        <v>60</v>
      </c>
      <c r="E7" s="26" t="s">
        <v>59</v>
      </c>
    </row>
    <row r="8" spans="1:5" ht="12.75">
      <c r="A8" s="25"/>
      <c r="C8" s="25" t="s">
        <v>64</v>
      </c>
      <c r="D8" s="25" t="s">
        <v>65</v>
      </c>
      <c r="E8" s="25" t="s">
        <v>66</v>
      </c>
    </row>
    <row r="9" spans="1:2" ht="12.75">
      <c r="A9" s="25"/>
      <c r="B9" s="368" t="s">
        <v>597</v>
      </c>
    </row>
    <row r="10" spans="1:5" ht="12.75">
      <c r="A10" s="25">
        <v>1</v>
      </c>
      <c r="B10" s="4" t="s">
        <v>90</v>
      </c>
      <c r="C10" s="105">
        <v>40981.86</v>
      </c>
      <c r="D10" s="106">
        <v>0.19</v>
      </c>
      <c r="E10" s="107">
        <f>-C10*D10</f>
        <v>-7786.5534</v>
      </c>
    </row>
    <row r="11" spans="1:4" ht="12.75">
      <c r="A11" s="25"/>
      <c r="C11" s="108"/>
      <c r="D11" s="106"/>
    </row>
    <row r="12" spans="1:5" ht="12.75">
      <c r="A12" s="25">
        <v>2</v>
      </c>
      <c r="B12" s="4" t="s">
        <v>102</v>
      </c>
      <c r="C12" s="105">
        <v>270.36</v>
      </c>
      <c r="D12" s="106">
        <v>1</v>
      </c>
      <c r="E12" s="27">
        <f>-C12*D12</f>
        <v>-270.36</v>
      </c>
    </row>
    <row r="13" spans="1:4" ht="12.75">
      <c r="A13" s="25"/>
      <c r="C13" s="16"/>
      <c r="D13" s="8"/>
    </row>
    <row r="14" spans="1:5" ht="13.5" thickBot="1">
      <c r="A14" s="25">
        <v>3</v>
      </c>
      <c r="B14" s="4" t="s">
        <v>115</v>
      </c>
      <c r="E14" s="109">
        <f>SUM(E10:E12)</f>
        <v>-8056.9133999999995</v>
      </c>
    </row>
    <row r="15" spans="1:5" ht="13.5" thickTop="1">
      <c r="A15" s="25"/>
      <c r="E15" s="110"/>
    </row>
    <row r="16" spans="1:5" ht="12.75">
      <c r="A16" s="25"/>
      <c r="E16" s="110"/>
    </row>
    <row r="17" spans="1:5" ht="12.75">
      <c r="A17" s="25"/>
      <c r="E17" s="110"/>
    </row>
    <row r="18" spans="3:5" ht="12.75">
      <c r="C18" s="25"/>
      <c r="D18" s="31" t="s">
        <v>57</v>
      </c>
      <c r="E18" s="4"/>
    </row>
    <row r="19" spans="3:5" ht="12.75">
      <c r="C19" s="31" t="s">
        <v>10</v>
      </c>
      <c r="D19" s="31" t="s">
        <v>593</v>
      </c>
      <c r="E19" s="31" t="s">
        <v>11</v>
      </c>
    </row>
    <row r="20" spans="1:5" ht="12.75">
      <c r="A20" s="25"/>
      <c r="C20" s="31" t="s">
        <v>34</v>
      </c>
      <c r="D20" s="31" t="s">
        <v>594</v>
      </c>
      <c r="E20" s="31" t="s">
        <v>596</v>
      </c>
    </row>
    <row r="21" spans="1:5" ht="12.75">
      <c r="A21" s="25"/>
      <c r="C21" s="26" t="s">
        <v>59</v>
      </c>
      <c r="D21" s="26" t="s">
        <v>595</v>
      </c>
      <c r="E21" s="26" t="s">
        <v>59</v>
      </c>
    </row>
    <row r="22" spans="1:5" ht="12.75">
      <c r="A22" s="25"/>
      <c r="B22" s="25"/>
      <c r="C22" s="25" t="s">
        <v>64</v>
      </c>
      <c r="D22" s="25" t="s">
        <v>65</v>
      </c>
      <c r="E22" s="25" t="s">
        <v>66</v>
      </c>
    </row>
    <row r="23" spans="1:5" ht="12.75">
      <c r="A23" s="25"/>
      <c r="B23" s="368"/>
      <c r="C23" s="25"/>
      <c r="D23" s="4"/>
      <c r="E23" s="4"/>
    </row>
    <row r="24" spans="1:5" ht="13.5" thickBot="1">
      <c r="A24" s="25">
        <v>4</v>
      </c>
      <c r="B24" s="4" t="s">
        <v>636</v>
      </c>
      <c r="C24" s="369">
        <v>2012807</v>
      </c>
      <c r="D24" s="371">
        <f>+'KSM-NCS-3 p4&amp;5 Factors'!E18</f>
        <v>0.10278377094663636</v>
      </c>
      <c r="E24" s="369">
        <f>+C24*D24</f>
        <v>206883.8936477863</v>
      </c>
    </row>
    <row r="25" spans="1:5" ht="13.5" thickTop="1">
      <c r="A25" s="25"/>
      <c r="C25" s="372"/>
      <c r="D25" s="4"/>
      <c r="E25" s="372"/>
    </row>
    <row r="26" spans="1:5" ht="13.5" thickBot="1">
      <c r="A26" s="25">
        <v>5</v>
      </c>
      <c r="B26" s="4" t="s">
        <v>637</v>
      </c>
      <c r="C26" s="369">
        <v>357454.22</v>
      </c>
      <c r="D26" s="371">
        <f>+'KSM-NCS-3 p4&amp;5 Factors'!E18</f>
        <v>0.10278377094663636</v>
      </c>
      <c r="E26" s="369">
        <f>+C26*D24</f>
        <v>36740.49267238856</v>
      </c>
    </row>
    <row r="27" spans="1:5" ht="13.5" thickTop="1">
      <c r="A27" s="25"/>
      <c r="E27" s="15"/>
    </row>
    <row r="28" spans="1:5" ht="13.5" thickBot="1">
      <c r="A28" s="25">
        <v>6</v>
      </c>
      <c r="B28" s="4" t="s">
        <v>664</v>
      </c>
      <c r="E28" s="109">
        <f>+E24-E26</f>
        <v>170143.40097539773</v>
      </c>
    </row>
    <row r="29" ht="13.5" thickTop="1"/>
    <row r="30" spans="1:5" ht="13.5" thickBot="1">
      <c r="A30" s="25">
        <f>+A28+1</f>
        <v>7</v>
      </c>
      <c r="B30" s="4" t="s">
        <v>638</v>
      </c>
      <c r="E30" s="373">
        <f>-E26</f>
        <v>-36740.49267238856</v>
      </c>
    </row>
    <row r="31" ht="13.5" thickTop="1">
      <c r="B31" s="3"/>
    </row>
    <row r="32" spans="1:2" ht="12.75">
      <c r="A32" s="3"/>
      <c r="B32" s="3"/>
    </row>
    <row r="33" spans="1:2" ht="12.75">
      <c r="A33" s="3"/>
      <c r="B33" s="3"/>
    </row>
    <row r="34" spans="1:5" ht="13.5" thickBot="1">
      <c r="A34" s="25">
        <f>+A30+1</f>
        <v>8</v>
      </c>
      <c r="B34" s="4" t="s">
        <v>665</v>
      </c>
      <c r="E34" s="370">
        <f>+E30+E14</f>
        <v>-44797.406072388556</v>
      </c>
    </row>
    <row r="35" ht="13.5" thickTop="1"/>
    <row r="37" spans="1:2" ht="12.75">
      <c r="A37" s="3"/>
      <c r="B37" s="3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E20" sqref="E20:E21"/>
    </sheetView>
  </sheetViews>
  <sheetFormatPr defaultColWidth="10.28125" defaultRowHeight="15"/>
  <cols>
    <col min="1" max="1" width="4.7109375" style="4" customWidth="1"/>
    <col min="2" max="2" width="49.57421875" style="4" customWidth="1"/>
    <col min="3" max="3" width="15.00390625" style="3" customWidth="1"/>
    <col min="4" max="4" width="5.7109375" style="3" customWidth="1"/>
    <col min="5" max="5" width="13.7109375" style="3" customWidth="1"/>
    <col min="6" max="6" width="16.7109375" style="3" customWidth="1"/>
    <col min="7" max="11" width="10.28125" style="3" customWidth="1"/>
    <col min="12" max="12" width="18.57421875" style="3" customWidth="1"/>
    <col min="13" max="16384" width="10.28125" style="3" customWidth="1"/>
  </cols>
  <sheetData>
    <row r="1" spans="1:5" ht="12.75">
      <c r="A1" s="4" t="s">
        <v>0</v>
      </c>
      <c r="E1" s="25"/>
    </row>
    <row r="2" ht="12.75">
      <c r="A2" s="4" t="s">
        <v>4</v>
      </c>
    </row>
    <row r="3" ht="12.75">
      <c r="A3" s="154" t="s">
        <v>500</v>
      </c>
    </row>
    <row r="4" spans="7:8" ht="12.75">
      <c r="G4" s="8"/>
      <c r="H4" s="8"/>
    </row>
    <row r="6" spans="3:8" ht="12.75">
      <c r="C6" s="25" t="s">
        <v>10</v>
      </c>
      <c r="D6" s="25"/>
      <c r="E6" s="25" t="s">
        <v>11</v>
      </c>
      <c r="H6" s="8"/>
    </row>
    <row r="7" spans="1:5" ht="12.75">
      <c r="A7" s="25" t="s">
        <v>20</v>
      </c>
      <c r="C7" s="25" t="s">
        <v>15</v>
      </c>
      <c r="D7" s="25"/>
      <c r="E7" s="25" t="s">
        <v>15</v>
      </c>
    </row>
    <row r="8" spans="1:5" ht="12.75">
      <c r="A8" s="73" t="s">
        <v>37</v>
      </c>
      <c r="C8" s="26" t="s">
        <v>21</v>
      </c>
      <c r="D8" s="25"/>
      <c r="E8" s="26" t="s">
        <v>21</v>
      </c>
    </row>
    <row r="9" spans="1:5" ht="12.75">
      <c r="A9" s="25"/>
      <c r="C9" s="25" t="s">
        <v>64</v>
      </c>
      <c r="D9" s="25"/>
      <c r="E9" s="25" t="s">
        <v>65</v>
      </c>
    </row>
    <row r="10" ht="12.75">
      <c r="A10" s="25"/>
    </row>
    <row r="11" spans="1:5" ht="12.75">
      <c r="A11" s="25"/>
      <c r="B11" s="4" t="s">
        <v>87</v>
      </c>
      <c r="C11" s="124"/>
      <c r="E11" s="124"/>
    </row>
    <row r="12" spans="1:5" ht="12.75">
      <c r="A12" s="25">
        <v>1</v>
      </c>
      <c r="B12" s="4" t="s">
        <v>91</v>
      </c>
      <c r="C12" s="125">
        <f>989898322+1782626+7013752</f>
        <v>998694700</v>
      </c>
      <c r="D12" s="38"/>
      <c r="E12" s="38">
        <f>'KSM-NCS-4 p1 Rev Req'!C12</f>
        <v>93509688</v>
      </c>
    </row>
    <row r="13" spans="1:5" ht="12.75">
      <c r="A13" s="25">
        <v>2</v>
      </c>
      <c r="B13" s="4" t="s">
        <v>98</v>
      </c>
      <c r="C13" s="126">
        <v>14124732</v>
      </c>
      <c r="D13" s="15"/>
      <c r="E13" s="127">
        <f>'KSM-NCS-4 p1 Rev Req'!C13</f>
        <v>897029.45</v>
      </c>
    </row>
    <row r="14" spans="1:5" ht="12.75">
      <c r="A14" s="25">
        <v>3</v>
      </c>
      <c r="B14" s="4" t="s">
        <v>103</v>
      </c>
      <c r="C14" s="128">
        <v>5019796</v>
      </c>
      <c r="D14" s="15"/>
      <c r="E14" s="129">
        <f>'KSM-NCS-4 p1 Rev Req'!C14</f>
        <v>218623.97000000003</v>
      </c>
    </row>
    <row r="15" spans="1:5" ht="12.75">
      <c r="A15" s="25"/>
      <c r="C15" s="127"/>
      <c r="D15" s="130"/>
      <c r="E15" s="127"/>
    </row>
    <row r="16" spans="1:5" ht="12.75">
      <c r="A16" s="25">
        <v>4</v>
      </c>
      <c r="B16" s="4" t="s">
        <v>117</v>
      </c>
      <c r="C16" s="127">
        <f>SUM(C12:C15)</f>
        <v>1017839228</v>
      </c>
      <c r="D16" s="130"/>
      <c r="E16" s="127">
        <f>SUM(E12:E15)</f>
        <v>94625341.42</v>
      </c>
    </row>
    <row r="17" spans="1:5" ht="12.75">
      <c r="A17" s="25"/>
      <c r="B17" s="85"/>
      <c r="C17" s="127"/>
      <c r="D17" s="130"/>
      <c r="E17" s="127"/>
    </row>
    <row r="18" spans="1:5" ht="12.75">
      <c r="A18" s="25"/>
      <c r="B18" s="4" t="s">
        <v>125</v>
      </c>
      <c r="C18" s="127"/>
      <c r="D18" s="130"/>
      <c r="E18" s="127"/>
    </row>
    <row r="19" spans="1:5" ht="12.75">
      <c r="A19" s="25">
        <v>5</v>
      </c>
      <c r="B19" s="4" t="s">
        <v>130</v>
      </c>
      <c r="C19" s="126">
        <v>648814115</v>
      </c>
      <c r="D19" s="130"/>
      <c r="E19" s="127">
        <f>'KSM-NCS-4 p1 Rev Req'!C19</f>
        <v>59716330.81000009</v>
      </c>
    </row>
    <row r="20" spans="1:5" ht="12.75">
      <c r="A20" s="25">
        <v>6</v>
      </c>
      <c r="B20" s="4" t="s">
        <v>135</v>
      </c>
      <c r="C20" s="126">
        <v>2829092</v>
      </c>
      <c r="D20" s="130"/>
      <c r="E20" s="127">
        <f>'KSM-NCS-4 p1 Rev Req'!C20</f>
        <v>271924.74</v>
      </c>
    </row>
    <row r="21" spans="1:5" ht="12.75">
      <c r="A21" s="25">
        <v>7</v>
      </c>
      <c r="B21" s="4" t="s">
        <v>138</v>
      </c>
      <c r="C21" s="128">
        <f>116472541-C20</f>
        <v>113643449</v>
      </c>
      <c r="D21" s="130"/>
      <c r="E21" s="129">
        <f>'KSM-NCS-4 p1 Rev Req'!C21</f>
        <v>11609849.76</v>
      </c>
    </row>
    <row r="22" spans="1:5" ht="12.75">
      <c r="A22" s="25"/>
      <c r="C22" s="127"/>
      <c r="D22" s="130"/>
      <c r="E22" s="127"/>
    </row>
    <row r="23" spans="1:5" ht="12.75">
      <c r="A23" s="25">
        <v>8</v>
      </c>
      <c r="B23" s="4" t="s">
        <v>147</v>
      </c>
      <c r="C23" s="127">
        <f>SUM(C19:C22)</f>
        <v>765286656</v>
      </c>
      <c r="D23" s="130"/>
      <c r="E23" s="127">
        <f>SUM(E19:E22)</f>
        <v>71598105.31000009</v>
      </c>
    </row>
    <row r="24" spans="1:5" ht="12.75">
      <c r="A24" s="25"/>
      <c r="B24" s="69"/>
      <c r="C24" s="127"/>
      <c r="D24" s="130"/>
      <c r="E24" s="127"/>
    </row>
    <row r="25" spans="1:5" ht="12.75">
      <c r="A25" s="25"/>
      <c r="C25" s="127"/>
      <c r="D25" s="130"/>
      <c r="E25" s="127"/>
    </row>
    <row r="26" spans="1:5" ht="12.75">
      <c r="A26" s="25">
        <v>9</v>
      </c>
      <c r="B26" s="4" t="s">
        <v>154</v>
      </c>
      <c r="C26" s="126">
        <v>33000265</v>
      </c>
      <c r="D26" s="130"/>
      <c r="E26" s="127">
        <f>'KSM-NCS-4 p1 Rev Req'!C26</f>
        <v>2244420.7445379733</v>
      </c>
    </row>
    <row r="27" spans="1:5" ht="12.75">
      <c r="A27" s="25">
        <v>10</v>
      </c>
      <c r="B27" s="4" t="s">
        <v>160</v>
      </c>
      <c r="C27" s="126">
        <v>6141608</v>
      </c>
      <c r="D27" s="130"/>
      <c r="E27" s="127">
        <v>0</v>
      </c>
    </row>
    <row r="28" spans="1:5" ht="12.75">
      <c r="A28" s="25">
        <v>11</v>
      </c>
      <c r="B28" s="4" t="s">
        <v>157</v>
      </c>
      <c r="C28" s="126">
        <v>16801630</v>
      </c>
      <c r="D28" s="130"/>
      <c r="E28" s="127">
        <f>+'KSM-NCS-4 p1 Rev Req'!C27</f>
        <v>974950.39</v>
      </c>
    </row>
    <row r="29" spans="1:5" ht="12.75">
      <c r="A29" s="25">
        <v>12</v>
      </c>
      <c r="B29" s="4" t="s">
        <v>161</v>
      </c>
      <c r="C29" s="126">
        <f>25190154+24320842-C28</f>
        <v>32709366</v>
      </c>
      <c r="D29" s="130"/>
      <c r="E29" s="127">
        <f>'KSM-NCS-4 p1 Rev Req'!C28</f>
        <v>4372664.768557201</v>
      </c>
    </row>
    <row r="30" spans="1:5" ht="12.75">
      <c r="A30" s="25">
        <v>13</v>
      </c>
      <c r="B30" s="4" t="s">
        <v>163</v>
      </c>
      <c r="C30" s="128">
        <v>66476363</v>
      </c>
      <c r="D30" s="130"/>
      <c r="E30" s="129">
        <f>+'KSM-NCS-4 p1 Rev Req'!C29</f>
        <v>6962865.460316728</v>
      </c>
    </row>
    <row r="31" spans="1:5" ht="12.75">
      <c r="A31" s="25"/>
      <c r="C31" s="127"/>
      <c r="D31" s="130"/>
      <c r="E31" s="127"/>
    </row>
    <row r="32" spans="1:5" ht="12.75">
      <c r="A32" s="25">
        <v>14</v>
      </c>
      <c r="B32" s="4" t="s">
        <v>167</v>
      </c>
      <c r="C32" s="129">
        <f>SUM(C23:C31)</f>
        <v>920415888</v>
      </c>
      <c r="D32" s="130"/>
      <c r="E32" s="129">
        <f>SUM(E23:E31)</f>
        <v>86153006.67341201</v>
      </c>
    </row>
    <row r="33" spans="1:5" ht="12.75">
      <c r="A33" s="25"/>
      <c r="C33" s="15"/>
      <c r="D33" s="130"/>
      <c r="E33" s="15"/>
    </row>
    <row r="34" spans="1:6" ht="13.5" thickBot="1">
      <c r="A34" s="25">
        <v>15</v>
      </c>
      <c r="B34" s="4" t="s">
        <v>174</v>
      </c>
      <c r="C34" s="131">
        <f>C16-C32</f>
        <v>97423340</v>
      </c>
      <c r="D34" s="112"/>
      <c r="E34" s="131">
        <f>E16-E32</f>
        <v>8472334.746587992</v>
      </c>
      <c r="F34" s="52"/>
    </row>
    <row r="35" spans="1:5" ht="13.5" thickTop="1">
      <c r="A35" s="25"/>
      <c r="C35" s="132"/>
      <c r="D35" s="112"/>
      <c r="E35" s="132"/>
    </row>
    <row r="36" spans="1:6" ht="13.5" thickBot="1">
      <c r="A36" s="25">
        <v>16</v>
      </c>
      <c r="B36" s="4" t="s">
        <v>178</v>
      </c>
      <c r="C36" s="131">
        <f>+'KSM-NCS-3 p6&amp;7 Rate Base'!Q51</f>
        <v>1028862611.3537502</v>
      </c>
      <c r="D36" s="112"/>
      <c r="E36" s="131">
        <f>'KSM-NCS-4 p1 Rev Req'!C35</f>
        <v>118753441.0894271</v>
      </c>
      <c r="F36" s="52"/>
    </row>
    <row r="37" spans="1:5" ht="13.5" thickTop="1">
      <c r="A37" s="25"/>
      <c r="C37" s="38"/>
      <c r="D37" s="30"/>
      <c r="E37" s="38"/>
    </row>
    <row r="38" spans="1:4" ht="12.75">
      <c r="A38" s="25"/>
      <c r="D38" s="30"/>
    </row>
    <row r="39" spans="1:5" ht="13.5" thickBot="1">
      <c r="A39" s="25">
        <v>17</v>
      </c>
      <c r="B39" s="4" t="s">
        <v>183</v>
      </c>
      <c r="C39" s="133">
        <f>ROUND(+C34/C36,5)</f>
        <v>0.09469</v>
      </c>
      <c r="D39" s="30"/>
      <c r="E39" s="133">
        <f>ROUND(+E34/E36,5)</f>
        <v>0.07134</v>
      </c>
    </row>
    <row r="40" spans="1:5" ht="13.5" thickTop="1">
      <c r="A40" s="25"/>
      <c r="C40" s="59"/>
      <c r="D40" s="30"/>
      <c r="E40" s="59"/>
    </row>
    <row r="41" spans="1:5" ht="13.5" thickBot="1">
      <c r="A41" s="25">
        <v>18</v>
      </c>
      <c r="B41" s="4" t="s">
        <v>190</v>
      </c>
      <c r="C41" s="133">
        <f>((+C39-'KSM-NCS-3 p10 Cost of Cap'!$E$11-'KSM-NCS-3 p10 Cost of Cap'!$E$12-'KSM-NCS-3 p10 Cost of Cap'!$E$13)/'KSM-NCS-3 p10 Cost of Cap'!$C$14)</f>
        <v>0.12212900395731353</v>
      </c>
      <c r="D41" s="30"/>
      <c r="E41" s="133">
        <f>((+E39-'KSM-NCS-3 p10 Cost of Cap'!$E$11-'KSM-NCS-3 p10 Cost of Cap'!$E$12-'KSM-NCS-3 p10 Cost of Cap'!$E$13)/'KSM-NCS-3 p10 Cost of Cap'!$C$14)</f>
        <v>0.07611137861596658</v>
      </c>
    </row>
    <row r="42" ht="13.5" thickTop="1">
      <c r="D42" s="30"/>
    </row>
    <row r="43" ht="12.75">
      <c r="D43" s="30"/>
    </row>
    <row r="44" ht="12.75">
      <c r="D44" s="30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F42" sqref="F42"/>
    </sheetView>
  </sheetViews>
  <sheetFormatPr defaultColWidth="9.140625" defaultRowHeight="15"/>
  <cols>
    <col min="1" max="1" width="4.7109375" style="4" customWidth="1"/>
    <col min="2" max="2" width="40.7109375" style="4" customWidth="1"/>
    <col min="3" max="3" width="13.57421875" style="3" customWidth="1"/>
    <col min="4" max="5" width="13.7109375" style="3" customWidth="1"/>
    <col min="6" max="16384" width="9.140625" style="3" customWidth="1"/>
  </cols>
  <sheetData>
    <row r="1" spans="1:6" ht="12.75">
      <c r="A1" s="4" t="str">
        <f>'KSM-NCS-4 p11 Uncollectibles'!A1</f>
        <v>NW Natural</v>
      </c>
      <c r="D1" s="4"/>
      <c r="E1" s="36" t="s">
        <v>570</v>
      </c>
      <c r="F1" s="89"/>
    </row>
    <row r="2" spans="1:5" ht="12.75">
      <c r="A2" s="4" t="str">
        <f>'KSM-NCS-4 p11 Uncollectibles'!A2</f>
        <v>Test Period - Twelve Months Ended September 30, 2007</v>
      </c>
      <c r="D2" s="4"/>
      <c r="E2" s="4"/>
    </row>
    <row r="3" spans="1:5" ht="12.75">
      <c r="A3" s="4" t="s">
        <v>9</v>
      </c>
      <c r="D3" s="4"/>
      <c r="E3" s="4"/>
    </row>
    <row r="4" spans="4:5" ht="12.75">
      <c r="D4" s="4"/>
      <c r="E4" s="4"/>
    </row>
    <row r="5" spans="4:5" ht="12.75">
      <c r="D5" s="4"/>
      <c r="E5" s="4"/>
    </row>
    <row r="6" spans="1:5" ht="12.75">
      <c r="A6" s="25" t="s">
        <v>20</v>
      </c>
      <c r="D6" s="4"/>
      <c r="E6" s="4"/>
    </row>
    <row r="7" spans="1:5" ht="12.75">
      <c r="A7" s="26" t="s">
        <v>37</v>
      </c>
      <c r="D7" s="26" t="s">
        <v>62</v>
      </c>
      <c r="E7" s="26" t="s">
        <v>63</v>
      </c>
    </row>
    <row r="8" spans="1:5" ht="12.75">
      <c r="A8" s="25"/>
      <c r="D8" s="25" t="s">
        <v>64</v>
      </c>
      <c r="E8" s="25" t="s">
        <v>65</v>
      </c>
    </row>
    <row r="9" ht="12.75">
      <c r="A9" s="25"/>
    </row>
    <row r="10" ht="12.75">
      <c r="A10" s="25"/>
    </row>
    <row r="11" spans="1:5" ht="12.75">
      <c r="A11" s="25">
        <v>1</v>
      </c>
      <c r="B11" s="4" t="s">
        <v>97</v>
      </c>
      <c r="D11" s="115">
        <v>683000</v>
      </c>
      <c r="E11" s="116">
        <f>219753+191000-220000</f>
        <v>190753</v>
      </c>
    </row>
    <row r="12" ht="12.75">
      <c r="A12" s="25"/>
    </row>
    <row r="13" spans="1:2" ht="12.75">
      <c r="A13" s="25"/>
      <c r="B13" s="4" t="s">
        <v>109</v>
      </c>
    </row>
    <row r="14" spans="1:5" ht="12.75">
      <c r="A14" s="25">
        <v>2</v>
      </c>
      <c r="B14" s="4" t="s">
        <v>116</v>
      </c>
      <c r="D14" s="41">
        <f>284020+15478-99908</f>
        <v>199590</v>
      </c>
      <c r="E14" s="41">
        <f>167530+465247-272195</f>
        <v>360582</v>
      </c>
    </row>
    <row r="15" spans="1:5" ht="12.75">
      <c r="A15" s="25">
        <v>3</v>
      </c>
      <c r="B15" s="4" t="s">
        <v>120</v>
      </c>
      <c r="D15" s="27">
        <f>+D42</f>
        <v>95466.33333333333</v>
      </c>
      <c r="E15" s="27">
        <v>0</v>
      </c>
    </row>
    <row r="16" spans="1:5" ht="12.75">
      <c r="A16" s="25">
        <v>4</v>
      </c>
      <c r="B16" s="4" t="s">
        <v>124</v>
      </c>
      <c r="D16" s="15">
        <f>D14+D15</f>
        <v>295056.3333333333</v>
      </c>
      <c r="E16" s="15">
        <f>E14+E15</f>
        <v>360582</v>
      </c>
    </row>
    <row r="17" spans="1:5" ht="12.75">
      <c r="A17" s="25"/>
      <c r="D17" s="15"/>
      <c r="E17" s="15"/>
    </row>
    <row r="18" spans="1:5" ht="12.75">
      <c r="A18" s="25">
        <v>5</v>
      </c>
      <c r="B18" s="4" t="s">
        <v>134</v>
      </c>
      <c r="D18" s="15">
        <f>D16-D11</f>
        <v>-387943.6666666667</v>
      </c>
      <c r="E18" s="15">
        <f>E16-E11</f>
        <v>169829</v>
      </c>
    </row>
    <row r="19" ht="12.75">
      <c r="A19" s="25"/>
    </row>
    <row r="20" spans="1:3" ht="12.75">
      <c r="A20" s="25">
        <v>6</v>
      </c>
      <c r="B20" s="4" t="s">
        <v>142</v>
      </c>
      <c r="C20" s="16"/>
    </row>
    <row r="21" spans="1:5" ht="12.75">
      <c r="A21" s="25"/>
      <c r="B21" s="4" t="s">
        <v>146</v>
      </c>
      <c r="D21" s="84">
        <f>+'KSM-NCS-3 p4&amp;5 Factors'!D110</f>
        <v>0.09784718408674709</v>
      </c>
      <c r="E21" s="84">
        <f>+'KSM-NCS-3 p4&amp;5 Factors'!D125</f>
        <v>0.1066917656968478</v>
      </c>
    </row>
    <row r="22" ht="12.75">
      <c r="A22" s="25"/>
    </row>
    <row r="23" spans="1:5" ht="13.5" thickBot="1">
      <c r="A23" s="25">
        <v>7</v>
      </c>
      <c r="B23" s="4" t="s">
        <v>32</v>
      </c>
      <c r="D23" s="87">
        <f>D18*D21</f>
        <v>-37959.19536762098</v>
      </c>
      <c r="E23" s="87">
        <f>E18*E21</f>
        <v>18119.355876529964</v>
      </c>
    </row>
    <row r="24" ht="13.5" thickTop="1">
      <c r="A24" s="25"/>
    </row>
    <row r="30" spans="2:3" ht="12.75">
      <c r="B30" s="4" t="s">
        <v>201</v>
      </c>
      <c r="C30" s="3" t="s">
        <v>362</v>
      </c>
    </row>
    <row r="32" spans="2:4" ht="12.75">
      <c r="B32" s="117" t="s">
        <v>472</v>
      </c>
      <c r="C32" s="15">
        <v>69749</v>
      </c>
      <c r="D32" s="15"/>
    </row>
    <row r="33" spans="2:4" ht="12.75">
      <c r="B33" s="117" t="s">
        <v>473</v>
      </c>
      <c r="C33" s="15">
        <v>116943</v>
      </c>
      <c r="D33" s="15"/>
    </row>
    <row r="34" spans="2:4" ht="12.75">
      <c r="B34" s="117" t="s">
        <v>454</v>
      </c>
      <c r="C34" s="15">
        <v>-121850</v>
      </c>
      <c r="D34" s="15"/>
    </row>
    <row r="35" spans="2:4" ht="12.75">
      <c r="B35" s="117" t="s">
        <v>322</v>
      </c>
      <c r="C35" s="15">
        <v>130385</v>
      </c>
      <c r="D35" s="15"/>
    </row>
    <row r="36" spans="2:4" ht="12.75">
      <c r="B36" s="117" t="s">
        <v>363</v>
      </c>
      <c r="C36" s="15">
        <v>-15883</v>
      </c>
      <c r="D36" s="15"/>
    </row>
    <row r="37" spans="2:4" ht="12.75">
      <c r="B37" s="117" t="s">
        <v>375</v>
      </c>
      <c r="C37" s="15">
        <v>60011</v>
      </c>
      <c r="D37" s="15"/>
    </row>
    <row r="38" spans="2:4" ht="12.75">
      <c r="B38" s="117" t="s">
        <v>441</v>
      </c>
      <c r="C38" s="15">
        <v>268</v>
      </c>
      <c r="D38" s="15"/>
    </row>
    <row r="39" spans="2:4" ht="12.75">
      <c r="B39" s="117" t="s">
        <v>474</v>
      </c>
      <c r="C39" s="15">
        <v>131943</v>
      </c>
      <c r="D39" s="15"/>
    </row>
    <row r="40" spans="2:4" ht="12.75">
      <c r="B40" s="117" t="s">
        <v>475</v>
      </c>
      <c r="C40" s="15">
        <v>187244</v>
      </c>
      <c r="D40" s="15"/>
    </row>
    <row r="41" spans="2:3" ht="12.75">
      <c r="B41" s="117">
        <v>2006</v>
      </c>
      <c r="C41" s="15">
        <v>-32788</v>
      </c>
    </row>
    <row r="42" spans="3:4" ht="12.75">
      <c r="C42" s="15"/>
      <c r="D42" s="15">
        <f>AVERAGE(C39:C41)</f>
        <v>95466.33333333333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.7109375" style="3" customWidth="1"/>
    <col min="2" max="2" width="51.28125" style="3" customWidth="1"/>
    <col min="3" max="3" width="14.28125" style="3" customWidth="1"/>
    <col min="4" max="16384" width="9.140625" style="3" customWidth="1"/>
  </cols>
  <sheetData>
    <row r="1" spans="1:4" ht="12.75">
      <c r="A1" s="4" t="str">
        <f>'KSM-NCS-4 p11 Uncollectibles'!A1</f>
        <v>NW Natural</v>
      </c>
      <c r="B1" s="4"/>
      <c r="C1" s="36" t="s">
        <v>442</v>
      </c>
      <c r="D1" s="89"/>
    </row>
    <row r="2" spans="1:3" ht="12.75">
      <c r="A2" s="4" t="str">
        <f>'KSM-NCS-4 p11 Uncollectibles'!A2</f>
        <v>Test Period - Twelve Months Ended September 30, 2007</v>
      </c>
      <c r="B2" s="4"/>
      <c r="C2" s="4"/>
    </row>
    <row r="3" spans="1:3" ht="12.75">
      <c r="A3" s="35" t="s">
        <v>598</v>
      </c>
      <c r="B3" s="4"/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25" t="s">
        <v>20</v>
      </c>
      <c r="B6" s="4"/>
      <c r="C6" s="4"/>
    </row>
    <row r="7" spans="1:3" ht="12.75">
      <c r="A7" s="26" t="s">
        <v>37</v>
      </c>
      <c r="B7" s="4"/>
      <c r="C7" s="26" t="s">
        <v>62</v>
      </c>
    </row>
    <row r="8" spans="1:3" ht="12.75">
      <c r="A8" s="25"/>
      <c r="B8" s="4"/>
      <c r="C8" s="25" t="s">
        <v>64</v>
      </c>
    </row>
    <row r="9" spans="1:2" ht="12.75">
      <c r="A9" s="25" t="s">
        <v>289</v>
      </c>
      <c r="B9" s="4"/>
    </row>
    <row r="10" spans="1:2" ht="12.75">
      <c r="A10" s="25"/>
      <c r="B10" s="4"/>
    </row>
    <row r="11" spans="1:3" ht="12.75">
      <c r="A11" s="25">
        <v>1</v>
      </c>
      <c r="B11" s="4" t="s">
        <v>608</v>
      </c>
      <c r="C11" s="115">
        <v>301885</v>
      </c>
    </row>
    <row r="12" spans="1:3" ht="12.75">
      <c r="A12" s="25"/>
      <c r="B12" s="4"/>
      <c r="C12" s="24"/>
    </row>
    <row r="13" spans="1:3" ht="12.75">
      <c r="A13" s="25">
        <v>2</v>
      </c>
      <c r="B13" s="4" t="s">
        <v>599</v>
      </c>
      <c r="C13" s="118">
        <v>85084</v>
      </c>
    </row>
    <row r="14" spans="1:3" ht="12.75">
      <c r="A14" s="4"/>
      <c r="B14" s="4"/>
      <c r="C14" s="15"/>
    </row>
    <row r="15" spans="1:3" ht="13.5" thickBot="1">
      <c r="A15" s="25">
        <v>3</v>
      </c>
      <c r="B15" s="36" t="s">
        <v>600</v>
      </c>
      <c r="C15" s="109">
        <f>+C13-C11</f>
        <v>-216801</v>
      </c>
    </row>
    <row r="16" spans="1:3" ht="13.5" thickTop="1">
      <c r="A16" s="4"/>
      <c r="B16" s="4"/>
      <c r="C16" s="15"/>
    </row>
    <row r="17" spans="1:2" ht="12.75">
      <c r="A17" s="4" t="s">
        <v>52</v>
      </c>
      <c r="B17" s="4"/>
    </row>
    <row r="18" spans="1:2" ht="12.75">
      <c r="A18" s="4"/>
      <c r="B18" s="4"/>
    </row>
    <row r="19" spans="1:5" ht="12.75">
      <c r="A19" s="25">
        <f>+A15+1</f>
        <v>4</v>
      </c>
      <c r="B19" s="4" t="s">
        <v>603</v>
      </c>
      <c r="C19" s="3">
        <v>7057912</v>
      </c>
      <c r="E19" s="3">
        <f>5384954+632597</f>
        <v>6017551</v>
      </c>
    </row>
    <row r="20" spans="1:2" ht="12.75">
      <c r="A20" s="4"/>
      <c r="B20" s="4"/>
    </row>
    <row r="21" spans="1:3" ht="15">
      <c r="A21" s="25">
        <f>+A19+1</f>
        <v>5</v>
      </c>
      <c r="B21" s="4" t="s">
        <v>602</v>
      </c>
      <c r="C21" s="374">
        <v>4763894.668333333</v>
      </c>
    </row>
    <row r="22" spans="1:2" ht="12.75">
      <c r="A22" s="25"/>
      <c r="B22" s="4"/>
    </row>
    <row r="23" spans="1:3" ht="12.75">
      <c r="A23" s="25">
        <f>+A21+1</f>
        <v>6</v>
      </c>
      <c r="B23" s="4" t="s">
        <v>604</v>
      </c>
      <c r="C23" s="3">
        <f>+C19-C21</f>
        <v>2294017.331666667</v>
      </c>
    </row>
    <row r="24" spans="1:2" ht="12.75">
      <c r="A24" s="25"/>
      <c r="B24" s="4"/>
    </row>
    <row r="25" spans="1:3" ht="12.75">
      <c r="A25" s="25">
        <f>+A23+1</f>
        <v>7</v>
      </c>
      <c r="B25" s="4" t="s">
        <v>613</v>
      </c>
      <c r="C25" s="3">
        <f>+C23*0.0666</f>
        <v>152781.55428900005</v>
      </c>
    </row>
    <row r="29" ht="12.75">
      <c r="B29" s="4" t="s">
        <v>620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7109375" style="3" customWidth="1"/>
    <col min="2" max="2" width="52.28125" style="3" customWidth="1"/>
    <col min="3" max="3" width="14.8515625" style="3" customWidth="1"/>
    <col min="4" max="16384" width="9.140625" style="3" customWidth="1"/>
  </cols>
  <sheetData>
    <row r="1" spans="1:4" ht="12.75">
      <c r="A1" s="4" t="str">
        <f>'KSM-NCS-4 p11 Uncollectibles'!A1</f>
        <v>NW Natural</v>
      </c>
      <c r="B1" s="4"/>
      <c r="C1" s="36" t="s">
        <v>571</v>
      </c>
      <c r="D1" s="89"/>
    </row>
    <row r="2" spans="1:3" ht="12.75">
      <c r="A2" s="4" t="str">
        <f>'KSM-NCS-4 p11 Uncollectibles'!A2</f>
        <v>Test Period - Twelve Months Ended September 30, 2007</v>
      </c>
      <c r="B2" s="4"/>
      <c r="C2" s="4"/>
    </row>
    <row r="3" spans="1:3" ht="12.75">
      <c r="A3" s="35" t="s">
        <v>531</v>
      </c>
      <c r="B3" s="4"/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25" t="s">
        <v>20</v>
      </c>
      <c r="B6" s="4"/>
      <c r="C6" s="4"/>
    </row>
    <row r="7" spans="1:3" ht="12.75">
      <c r="A7" s="26" t="s">
        <v>37</v>
      </c>
      <c r="B7" s="4"/>
      <c r="C7" s="26" t="s">
        <v>62</v>
      </c>
    </row>
    <row r="8" spans="1:3" ht="12.75">
      <c r="A8" s="25"/>
      <c r="B8" s="4"/>
      <c r="C8" s="25" t="s">
        <v>64</v>
      </c>
    </row>
    <row r="9" spans="1:2" ht="12.75">
      <c r="A9" s="25"/>
      <c r="B9" s="4"/>
    </row>
    <row r="10" spans="1:2" ht="12.75">
      <c r="A10" s="25"/>
      <c r="B10" s="4"/>
    </row>
    <row r="11" spans="1:3" ht="13.5" thickBot="1">
      <c r="A11" s="25">
        <v>1</v>
      </c>
      <c r="B11" s="4" t="s">
        <v>530</v>
      </c>
      <c r="C11" s="245">
        <v>80000</v>
      </c>
    </row>
    <row r="12" ht="13.5" thickTop="1"/>
    <row r="13" spans="1:3" ht="13.5" thickBot="1">
      <c r="A13" s="25">
        <v>2</v>
      </c>
      <c r="B13" s="4" t="s">
        <v>532</v>
      </c>
      <c r="C13" s="87">
        <f>+C11/3</f>
        <v>26666.666666666668</v>
      </c>
    </row>
    <row r="14" ht="13.5" thickTop="1"/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A22" sqref="A22"/>
    </sheetView>
  </sheetViews>
  <sheetFormatPr defaultColWidth="8.8515625" defaultRowHeight="15"/>
  <cols>
    <col min="1" max="1" width="4.7109375" style="4" customWidth="1"/>
    <col min="2" max="2" width="41.7109375" style="4" customWidth="1"/>
    <col min="3" max="3" width="8.8515625" style="3" customWidth="1"/>
    <col min="4" max="4" width="13.7109375" style="3" customWidth="1"/>
    <col min="5" max="6" width="8.8515625" style="3" customWidth="1"/>
    <col min="7" max="7" width="26.8515625" style="3" customWidth="1"/>
    <col min="8" max="8" width="16.421875" style="3" customWidth="1"/>
    <col min="9" max="9" width="4.28125" style="3" customWidth="1"/>
    <col min="10" max="14" width="13.7109375" style="3" customWidth="1"/>
    <col min="15" max="15" width="3.421875" style="3" customWidth="1"/>
    <col min="16" max="17" width="13.7109375" style="4" customWidth="1"/>
    <col min="18" max="22" width="13.7109375" style="3" customWidth="1"/>
    <col min="23" max="16384" width="8.8515625" style="3" customWidth="1"/>
  </cols>
  <sheetData>
    <row r="1" spans="1:22" ht="12.75">
      <c r="A1" s="4" t="str">
        <f>'KSM-NCS-4 p1 Rev Req'!A1</f>
        <v>NW Natural</v>
      </c>
      <c r="D1" s="36" t="s">
        <v>572</v>
      </c>
      <c r="E1" s="225"/>
      <c r="G1" s="45" t="s">
        <v>424</v>
      </c>
      <c r="H1" s="193"/>
      <c r="K1" s="193"/>
      <c r="L1" s="193"/>
      <c r="M1" s="193"/>
      <c r="N1" s="193"/>
      <c r="R1" s="194" t="s">
        <v>289</v>
      </c>
      <c r="S1" s="194" t="s">
        <v>290</v>
      </c>
      <c r="T1" s="194" t="s">
        <v>291</v>
      </c>
      <c r="U1" s="194" t="s">
        <v>292</v>
      </c>
      <c r="V1" s="194" t="s">
        <v>75</v>
      </c>
    </row>
    <row r="2" spans="1:14" ht="12.75">
      <c r="A2" s="4" t="str">
        <f>+'KSM-NCS-4 p13 Marketing'!A2</f>
        <v>Test Period - Twelve Months Ended September 30, 2007</v>
      </c>
      <c r="G2" s="45"/>
      <c r="H2" s="195"/>
      <c r="I2" s="4"/>
      <c r="J2" s="196"/>
      <c r="K2" s="196"/>
      <c r="L2" s="197" t="s">
        <v>57</v>
      </c>
      <c r="M2" s="196"/>
      <c r="N2" s="196"/>
    </row>
    <row r="3" spans="1:22" ht="12.75">
      <c r="A3" s="4" t="s">
        <v>293</v>
      </c>
      <c r="G3" s="45"/>
      <c r="H3" s="198" t="s">
        <v>294</v>
      </c>
      <c r="I3" s="4"/>
      <c r="J3" s="195"/>
      <c r="K3" s="195"/>
      <c r="L3" s="195"/>
      <c r="M3" s="195"/>
      <c r="N3" s="195"/>
      <c r="P3" s="25">
        <v>1</v>
      </c>
      <c r="Q3" s="199" t="s">
        <v>295</v>
      </c>
      <c r="R3" s="164">
        <v>0.5</v>
      </c>
      <c r="S3" s="164">
        <v>0.5</v>
      </c>
      <c r="T3" s="164">
        <v>0</v>
      </c>
      <c r="U3" s="164">
        <v>0</v>
      </c>
      <c r="V3" s="164">
        <f aca="true" t="shared" si="0" ref="V3:V19">R3+S3+T3+U3</f>
        <v>1</v>
      </c>
    </row>
    <row r="4" spans="7:22" ht="12.75">
      <c r="G4" s="4"/>
      <c r="H4" s="46" t="s">
        <v>261</v>
      </c>
      <c r="I4" s="4"/>
      <c r="J4" s="197" t="s">
        <v>289</v>
      </c>
      <c r="K4" s="197" t="s">
        <v>290</v>
      </c>
      <c r="L4" s="197" t="s">
        <v>291</v>
      </c>
      <c r="M4" s="197" t="s">
        <v>292</v>
      </c>
      <c r="N4" s="197" t="s">
        <v>75</v>
      </c>
      <c r="P4" s="25">
        <f aca="true" t="shared" si="1" ref="P4:P19">P3+1</f>
        <v>2</v>
      </c>
      <c r="Q4" s="199" t="s">
        <v>296</v>
      </c>
      <c r="R4" s="164">
        <v>0.5</v>
      </c>
      <c r="S4" s="164">
        <v>0.5</v>
      </c>
      <c r="T4" s="164">
        <v>0</v>
      </c>
      <c r="U4" s="164">
        <v>0</v>
      </c>
      <c r="V4" s="164">
        <f t="shared" si="0"/>
        <v>1</v>
      </c>
    </row>
    <row r="5" spans="7:22" ht="12.75">
      <c r="G5" s="4"/>
      <c r="H5" s="193"/>
      <c r="J5" s="193"/>
      <c r="K5" s="193"/>
      <c r="L5" s="193"/>
      <c r="M5" s="193"/>
      <c r="N5" s="193"/>
      <c r="P5" s="25">
        <f t="shared" si="1"/>
        <v>3</v>
      </c>
      <c r="Q5" s="199" t="s">
        <v>297</v>
      </c>
      <c r="R5" s="164">
        <v>0.5</v>
      </c>
      <c r="S5" s="164">
        <v>0.5</v>
      </c>
      <c r="T5" s="164">
        <v>0</v>
      </c>
      <c r="U5" s="164">
        <v>0</v>
      </c>
      <c r="V5" s="164">
        <f t="shared" si="0"/>
        <v>1</v>
      </c>
    </row>
    <row r="6" spans="1:22" ht="12.75">
      <c r="A6" s="25" t="s">
        <v>20</v>
      </c>
      <c r="G6" s="45" t="s">
        <v>28</v>
      </c>
      <c r="H6" s="41">
        <v>-1</v>
      </c>
      <c r="I6" s="15"/>
      <c r="J6" s="15">
        <f aca="true" t="shared" si="2" ref="J6:M8">$H6*R$3</f>
        <v>-0.5</v>
      </c>
      <c r="K6" s="15">
        <f t="shared" si="2"/>
        <v>-0.5</v>
      </c>
      <c r="L6" s="15">
        <f t="shared" si="2"/>
        <v>0</v>
      </c>
      <c r="M6" s="15">
        <f t="shared" si="2"/>
        <v>0</v>
      </c>
      <c r="N6" s="15">
        <f aca="true" t="shared" si="3" ref="N6:N13">J6+K6+L6+M6</f>
        <v>-1</v>
      </c>
      <c r="P6" s="25">
        <f t="shared" si="1"/>
        <v>4</v>
      </c>
      <c r="Q6" s="199" t="s">
        <v>298</v>
      </c>
      <c r="R6" s="164">
        <v>0</v>
      </c>
      <c r="S6" s="164">
        <v>0</v>
      </c>
      <c r="T6" s="164">
        <v>1</v>
      </c>
      <c r="U6" s="164">
        <v>0</v>
      </c>
      <c r="V6" s="164">
        <f t="shared" si="0"/>
        <v>1</v>
      </c>
    </row>
    <row r="7" spans="1:22" ht="12.75">
      <c r="A7" s="73" t="s">
        <v>37</v>
      </c>
      <c r="D7" s="26" t="s">
        <v>59</v>
      </c>
      <c r="G7" s="45" t="s">
        <v>416</v>
      </c>
      <c r="H7" s="41">
        <v>-1176099</v>
      </c>
      <c r="I7" s="15"/>
      <c r="J7" s="15">
        <f t="shared" si="2"/>
        <v>-588049.5</v>
      </c>
      <c r="K7" s="15">
        <f t="shared" si="2"/>
        <v>-588049.5</v>
      </c>
      <c r="L7" s="15">
        <f t="shared" si="2"/>
        <v>0</v>
      </c>
      <c r="M7" s="15">
        <f t="shared" si="2"/>
        <v>0</v>
      </c>
      <c r="N7" s="15">
        <f t="shared" si="3"/>
        <v>-1176099</v>
      </c>
      <c r="P7" s="25">
        <f t="shared" si="1"/>
        <v>5</v>
      </c>
      <c r="Q7" s="199" t="s">
        <v>299</v>
      </c>
      <c r="R7" s="164">
        <v>0.85</v>
      </c>
      <c r="S7" s="164">
        <v>0.089</v>
      </c>
      <c r="T7" s="164">
        <v>0.004</v>
      </c>
      <c r="U7" s="164">
        <v>0.057</v>
      </c>
      <c r="V7" s="164">
        <f t="shared" si="0"/>
        <v>1</v>
      </c>
    </row>
    <row r="8" spans="1:22" ht="12.75">
      <c r="A8" s="25"/>
      <c r="G8" s="45" t="s">
        <v>417</v>
      </c>
      <c r="H8" s="41">
        <v>1496538</v>
      </c>
      <c r="I8" s="15"/>
      <c r="J8" s="15">
        <f t="shared" si="2"/>
        <v>748269</v>
      </c>
      <c r="K8" s="15">
        <f t="shared" si="2"/>
        <v>748269</v>
      </c>
      <c r="L8" s="15">
        <f t="shared" si="2"/>
        <v>0</v>
      </c>
      <c r="M8" s="15">
        <f t="shared" si="2"/>
        <v>0</v>
      </c>
      <c r="N8" s="15">
        <f t="shared" si="3"/>
        <v>1496538</v>
      </c>
      <c r="P8" s="25">
        <f t="shared" si="1"/>
        <v>6</v>
      </c>
      <c r="Q8" s="199" t="s">
        <v>300</v>
      </c>
      <c r="R8" s="164">
        <v>0</v>
      </c>
      <c r="S8" s="164">
        <v>0</v>
      </c>
      <c r="T8" s="164">
        <v>1</v>
      </c>
      <c r="U8" s="164">
        <v>0</v>
      </c>
      <c r="V8" s="164">
        <f t="shared" si="0"/>
        <v>1</v>
      </c>
    </row>
    <row r="9" spans="1:22" ht="12.75">
      <c r="A9" s="25"/>
      <c r="G9" s="45" t="s">
        <v>418</v>
      </c>
      <c r="H9" s="41">
        <v>-310</v>
      </c>
      <c r="I9" s="15"/>
      <c r="J9" s="15">
        <f>$H9*R$7</f>
        <v>-263.5</v>
      </c>
      <c r="K9" s="15">
        <f>$H9*S$7</f>
        <v>-27.59</v>
      </c>
      <c r="L9" s="15">
        <f>$H9*T$7</f>
        <v>-1.24</v>
      </c>
      <c r="M9" s="15">
        <f>$H9*U$7</f>
        <v>-17.67</v>
      </c>
      <c r="N9" s="15">
        <f t="shared" si="3"/>
        <v>-310</v>
      </c>
      <c r="P9" s="25">
        <f t="shared" si="1"/>
        <v>7</v>
      </c>
      <c r="Q9" s="199" t="s">
        <v>301</v>
      </c>
      <c r="R9" s="164">
        <v>0.306</v>
      </c>
      <c r="S9" s="164">
        <v>0.666</v>
      </c>
      <c r="T9" s="164">
        <v>0.025</v>
      </c>
      <c r="U9" s="164">
        <v>0.003</v>
      </c>
      <c r="V9" s="164">
        <f t="shared" si="0"/>
        <v>1</v>
      </c>
    </row>
    <row r="10" spans="1:22" ht="12.75">
      <c r="A10" s="25">
        <v>1</v>
      </c>
      <c r="B10" s="4" t="s">
        <v>302</v>
      </c>
      <c r="D10" s="112">
        <f>+J15</f>
        <v>223896.66300000006</v>
      </c>
      <c r="G10" s="45" t="s">
        <v>419</v>
      </c>
      <c r="H10" s="41">
        <v>1150254</v>
      </c>
      <c r="I10" s="15"/>
      <c r="J10" s="15">
        <f>$H10*R$12</f>
        <v>493458.966</v>
      </c>
      <c r="K10" s="15">
        <f>$H10*S$12</f>
        <v>628038.684</v>
      </c>
      <c r="L10" s="15">
        <f>$H10*T$12</f>
        <v>1150.2540000000001</v>
      </c>
      <c r="M10" s="15">
        <f>$H10*U$12</f>
        <v>27606.096</v>
      </c>
      <c r="N10" s="15">
        <f t="shared" si="3"/>
        <v>1150253.9999999998</v>
      </c>
      <c r="P10" s="25">
        <f t="shared" si="1"/>
        <v>8</v>
      </c>
      <c r="Q10" s="199" t="s">
        <v>303</v>
      </c>
      <c r="R10" s="164">
        <v>0</v>
      </c>
      <c r="S10" s="164">
        <v>0</v>
      </c>
      <c r="T10" s="164">
        <v>1</v>
      </c>
      <c r="U10" s="164">
        <v>0</v>
      </c>
      <c r="V10" s="164">
        <f t="shared" si="0"/>
        <v>1</v>
      </c>
    </row>
    <row r="11" spans="1:22" ht="12.75">
      <c r="A11" s="25"/>
      <c r="D11" s="38"/>
      <c r="G11" s="45" t="s">
        <v>420</v>
      </c>
      <c r="H11" s="41">
        <v>589073</v>
      </c>
      <c r="I11" s="15"/>
      <c r="J11" s="15">
        <f>$H11*R$13</f>
        <v>252712.317</v>
      </c>
      <c r="K11" s="15">
        <f>$H11*S$13</f>
        <v>321633.858</v>
      </c>
      <c r="L11" s="15">
        <f>$H11*T$13</f>
        <v>589.073</v>
      </c>
      <c r="M11" s="15">
        <f>$H11*U$13</f>
        <v>14137.752</v>
      </c>
      <c r="N11" s="15">
        <f t="shared" si="3"/>
        <v>589073</v>
      </c>
      <c r="P11" s="25">
        <f t="shared" si="1"/>
        <v>9</v>
      </c>
      <c r="Q11" s="199" t="s">
        <v>304</v>
      </c>
      <c r="R11" s="164">
        <v>0</v>
      </c>
      <c r="S11" s="164">
        <v>0</v>
      </c>
      <c r="T11" s="164">
        <v>1</v>
      </c>
      <c r="U11" s="164">
        <v>0</v>
      </c>
      <c r="V11" s="164">
        <f t="shared" si="0"/>
        <v>1</v>
      </c>
    </row>
    <row r="12" spans="1:22" ht="12.75">
      <c r="A12" s="25">
        <v>2</v>
      </c>
      <c r="B12" s="36" t="s">
        <v>361</v>
      </c>
      <c r="D12" s="84">
        <f>+'KSM-NCS-3 p4&amp;5 Factors'!E73</f>
        <v>0.09784718408674709</v>
      </c>
      <c r="G12" s="45" t="s">
        <v>421</v>
      </c>
      <c r="H12" s="41">
        <v>45598</v>
      </c>
      <c r="I12" s="15"/>
      <c r="J12" s="15">
        <f aca="true" t="shared" si="4" ref="J12:M13">$H12*R$14</f>
        <v>19561.542</v>
      </c>
      <c r="K12" s="15">
        <f t="shared" si="4"/>
        <v>24896.508</v>
      </c>
      <c r="L12" s="15">
        <f t="shared" si="4"/>
        <v>45.598</v>
      </c>
      <c r="M12" s="15">
        <f t="shared" si="4"/>
        <v>1094.352</v>
      </c>
      <c r="N12" s="15">
        <f t="shared" si="3"/>
        <v>45598</v>
      </c>
      <c r="P12" s="25">
        <f t="shared" si="1"/>
        <v>10</v>
      </c>
      <c r="Q12" s="199" t="s">
        <v>306</v>
      </c>
      <c r="R12" s="164">
        <v>0.429</v>
      </c>
      <c r="S12" s="164">
        <v>0.546</v>
      </c>
      <c r="T12" s="164">
        <v>0.001</v>
      </c>
      <c r="U12" s="164">
        <v>0.024</v>
      </c>
      <c r="V12" s="164">
        <f t="shared" si="0"/>
        <v>1</v>
      </c>
    </row>
    <row r="13" spans="1:22" ht="12.75">
      <c r="A13" s="25"/>
      <c r="G13" s="45" t="s">
        <v>422</v>
      </c>
      <c r="H13" s="42">
        <f>-1636921+1043</f>
        <v>-1635878</v>
      </c>
      <c r="I13" s="15"/>
      <c r="J13" s="27">
        <f t="shared" si="4"/>
        <v>-701791.662</v>
      </c>
      <c r="K13" s="27">
        <f t="shared" si="4"/>
        <v>-893189.388</v>
      </c>
      <c r="L13" s="27">
        <f t="shared" si="4"/>
        <v>-1635.878</v>
      </c>
      <c r="M13" s="27">
        <f t="shared" si="4"/>
        <v>-39261.072</v>
      </c>
      <c r="N13" s="27">
        <f t="shared" si="3"/>
        <v>-1635878</v>
      </c>
      <c r="P13" s="25">
        <f t="shared" si="1"/>
        <v>11</v>
      </c>
      <c r="Q13" s="199" t="s">
        <v>307</v>
      </c>
      <c r="R13" s="164">
        <v>0.429</v>
      </c>
      <c r="S13" s="164">
        <v>0.546</v>
      </c>
      <c r="T13" s="164">
        <v>0.001</v>
      </c>
      <c r="U13" s="164">
        <v>0.024</v>
      </c>
      <c r="V13" s="164">
        <f t="shared" si="0"/>
        <v>1</v>
      </c>
    </row>
    <row r="14" spans="1:22" ht="13.5" thickBot="1">
      <c r="A14" s="25">
        <v>3</v>
      </c>
      <c r="B14" s="4" t="s">
        <v>32</v>
      </c>
      <c r="D14" s="109">
        <f>+D10*D12</f>
        <v>21907.65800096938</v>
      </c>
      <c r="G14" s="29"/>
      <c r="H14" s="15"/>
      <c r="I14" s="15"/>
      <c r="J14" s="15"/>
      <c r="K14" s="15"/>
      <c r="L14" s="15"/>
      <c r="M14" s="15"/>
      <c r="N14" s="15"/>
      <c r="P14" s="25">
        <f t="shared" si="1"/>
        <v>12</v>
      </c>
      <c r="Q14" s="199" t="s">
        <v>308</v>
      </c>
      <c r="R14" s="164">
        <v>0.429</v>
      </c>
      <c r="S14" s="164">
        <v>0.546</v>
      </c>
      <c r="T14" s="164">
        <v>0.001</v>
      </c>
      <c r="U14" s="164">
        <v>0.024</v>
      </c>
      <c r="V14" s="164">
        <f t="shared" si="0"/>
        <v>1</v>
      </c>
    </row>
    <row r="15" spans="1:22" ht="14.25" thickBot="1" thickTop="1">
      <c r="A15" s="25"/>
      <c r="G15" s="56" t="s">
        <v>423</v>
      </c>
      <c r="H15" s="33">
        <f>SUM(H6:H13)</f>
        <v>469175</v>
      </c>
      <c r="I15" s="15"/>
      <c r="J15" s="33">
        <f>SUM(J6:J13)</f>
        <v>223896.66300000006</v>
      </c>
      <c r="K15" s="33">
        <f>SUM(K6:K13)</f>
        <v>241571.07199999993</v>
      </c>
      <c r="L15" s="33">
        <f>SUM(L6:L13)</f>
        <v>147.80700000000002</v>
      </c>
      <c r="M15" s="33">
        <f>SUM(M6:M13)</f>
        <v>3559.4579999999987</v>
      </c>
      <c r="N15" s="33">
        <f>SUM(N6:N13)</f>
        <v>469175</v>
      </c>
      <c r="P15" s="25">
        <f t="shared" si="1"/>
        <v>13</v>
      </c>
      <c r="Q15" s="199" t="s">
        <v>309</v>
      </c>
      <c r="R15" s="164">
        <v>0</v>
      </c>
      <c r="S15" s="164">
        <v>0</v>
      </c>
      <c r="T15" s="164">
        <v>1</v>
      </c>
      <c r="U15" s="164">
        <v>0</v>
      </c>
      <c r="V15" s="164">
        <f t="shared" si="0"/>
        <v>1</v>
      </c>
    </row>
    <row r="16" spans="1:22" ht="13.5" thickTop="1">
      <c r="A16" s="25"/>
      <c r="G16" s="3" t="s">
        <v>552</v>
      </c>
      <c r="H16" s="15">
        <f>+-470097+H15</f>
        <v>-922</v>
      </c>
      <c r="P16" s="25">
        <f t="shared" si="1"/>
        <v>14</v>
      </c>
      <c r="Q16" s="199" t="s">
        <v>310</v>
      </c>
      <c r="R16" s="164">
        <v>0.429</v>
      </c>
      <c r="S16" s="164">
        <v>0.546</v>
      </c>
      <c r="T16" s="164">
        <v>0.001</v>
      </c>
      <c r="U16" s="164">
        <v>0.024</v>
      </c>
      <c r="V16" s="164">
        <f t="shared" si="0"/>
        <v>1</v>
      </c>
    </row>
    <row r="17" spans="1:22" ht="12.75">
      <c r="A17" s="25">
        <v>4</v>
      </c>
      <c r="B17" s="4" t="s">
        <v>305</v>
      </c>
      <c r="D17" s="112">
        <f>+K15</f>
        <v>241571.07199999993</v>
      </c>
      <c r="P17" s="25">
        <f t="shared" si="1"/>
        <v>15</v>
      </c>
      <c r="Q17" s="199" t="s">
        <v>311</v>
      </c>
      <c r="R17" s="164">
        <v>0.429</v>
      </c>
      <c r="S17" s="164">
        <v>0.546</v>
      </c>
      <c r="T17" s="164">
        <v>0.001</v>
      </c>
      <c r="U17" s="164">
        <v>0.024</v>
      </c>
      <c r="V17" s="164">
        <f t="shared" si="0"/>
        <v>1</v>
      </c>
    </row>
    <row r="18" spans="1:22" ht="12.75">
      <c r="A18" s="25"/>
      <c r="D18" s="8"/>
      <c r="P18" s="25">
        <f t="shared" si="1"/>
        <v>16</v>
      </c>
      <c r="Q18" s="199" t="s">
        <v>312</v>
      </c>
      <c r="R18" s="164">
        <v>0</v>
      </c>
      <c r="S18" s="164">
        <v>0</v>
      </c>
      <c r="T18" s="164">
        <v>1</v>
      </c>
      <c r="U18" s="164">
        <v>0</v>
      </c>
      <c r="V18" s="164">
        <f t="shared" si="0"/>
        <v>1</v>
      </c>
    </row>
    <row r="19" spans="1:22" ht="12.75">
      <c r="A19" s="25">
        <v>5</v>
      </c>
      <c r="B19" s="36" t="s">
        <v>360</v>
      </c>
      <c r="D19" s="84">
        <f>+'KSM-NCS-3 p4&amp;5 Factors'!E69</f>
        <v>0.1066917656968478</v>
      </c>
      <c r="P19" s="25">
        <f t="shared" si="1"/>
        <v>17</v>
      </c>
      <c r="Q19" s="199" t="s">
        <v>313</v>
      </c>
      <c r="R19" s="164">
        <v>0</v>
      </c>
      <c r="S19" s="164">
        <v>0</v>
      </c>
      <c r="T19" s="164">
        <v>1</v>
      </c>
      <c r="U19" s="164">
        <v>0</v>
      </c>
      <c r="V19" s="164">
        <f t="shared" si="0"/>
        <v>1</v>
      </c>
    </row>
    <row r="20" ht="12.75">
      <c r="A20" s="25"/>
    </row>
    <row r="21" spans="1:4" ht="13.5" thickBot="1">
      <c r="A21" s="25">
        <v>6</v>
      </c>
      <c r="B21" s="4" t="s">
        <v>32</v>
      </c>
      <c r="D21" s="109">
        <f>+D17*D19</f>
        <v>25773.644212960342</v>
      </c>
    </row>
    <row r="22" ht="13.5" thickTop="1"/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7109375" style="4" customWidth="1"/>
    <col min="2" max="2" width="47.7109375" style="4" customWidth="1"/>
    <col min="3" max="7" width="12.7109375" style="3" customWidth="1"/>
    <col min="8" max="9" width="9.140625" style="3" customWidth="1"/>
    <col min="10" max="10" width="10.8515625" style="3" bestFit="1" customWidth="1"/>
    <col min="11" max="16384" width="9.140625" style="3" customWidth="1"/>
  </cols>
  <sheetData>
    <row r="1" spans="1:8" ht="12.75">
      <c r="A1" s="4" t="s">
        <v>1</v>
      </c>
      <c r="C1" s="2"/>
      <c r="D1" s="2"/>
      <c r="E1" s="4"/>
      <c r="F1" s="2" t="s">
        <v>662</v>
      </c>
      <c r="G1" s="2"/>
      <c r="H1" s="167"/>
    </row>
    <row r="2" spans="1:8" ht="12.75">
      <c r="A2" s="4" t="str">
        <f>+'KSM-NCS-4 p2&amp;3 Adjust Issues'!A3</f>
        <v>Test Period - Twelve Months Ended September 30, 2007</v>
      </c>
      <c r="C2" s="2"/>
      <c r="D2" s="2"/>
      <c r="E2" s="2"/>
      <c r="F2" s="2"/>
      <c r="G2" s="2"/>
      <c r="H2" s="167"/>
    </row>
    <row r="3" spans="1:8" ht="12.75">
      <c r="A3" s="36" t="s">
        <v>427</v>
      </c>
      <c r="C3" s="4"/>
      <c r="D3" s="4"/>
      <c r="E3" s="4"/>
      <c r="F3" s="4"/>
      <c r="G3" s="2"/>
      <c r="H3" s="167"/>
    </row>
    <row r="4" spans="3:8" ht="12.75">
      <c r="C4" s="4"/>
      <c r="D4" s="4"/>
      <c r="E4" s="4"/>
      <c r="F4" s="4"/>
      <c r="G4" s="2"/>
      <c r="H4" s="167"/>
    </row>
    <row r="5" spans="3:8" ht="12.75">
      <c r="C5" s="2"/>
      <c r="D5" s="2"/>
      <c r="E5" s="168"/>
      <c r="F5" s="2"/>
      <c r="G5" s="2"/>
      <c r="H5" s="4"/>
    </row>
    <row r="6" spans="1:8" ht="12.75">
      <c r="A6" s="25" t="s">
        <v>20</v>
      </c>
      <c r="C6" s="2"/>
      <c r="D6" s="2"/>
      <c r="E6" s="2"/>
      <c r="F6" s="2"/>
      <c r="G6" s="2"/>
      <c r="H6" s="167"/>
    </row>
    <row r="7" spans="1:8" ht="12.75">
      <c r="A7" s="26" t="s">
        <v>37</v>
      </c>
      <c r="C7" s="169" t="s">
        <v>434</v>
      </c>
      <c r="D7" s="169" t="s">
        <v>435</v>
      </c>
      <c r="E7" s="5" t="s">
        <v>387</v>
      </c>
      <c r="F7" s="5" t="s">
        <v>388</v>
      </c>
      <c r="G7" s="5" t="s">
        <v>389</v>
      </c>
      <c r="H7" s="167"/>
    </row>
    <row r="8" spans="3:8" ht="12.75">
      <c r="C8" s="170" t="s">
        <v>64</v>
      </c>
      <c r="D8" s="170" t="s">
        <v>65</v>
      </c>
      <c r="E8" s="170" t="s">
        <v>66</v>
      </c>
      <c r="F8" s="170" t="s">
        <v>67</v>
      </c>
      <c r="G8" s="170" t="s">
        <v>68</v>
      </c>
      <c r="H8" s="167"/>
    </row>
    <row r="9" spans="3:8" ht="12.75">
      <c r="C9" s="7"/>
      <c r="D9" s="7"/>
      <c r="E9" s="7"/>
      <c r="F9" s="7"/>
      <c r="G9" s="7"/>
      <c r="H9" s="124"/>
    </row>
    <row r="10" spans="1:7" ht="12.75">
      <c r="A10" s="25">
        <v>1</v>
      </c>
      <c r="B10" s="36" t="s">
        <v>491</v>
      </c>
      <c r="C10" s="171">
        <f>SUM(D10:G10)</f>
        <v>75789732</v>
      </c>
      <c r="D10" s="172">
        <v>2294819</v>
      </c>
      <c r="E10" s="172">
        <v>29306337</v>
      </c>
      <c r="F10" s="172">
        <v>11417183</v>
      </c>
      <c r="G10" s="172">
        <v>32771393</v>
      </c>
    </row>
    <row r="11" spans="3:8" ht="12.75">
      <c r="C11" s="171"/>
      <c r="D11" s="171"/>
      <c r="E11" s="171"/>
      <c r="F11" s="171"/>
      <c r="G11" s="171"/>
      <c r="H11" s="124"/>
    </row>
    <row r="12" spans="1:8" ht="12.75">
      <c r="A12" s="25">
        <v>2</v>
      </c>
      <c r="B12" s="36" t="s">
        <v>433</v>
      </c>
      <c r="C12" s="34">
        <f>SUM(D12:G12)</f>
        <v>74174670.08197506</v>
      </c>
      <c r="D12" s="34">
        <f>'KSM-NCS-4 p19 Payroll 2'!C23</f>
        <v>2392779.6529585184</v>
      </c>
      <c r="E12" s="34">
        <f>'KSM-NCS-4 p19 Payroll 2'!D23</f>
        <v>29692363.032606345</v>
      </c>
      <c r="F12" s="34">
        <f>'KSM-NCS-4 p19 Payroll 2'!E23</f>
        <v>10774755.131293189</v>
      </c>
      <c r="G12" s="34">
        <f>'KSM-NCS-4 p19 Payroll 2'!F23</f>
        <v>31314772.265117005</v>
      </c>
      <c r="H12" s="124"/>
    </row>
    <row r="13" spans="1:10" ht="12.75">
      <c r="A13" s="25">
        <v>3</v>
      </c>
      <c r="B13" s="36" t="s">
        <v>587</v>
      </c>
      <c r="C13" s="34">
        <f>SUM(D13:G13)</f>
        <v>424349.81875917315</v>
      </c>
      <c r="E13" s="34">
        <f>(E12/((1+C32*7/12)))*(1+C32)-E12</f>
        <v>424349.81875917315</v>
      </c>
      <c r="F13" s="34"/>
      <c r="G13" s="34"/>
      <c r="H13" s="124"/>
      <c r="J13" s="34"/>
    </row>
    <row r="14" spans="1:8" ht="12.75">
      <c r="A14" s="25">
        <v>4</v>
      </c>
      <c r="B14" s="36" t="s">
        <v>586</v>
      </c>
      <c r="C14" s="34">
        <f>SUM(D14:G14)</f>
        <v>622012.7201439943</v>
      </c>
      <c r="D14" s="34"/>
      <c r="E14" s="34"/>
      <c r="F14" s="34">
        <f>(F12/((1+C33*0.5)))*(1+C33)-F12</f>
        <v>159232.8344526086</v>
      </c>
      <c r="G14" s="34">
        <f>(G12/((1+C34*0.5)))*(1+C34)-G12</f>
        <v>462779.8856913857</v>
      </c>
      <c r="H14" s="124"/>
    </row>
    <row r="15" spans="1:8" ht="12.75">
      <c r="A15" s="25">
        <v>5</v>
      </c>
      <c r="B15" s="36" t="s">
        <v>492</v>
      </c>
      <c r="C15" s="136">
        <f>SUM(D15:G15)</f>
        <v>2365547.866145784</v>
      </c>
      <c r="D15" s="136"/>
      <c r="E15" s="136">
        <f>+(E12+E13)*C35</f>
        <v>1084201.6626491586</v>
      </c>
      <c r="F15" s="136">
        <f>(F12+F14)*$C36</f>
        <v>328019.6389723739</v>
      </c>
      <c r="G15" s="136">
        <f>(G12+G14)*$C37</f>
        <v>953326.5645242516</v>
      </c>
      <c r="H15" s="124"/>
    </row>
    <row r="16" spans="3:7" ht="12.75">
      <c r="C16" s="34"/>
      <c r="D16" s="34"/>
      <c r="E16" s="34"/>
      <c r="F16" s="34"/>
      <c r="G16" s="34"/>
    </row>
    <row r="17" spans="1:8" ht="12.75">
      <c r="A17" s="25">
        <v>6</v>
      </c>
      <c r="B17" s="4" t="s">
        <v>411</v>
      </c>
      <c r="C17" s="34">
        <f>SUM(D17:G17)</f>
        <v>77586580.48702401</v>
      </c>
      <c r="D17" s="34">
        <f>SUM(D12:D15)</f>
        <v>2392779.6529585184</v>
      </c>
      <c r="E17" s="34">
        <f>SUM(E12:E15)</f>
        <v>31200914.514014676</v>
      </c>
      <c r="F17" s="34">
        <f>SUM(F12:F15)</f>
        <v>11262007.604718171</v>
      </c>
      <c r="G17" s="34">
        <f>SUM(G12:G15)</f>
        <v>32730878.715332642</v>
      </c>
      <c r="H17" s="124"/>
    </row>
    <row r="18" spans="3:8" ht="12.75">
      <c r="C18" s="173"/>
      <c r="D18" s="174"/>
      <c r="E18" s="174"/>
      <c r="F18" s="174"/>
      <c r="G18" s="174"/>
      <c r="H18" s="124"/>
    </row>
    <row r="19" spans="1:7" ht="12.75">
      <c r="A19" s="25">
        <v>7</v>
      </c>
      <c r="B19" s="4" t="s">
        <v>412</v>
      </c>
      <c r="C19" s="175">
        <f>C21/C17</f>
        <v>0.6348856214764603</v>
      </c>
      <c r="D19" s="176">
        <v>0.827</v>
      </c>
      <c r="E19" s="176">
        <v>0.714</v>
      </c>
      <c r="F19" s="177">
        <v>0.857</v>
      </c>
      <c r="G19" s="177">
        <v>0.469</v>
      </c>
    </row>
    <row r="20" spans="3:7" ht="12.75">
      <c r="C20" s="178"/>
      <c r="D20" s="178"/>
      <c r="E20" s="178"/>
      <c r="F20" s="178"/>
      <c r="G20" s="178"/>
    </row>
    <row r="21" spans="1:7" ht="12.75">
      <c r="A21" s="25">
        <v>8</v>
      </c>
      <c r="B21" s="4" t="s">
        <v>413</v>
      </c>
      <c r="C21" s="34">
        <f>SUM(D21:G21)</f>
        <v>49258604.37073765</v>
      </c>
      <c r="D21" s="98">
        <f>D17*D19</f>
        <v>1978828.7729966945</v>
      </c>
      <c r="E21" s="98">
        <f>E17*E19</f>
        <v>22277452.963006478</v>
      </c>
      <c r="F21" s="34">
        <f>F17*F19</f>
        <v>9651540.517243473</v>
      </c>
      <c r="G21" s="34">
        <f>G17*G19</f>
        <v>15350782.117491009</v>
      </c>
    </row>
    <row r="22" spans="1:7" ht="12.75">
      <c r="A22" s="25"/>
      <c r="C22" s="34"/>
      <c r="D22" s="34"/>
      <c r="E22" s="34"/>
      <c r="F22" s="34"/>
      <c r="G22" s="34"/>
    </row>
    <row r="23" spans="1:7" ht="12.75">
      <c r="A23" s="25">
        <v>9</v>
      </c>
      <c r="B23" s="4" t="s">
        <v>414</v>
      </c>
      <c r="C23" s="136">
        <f>SUM(D23:G23)</f>
        <v>47981337</v>
      </c>
      <c r="D23" s="138">
        <v>1898125</v>
      </c>
      <c r="E23" s="138">
        <v>20938348</v>
      </c>
      <c r="F23" s="138">
        <v>9787907</v>
      </c>
      <c r="G23" s="138">
        <v>15356957</v>
      </c>
    </row>
    <row r="24" spans="1:7" ht="12.75">
      <c r="A24" s="25"/>
      <c r="C24" s="34"/>
      <c r="D24" s="34"/>
      <c r="E24" s="34"/>
      <c r="F24" s="34"/>
      <c r="G24" s="34"/>
    </row>
    <row r="25" spans="1:7" ht="13.5" thickBot="1">
      <c r="A25" s="25">
        <v>10</v>
      </c>
      <c r="B25" s="4" t="s">
        <v>401</v>
      </c>
      <c r="C25" s="179">
        <f>C21-C23</f>
        <v>1277267.3707376495</v>
      </c>
      <c r="D25" s="179">
        <f>D21-D23</f>
        <v>80703.77299669455</v>
      </c>
      <c r="E25" s="179">
        <f>E21-E23</f>
        <v>1339104.9630064778</v>
      </c>
      <c r="F25" s="179">
        <f>F21-F23</f>
        <v>-136366.48275652714</v>
      </c>
      <c r="G25" s="179">
        <f>G21-G23</f>
        <v>-6174.882508991286</v>
      </c>
    </row>
    <row r="26" ht="13.5" thickTop="1">
      <c r="A26" s="25"/>
    </row>
    <row r="27" spans="1:7" ht="12.75">
      <c r="A27" s="25">
        <v>11</v>
      </c>
      <c r="B27" s="4" t="s">
        <v>402</v>
      </c>
      <c r="C27" s="84">
        <f>+'KSM-NCS-3 p4&amp;5 Factors'!D118</f>
        <v>0.09962</v>
      </c>
      <c r="D27" s="8"/>
      <c r="E27" s="8"/>
      <c r="F27" s="8"/>
      <c r="G27" s="8"/>
    </row>
    <row r="28" spans="3:7" ht="12.75">
      <c r="C28" s="8"/>
      <c r="D28" s="8"/>
      <c r="E28" s="180"/>
      <c r="F28" s="8"/>
      <c r="G28" s="8"/>
    </row>
    <row r="29" spans="1:5" ht="13.5" thickBot="1">
      <c r="A29" s="25">
        <v>12</v>
      </c>
      <c r="B29" s="4" t="s">
        <v>403</v>
      </c>
      <c r="C29" s="139">
        <f>C25*C27</f>
        <v>127241.37547288464</v>
      </c>
      <c r="E29" s="180"/>
    </row>
    <row r="30" ht="13.5" thickTop="1">
      <c r="A30" s="25"/>
    </row>
    <row r="31" ht="12.75">
      <c r="A31" s="4" t="s">
        <v>428</v>
      </c>
    </row>
    <row r="32" spans="2:3" ht="12.75">
      <c r="B32" s="36" t="s">
        <v>501</v>
      </c>
      <c r="C32" s="181">
        <v>0.035</v>
      </c>
    </row>
    <row r="33" spans="2:3" ht="12.75">
      <c r="B33" s="36" t="s">
        <v>502</v>
      </c>
      <c r="C33" s="181">
        <v>0.03</v>
      </c>
    </row>
    <row r="34" spans="2:3" ht="12.75">
      <c r="B34" s="36" t="s">
        <v>503</v>
      </c>
      <c r="C34" s="181">
        <v>0.03</v>
      </c>
    </row>
    <row r="35" spans="2:3" ht="12.75">
      <c r="B35" s="36" t="s">
        <v>504</v>
      </c>
      <c r="C35" s="181">
        <v>0.036</v>
      </c>
    </row>
    <row r="36" spans="2:3" ht="12.75">
      <c r="B36" s="36" t="s">
        <v>505</v>
      </c>
      <c r="C36" s="181">
        <v>0.03</v>
      </c>
    </row>
    <row r="37" spans="2:3" ht="12.75">
      <c r="B37" s="36" t="s">
        <v>506</v>
      </c>
      <c r="C37" s="181">
        <v>0.03</v>
      </c>
    </row>
    <row r="38" spans="6:7" ht="12.75">
      <c r="F38" s="7"/>
      <c r="G38" s="7"/>
    </row>
    <row r="39" spans="5:7" ht="12.75">
      <c r="E39" s="182"/>
      <c r="F39" s="7"/>
      <c r="G39" s="7"/>
    </row>
    <row r="40" spans="1:7" ht="12.75">
      <c r="A40" s="25" t="s">
        <v>415</v>
      </c>
      <c r="B40" s="4" t="s">
        <v>431</v>
      </c>
      <c r="F40" s="7"/>
      <c r="G40" s="7"/>
    </row>
    <row r="41" spans="1:2" ht="12.75">
      <c r="A41" s="25" t="s">
        <v>429</v>
      </c>
      <c r="B41" s="36" t="s">
        <v>627</v>
      </c>
    </row>
    <row r="42" spans="1:5" ht="12.75">
      <c r="A42" s="25" t="s">
        <v>430</v>
      </c>
      <c r="B42" s="35" t="s">
        <v>432</v>
      </c>
      <c r="C42" s="7"/>
      <c r="D42" s="7"/>
      <c r="E42" s="7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12" ht="15">
      <c r="A67" s="3"/>
      <c r="B67" s="3"/>
      <c r="J67" s="375"/>
      <c r="K67" s="375"/>
      <c r="L67" s="376"/>
    </row>
    <row r="68" spans="1:12" ht="15">
      <c r="A68" s="3"/>
      <c r="B68" s="3"/>
      <c r="J68" s="375"/>
      <c r="K68" s="375"/>
      <c r="L68" s="376"/>
    </row>
    <row r="69" spans="1:12" ht="15">
      <c r="A69" s="3"/>
      <c r="B69" s="3"/>
      <c r="J69" s="375"/>
      <c r="K69" s="375"/>
      <c r="L69" s="376"/>
    </row>
    <row r="70" spans="1:15" ht="15">
      <c r="A70" s="3"/>
      <c r="B70" s="3"/>
      <c r="J70" s="375"/>
      <c r="K70" s="375"/>
      <c r="L70" s="376"/>
      <c r="M70"/>
      <c r="N70"/>
      <c r="O70" s="377"/>
    </row>
    <row r="71" spans="1:15" ht="15">
      <c r="A71" s="3"/>
      <c r="B71" s="3"/>
      <c r="J71" s="375"/>
      <c r="K71" s="375"/>
      <c r="L71" s="376"/>
      <c r="M71"/>
      <c r="N71"/>
      <c r="O71" s="377"/>
    </row>
    <row r="72" spans="1:15" ht="15">
      <c r="A72" s="3"/>
      <c r="B72" s="3"/>
      <c r="J72" s="375"/>
      <c r="K72" s="375"/>
      <c r="L72" s="376"/>
      <c r="M72"/>
      <c r="N72"/>
      <c r="O72" s="377"/>
    </row>
    <row r="73" spans="1:15" ht="15">
      <c r="A73" s="3"/>
      <c r="B73" s="3"/>
      <c r="J73" s="375"/>
      <c r="K73" s="375"/>
      <c r="L73" s="376"/>
      <c r="M73"/>
      <c r="N73"/>
      <c r="O73" s="377"/>
    </row>
    <row r="74" spans="1:15" ht="15">
      <c r="A74" s="3"/>
      <c r="B74" s="3"/>
      <c r="J74" s="375"/>
      <c r="K74" s="375"/>
      <c r="L74" s="376"/>
      <c r="M74"/>
      <c r="N74"/>
      <c r="O74" s="377"/>
    </row>
    <row r="75" spans="1:15" ht="15">
      <c r="A75" s="3"/>
      <c r="B75" s="3"/>
      <c r="J75" s="375"/>
      <c r="K75" s="375"/>
      <c r="L75" s="376"/>
      <c r="M75"/>
      <c r="N75"/>
      <c r="O75" s="377"/>
    </row>
    <row r="76" spans="1:15" ht="15">
      <c r="A76" s="3"/>
      <c r="B76" s="3"/>
      <c r="J76" s="375"/>
      <c r="K76" s="375"/>
      <c r="L76" s="376"/>
      <c r="M76"/>
      <c r="N76"/>
      <c r="O76" s="377"/>
    </row>
    <row r="77" spans="1:15" ht="15">
      <c r="A77" s="3"/>
      <c r="B77" s="3"/>
      <c r="J77" s="375"/>
      <c r="K77" s="375"/>
      <c r="L77" s="376"/>
      <c r="M77"/>
      <c r="N77"/>
      <c r="O77" s="377"/>
    </row>
    <row r="78" spans="1:15" ht="15">
      <c r="A78" s="3"/>
      <c r="B78" s="3"/>
      <c r="J78" s="375"/>
      <c r="K78" s="375"/>
      <c r="L78" s="376"/>
      <c r="M78"/>
      <c r="N78"/>
      <c r="O78" s="377"/>
    </row>
    <row r="79" spans="1:15" ht="15">
      <c r="A79" s="3"/>
      <c r="B79" s="3"/>
      <c r="M79"/>
      <c r="N79"/>
      <c r="O79" s="377"/>
    </row>
    <row r="80" spans="1:15" ht="15">
      <c r="A80" s="3"/>
      <c r="B80" s="3"/>
      <c r="M80"/>
      <c r="N80"/>
      <c r="O80" s="377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3:7" ht="12.75">
      <c r="C100" s="137"/>
      <c r="D100" s="24"/>
      <c r="E100" s="24"/>
      <c r="F100" s="24"/>
      <c r="G100" s="24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  <rowBreaks count="1" manualBreakCount="1">
    <brk id="48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421875" style="0" customWidth="1"/>
    <col min="2" max="2" width="43.421875" style="0" bestFit="1" customWidth="1"/>
    <col min="3" max="6" width="13.7109375" style="0" customWidth="1"/>
  </cols>
  <sheetData>
    <row r="1" spans="1:6" ht="15">
      <c r="A1" s="4" t="s">
        <v>1</v>
      </c>
      <c r="B1" s="4"/>
      <c r="C1" s="3"/>
      <c r="D1" s="3"/>
      <c r="E1" s="2" t="s">
        <v>663</v>
      </c>
      <c r="F1" s="3"/>
    </row>
    <row r="2" spans="1:6" ht="15">
      <c r="A2" s="4" t="str">
        <f>+'KSM-NCS-4 p18 Payroll 1'!A2</f>
        <v>Test Period - Twelve Months Ended September 30, 2007</v>
      </c>
      <c r="B2" s="4"/>
      <c r="C2" s="3"/>
      <c r="D2" s="3"/>
      <c r="E2" s="3"/>
      <c r="F2" s="3"/>
    </row>
    <row r="3" spans="1:6" ht="15">
      <c r="A3" s="36" t="s">
        <v>427</v>
      </c>
      <c r="B3" s="4"/>
      <c r="C3" s="3"/>
      <c r="D3" s="3"/>
      <c r="E3" s="3"/>
      <c r="F3" s="3"/>
    </row>
    <row r="4" spans="1:6" ht="15">
      <c r="A4" s="4" t="s">
        <v>386</v>
      </c>
      <c r="B4" s="4"/>
      <c r="C4" s="4"/>
      <c r="D4" s="2"/>
      <c r="E4" s="3"/>
      <c r="F4" s="3"/>
    </row>
    <row r="5" spans="1:6" ht="15">
      <c r="A5" s="4"/>
      <c r="B5" s="4"/>
      <c r="C5" s="4"/>
      <c r="D5" s="2"/>
      <c r="E5" s="167"/>
      <c r="F5" s="3"/>
    </row>
    <row r="6" spans="1:6" ht="15">
      <c r="A6" s="25" t="s">
        <v>20</v>
      </c>
      <c r="B6" s="4"/>
      <c r="C6" s="4"/>
      <c r="D6" s="2"/>
      <c r="E6" s="167"/>
      <c r="F6" s="3"/>
    </row>
    <row r="7" spans="1:6" ht="15">
      <c r="A7" s="26" t="s">
        <v>391</v>
      </c>
      <c r="B7" s="4"/>
      <c r="C7" s="26" t="s">
        <v>390</v>
      </c>
      <c r="D7" s="26" t="s">
        <v>387</v>
      </c>
      <c r="E7" s="5" t="s">
        <v>388</v>
      </c>
      <c r="F7" s="26" t="s">
        <v>389</v>
      </c>
    </row>
    <row r="8" spans="1:6" ht="15">
      <c r="A8" s="25"/>
      <c r="B8" s="4"/>
      <c r="C8" s="170" t="s">
        <v>64</v>
      </c>
      <c r="D8" s="170" t="s">
        <v>65</v>
      </c>
      <c r="E8" s="25" t="s">
        <v>66</v>
      </c>
      <c r="F8" s="25" t="s">
        <v>66</v>
      </c>
    </row>
    <row r="9" spans="1:6" ht="15">
      <c r="A9" s="25"/>
      <c r="B9" s="4"/>
      <c r="C9" s="3"/>
      <c r="D9" s="3"/>
      <c r="E9" s="7"/>
      <c r="F9" s="3"/>
    </row>
    <row r="10" spans="1:6" ht="15">
      <c r="A10" s="25">
        <v>1</v>
      </c>
      <c r="B10" s="4" t="s">
        <v>392</v>
      </c>
      <c r="C10" s="386">
        <f>+C46</f>
        <v>10</v>
      </c>
      <c r="D10" s="386">
        <f>+D46</f>
        <v>391</v>
      </c>
      <c r="E10" s="386">
        <f>+E46</f>
        <v>239</v>
      </c>
      <c r="F10" s="386">
        <f>+F46</f>
        <v>507</v>
      </c>
    </row>
    <row r="11" spans="1:6" ht="15">
      <c r="A11" s="25"/>
      <c r="B11" s="4"/>
      <c r="C11" s="387"/>
      <c r="D11" s="387"/>
      <c r="E11" s="388"/>
      <c r="F11" s="389"/>
    </row>
    <row r="12" spans="1:6" ht="15">
      <c r="A12" s="25">
        <v>2</v>
      </c>
      <c r="B12" s="4" t="s">
        <v>393</v>
      </c>
      <c r="C12" s="390">
        <f>+C50</f>
        <v>9.5</v>
      </c>
      <c r="D12" s="390">
        <f>+D50</f>
        <v>385.9166666666667</v>
      </c>
      <c r="E12" s="390">
        <f>+E50</f>
        <v>253.25</v>
      </c>
      <c r="F12" s="390">
        <f>+F50</f>
        <v>530.5833333333334</v>
      </c>
    </row>
    <row r="13" spans="1:6" ht="15">
      <c r="A13" s="25"/>
      <c r="B13" s="4"/>
      <c r="C13" s="183"/>
      <c r="D13" s="183"/>
      <c r="E13" s="127"/>
      <c r="F13" s="15"/>
    </row>
    <row r="14" spans="1:6" ht="15">
      <c r="A14" s="25">
        <v>3</v>
      </c>
      <c r="B14" s="4" t="s">
        <v>394</v>
      </c>
      <c r="C14" s="184">
        <f>+'KSM-NCS-4 p18 Payroll 1'!D10</f>
        <v>2294819</v>
      </c>
      <c r="D14" s="184">
        <f>+'KSM-NCS-4 p18 Payroll 1'!E10</f>
        <v>29306337</v>
      </c>
      <c r="E14" s="184">
        <f>+'KSM-NCS-4 p18 Payroll 1'!F10</f>
        <v>11417183</v>
      </c>
      <c r="F14" s="184">
        <f>+'KSM-NCS-4 p18 Payroll 1'!G10</f>
        <v>32771393</v>
      </c>
    </row>
    <row r="15" spans="1:6" ht="15">
      <c r="A15" s="25"/>
      <c r="B15" s="4"/>
      <c r="C15" s="184"/>
      <c r="D15" s="184"/>
      <c r="E15" s="185"/>
      <c r="F15" s="38"/>
    </row>
    <row r="16" spans="1:6" ht="15">
      <c r="A16" s="25">
        <v>4</v>
      </c>
      <c r="B16" s="4" t="s">
        <v>395</v>
      </c>
      <c r="C16" s="186">
        <v>0</v>
      </c>
      <c r="D16" s="186">
        <v>0</v>
      </c>
      <c r="E16" s="187">
        <v>0</v>
      </c>
      <c r="F16" s="187">
        <v>0</v>
      </c>
    </row>
    <row r="17" spans="1:6" ht="15">
      <c r="A17" s="25"/>
      <c r="B17" s="4"/>
      <c r="C17" s="38"/>
      <c r="D17" s="38"/>
      <c r="E17" s="185"/>
      <c r="F17" s="38"/>
    </row>
    <row r="18" spans="1:6" ht="15">
      <c r="A18" s="25">
        <v>5</v>
      </c>
      <c r="B18" s="4" t="s">
        <v>396</v>
      </c>
      <c r="C18" s="38">
        <f>C14-C16</f>
        <v>2294819</v>
      </c>
      <c r="D18" s="38">
        <f>D14-D16</f>
        <v>29306337</v>
      </c>
      <c r="E18" s="132">
        <f>E14-E16</f>
        <v>11417183</v>
      </c>
      <c r="F18" s="38">
        <f>F14-F16</f>
        <v>32771393</v>
      </c>
    </row>
    <row r="19" spans="1:6" ht="15">
      <c r="A19" s="25"/>
      <c r="B19" s="4"/>
      <c r="C19" s="38"/>
      <c r="D19" s="38"/>
      <c r="E19" s="132"/>
      <c r="F19" s="38"/>
    </row>
    <row r="20" spans="1:6" ht="15">
      <c r="A20" s="25">
        <v>6</v>
      </c>
      <c r="B20" s="4" t="s">
        <v>397</v>
      </c>
      <c r="C20" s="38"/>
      <c r="D20" s="38"/>
      <c r="E20" s="38"/>
      <c r="F20" s="38"/>
    </row>
    <row r="21" spans="1:6" ht="15">
      <c r="A21" s="25"/>
      <c r="B21" s="4" t="s">
        <v>398</v>
      </c>
      <c r="C21" s="38">
        <f>+E34</f>
        <v>239277.96529585184</v>
      </c>
      <c r="D21" s="38">
        <f>D18/D12</f>
        <v>75939.5473979702</v>
      </c>
      <c r="E21" s="132">
        <f>E18/E12</f>
        <v>45082.657453109576</v>
      </c>
      <c r="F21" s="38">
        <f>F18/F12</f>
        <v>61764.83681482644</v>
      </c>
    </row>
    <row r="22" spans="1:6" ht="15">
      <c r="A22" s="25"/>
      <c r="B22" s="4"/>
      <c r="C22" s="38"/>
      <c r="D22" s="38"/>
      <c r="E22" s="185"/>
      <c r="F22" s="38"/>
    </row>
    <row r="23" spans="1:6" ht="15.75" thickBot="1">
      <c r="A23" s="25">
        <v>7</v>
      </c>
      <c r="B23" s="4" t="s">
        <v>399</v>
      </c>
      <c r="C23" s="87">
        <f>C10*C21</f>
        <v>2392779.6529585184</v>
      </c>
      <c r="D23" s="87">
        <f>D10*D21</f>
        <v>29692363.032606345</v>
      </c>
      <c r="E23" s="131">
        <f>E10*E21</f>
        <v>10774755.131293189</v>
      </c>
      <c r="F23" s="131">
        <f>F10*F21</f>
        <v>31314772.265117005</v>
      </c>
    </row>
    <row r="24" spans="1:6" ht="15.75" thickTop="1">
      <c r="A24" s="25"/>
      <c r="B24" s="4" t="s">
        <v>400</v>
      </c>
      <c r="C24" s="3"/>
      <c r="D24" s="7"/>
      <c r="E24" s="3"/>
      <c r="F24" s="3"/>
    </row>
    <row r="25" spans="1:6" ht="15">
      <c r="A25" s="4"/>
      <c r="B25" s="4"/>
      <c r="C25" s="3"/>
      <c r="D25" s="7"/>
      <c r="E25" s="3"/>
      <c r="F25" s="3"/>
    </row>
    <row r="26" spans="1:6" ht="15">
      <c r="A26" s="36" t="s">
        <v>438</v>
      </c>
      <c r="B26" s="4"/>
      <c r="C26" s="3"/>
      <c r="D26" s="7"/>
      <c r="E26" s="3"/>
      <c r="F26" s="3"/>
    </row>
    <row r="27" spans="1:6" ht="15">
      <c r="A27" s="4"/>
      <c r="B27" s="4"/>
      <c r="C27" s="3"/>
      <c r="D27" s="3"/>
      <c r="E27" s="3"/>
      <c r="F27" s="3"/>
    </row>
    <row r="28" spans="1:6" ht="15">
      <c r="A28" s="4" t="s">
        <v>436</v>
      </c>
      <c r="B28" s="4"/>
      <c r="C28" s="3"/>
      <c r="D28" s="3"/>
      <c r="E28" s="25" t="s">
        <v>437</v>
      </c>
      <c r="F28" s="3"/>
    </row>
    <row r="29" spans="1:6" ht="15">
      <c r="A29" s="4"/>
      <c r="B29" s="4"/>
      <c r="C29" s="3"/>
      <c r="D29" s="3"/>
      <c r="E29" s="3"/>
      <c r="F29" s="3"/>
    </row>
    <row r="30" spans="1:6" ht="15">
      <c r="A30" s="4"/>
      <c r="B30" s="4" t="s">
        <v>605</v>
      </c>
      <c r="C30" s="24">
        <v>1749666.666666667</v>
      </c>
      <c r="D30" s="24">
        <v>7.583333333333333</v>
      </c>
      <c r="E30" s="3">
        <f>+C30/D30</f>
        <v>230725.27472527476</v>
      </c>
      <c r="F30" s="3"/>
    </row>
    <row r="31" spans="1:6" ht="15">
      <c r="A31" s="4"/>
      <c r="B31" s="4" t="s">
        <v>606</v>
      </c>
      <c r="C31" s="24">
        <v>1953781.25</v>
      </c>
      <c r="D31" s="24">
        <v>8</v>
      </c>
      <c r="E31" s="3">
        <f>+C31/D31</f>
        <v>244222.65625</v>
      </c>
      <c r="F31" s="3"/>
    </row>
    <row r="32" spans="1:6" ht="15">
      <c r="A32" s="4"/>
      <c r="B32" s="4" t="s">
        <v>607</v>
      </c>
      <c r="C32" s="24">
        <v>2307416.666666667</v>
      </c>
      <c r="D32" s="24">
        <v>9.5</v>
      </c>
      <c r="E32" s="3">
        <f>+C32/D32</f>
        <v>242885.96491228073</v>
      </c>
      <c r="F32" s="3"/>
    </row>
    <row r="33" spans="1:6" ht="15">
      <c r="A33" s="4"/>
      <c r="B33" s="4"/>
      <c r="C33" s="3"/>
      <c r="D33" s="3"/>
      <c r="E33" s="3"/>
      <c r="F33" s="3"/>
    </row>
    <row r="34" spans="1:6" ht="15">
      <c r="A34" s="4"/>
      <c r="B34" s="4" t="s">
        <v>88</v>
      </c>
      <c r="C34" s="3"/>
      <c r="D34" s="3"/>
      <c r="E34" s="3">
        <f>AVERAGE(E30:E32)</f>
        <v>239277.96529585184</v>
      </c>
      <c r="F34" s="3"/>
    </row>
    <row r="35" spans="1:6" ht="15">
      <c r="A35" s="4"/>
      <c r="B35" s="4"/>
      <c r="C35" s="3"/>
      <c r="D35" s="3"/>
      <c r="E35" s="3"/>
      <c r="F35" s="3"/>
    </row>
    <row r="36" spans="1:6" ht="15">
      <c r="A36" s="4"/>
      <c r="B36" s="4"/>
      <c r="C36" s="3"/>
      <c r="D36" s="3"/>
      <c r="E36" s="3"/>
      <c r="F36" s="3"/>
    </row>
    <row r="37" spans="1:6" ht="15">
      <c r="A37" s="4"/>
      <c r="B37" s="4"/>
      <c r="C37" s="26" t="s">
        <v>390</v>
      </c>
      <c r="D37" s="26" t="s">
        <v>387</v>
      </c>
      <c r="E37" s="5" t="s">
        <v>388</v>
      </c>
      <c r="F37" s="26" t="s">
        <v>389</v>
      </c>
    </row>
    <row r="38" spans="1:6" ht="15">
      <c r="A38" s="427" t="s">
        <v>520</v>
      </c>
      <c r="B38" s="4" t="s">
        <v>575</v>
      </c>
      <c r="C38" s="24">
        <v>10</v>
      </c>
      <c r="D38" s="24">
        <v>383</v>
      </c>
      <c r="E38" s="24">
        <v>263</v>
      </c>
      <c r="F38" s="24">
        <v>539</v>
      </c>
    </row>
    <row r="39" spans="1:6" ht="15">
      <c r="A39" s="427" t="s">
        <v>520</v>
      </c>
      <c r="B39" s="4" t="s">
        <v>576</v>
      </c>
      <c r="C39" s="24">
        <v>10</v>
      </c>
      <c r="D39" s="24">
        <v>383</v>
      </c>
      <c r="E39" s="24">
        <v>262</v>
      </c>
      <c r="F39" s="24">
        <v>536</v>
      </c>
    </row>
    <row r="40" spans="1:6" ht="15">
      <c r="A40" s="427" t="s">
        <v>520</v>
      </c>
      <c r="B40" s="4" t="s">
        <v>577</v>
      </c>
      <c r="C40" s="24">
        <v>10</v>
      </c>
      <c r="D40" s="24">
        <v>384</v>
      </c>
      <c r="E40" s="24">
        <v>257</v>
      </c>
      <c r="F40" s="24">
        <v>531</v>
      </c>
    </row>
    <row r="41" spans="1:6" ht="15">
      <c r="A41" s="427" t="s">
        <v>520</v>
      </c>
      <c r="B41" s="4" t="s">
        <v>578</v>
      </c>
      <c r="C41" s="24">
        <v>10</v>
      </c>
      <c r="D41" s="24">
        <v>384</v>
      </c>
      <c r="E41" s="24">
        <v>251</v>
      </c>
      <c r="F41" s="24">
        <v>529</v>
      </c>
    </row>
    <row r="42" spans="1:6" ht="15">
      <c r="A42" s="427" t="s">
        <v>520</v>
      </c>
      <c r="B42" s="4" t="s">
        <v>23</v>
      </c>
      <c r="C42" s="24">
        <v>10</v>
      </c>
      <c r="D42" s="24">
        <v>384</v>
      </c>
      <c r="E42" s="24">
        <v>240</v>
      </c>
      <c r="F42" s="24">
        <v>526</v>
      </c>
    </row>
    <row r="43" spans="1:6" ht="15">
      <c r="A43" s="427" t="s">
        <v>520</v>
      </c>
      <c r="B43" s="4" t="s">
        <v>579</v>
      </c>
      <c r="C43" s="24">
        <v>10</v>
      </c>
      <c r="D43" s="24">
        <v>387</v>
      </c>
      <c r="E43" s="24">
        <v>230</v>
      </c>
      <c r="F43" s="24">
        <v>522</v>
      </c>
    </row>
    <row r="44" spans="1:6" ht="15">
      <c r="A44" s="427" t="s">
        <v>520</v>
      </c>
      <c r="B44" s="4" t="s">
        <v>580</v>
      </c>
      <c r="C44" s="24">
        <v>10</v>
      </c>
      <c r="D44" s="24">
        <v>383</v>
      </c>
      <c r="E44" s="24">
        <v>233</v>
      </c>
      <c r="F44" s="24">
        <v>519</v>
      </c>
    </row>
    <row r="45" spans="1:6" ht="15">
      <c r="A45" s="427" t="s">
        <v>520</v>
      </c>
      <c r="B45" s="4" t="s">
        <v>581</v>
      </c>
      <c r="C45" s="24">
        <v>10</v>
      </c>
      <c r="D45" s="24">
        <v>387</v>
      </c>
      <c r="E45" s="24">
        <v>234</v>
      </c>
      <c r="F45" s="24">
        <v>517</v>
      </c>
    </row>
    <row r="46" spans="1:6" ht="15">
      <c r="A46" s="427" t="s">
        <v>520</v>
      </c>
      <c r="B46" s="4" t="s">
        <v>582</v>
      </c>
      <c r="C46" s="24">
        <v>10</v>
      </c>
      <c r="D46" s="24">
        <v>391</v>
      </c>
      <c r="E46" s="24">
        <v>239</v>
      </c>
      <c r="F46" s="24">
        <v>507</v>
      </c>
    </row>
    <row r="47" spans="1:6" ht="15">
      <c r="A47" s="427" t="s">
        <v>485</v>
      </c>
      <c r="B47" s="4" t="s">
        <v>583</v>
      </c>
      <c r="C47" s="24">
        <v>8</v>
      </c>
      <c r="D47" s="24">
        <v>389</v>
      </c>
      <c r="E47" s="24">
        <v>285</v>
      </c>
      <c r="F47" s="24">
        <v>551</v>
      </c>
    </row>
    <row r="48" spans="1:6" ht="15">
      <c r="A48" s="427" t="s">
        <v>485</v>
      </c>
      <c r="B48" s="4" t="s">
        <v>584</v>
      </c>
      <c r="C48" s="24">
        <v>8</v>
      </c>
      <c r="D48" s="24">
        <v>386</v>
      </c>
      <c r="E48" s="24">
        <v>275</v>
      </c>
      <c r="F48" s="24">
        <v>546</v>
      </c>
    </row>
    <row r="49" spans="1:6" ht="15">
      <c r="A49" s="427" t="s">
        <v>485</v>
      </c>
      <c r="B49" s="4" t="s">
        <v>585</v>
      </c>
      <c r="C49" s="24">
        <v>8</v>
      </c>
      <c r="D49" s="24">
        <v>390</v>
      </c>
      <c r="E49" s="24">
        <v>270</v>
      </c>
      <c r="F49" s="24">
        <v>544</v>
      </c>
    </row>
    <row r="50" spans="1:6" ht="15">
      <c r="A50" s="4"/>
      <c r="B50" s="273" t="s">
        <v>88</v>
      </c>
      <c r="C50" s="384">
        <f>AVERAGE(C38:C49)</f>
        <v>9.5</v>
      </c>
      <c r="D50" s="384">
        <f>AVERAGE(D38:D49)</f>
        <v>385.9166666666667</v>
      </c>
      <c r="E50" s="384">
        <f>AVERAGE(E38:E49)</f>
        <v>253.25</v>
      </c>
      <c r="F50" s="385">
        <f>AVERAGE(F38:F49)</f>
        <v>530.5833333333334</v>
      </c>
    </row>
    <row r="51" spans="1:6" ht="15">
      <c r="A51" s="4"/>
      <c r="B51" s="4"/>
      <c r="C51" s="24"/>
      <c r="D51" s="24"/>
      <c r="E51" s="24"/>
      <c r="F51" s="24"/>
    </row>
    <row r="52" spans="1:6" ht="15">
      <c r="A52" s="4"/>
      <c r="B52" s="137">
        <v>2005</v>
      </c>
      <c r="C52" s="24">
        <v>8</v>
      </c>
      <c r="D52" s="24">
        <v>409</v>
      </c>
      <c r="E52" s="24">
        <v>311</v>
      </c>
      <c r="F52" s="24">
        <v>587</v>
      </c>
    </row>
    <row r="53" spans="1:6" ht="15">
      <c r="A53" s="4"/>
      <c r="B53" s="137">
        <v>2004</v>
      </c>
      <c r="C53" s="24">
        <v>8</v>
      </c>
      <c r="D53" s="24">
        <v>405</v>
      </c>
      <c r="E53" s="24">
        <v>324</v>
      </c>
      <c r="F53" s="24">
        <v>551</v>
      </c>
    </row>
    <row r="54" spans="1:6" ht="15">
      <c r="A54" s="4"/>
      <c r="B54" s="137">
        <v>2003</v>
      </c>
      <c r="C54" s="24">
        <v>8</v>
      </c>
      <c r="D54" s="24">
        <v>388</v>
      </c>
      <c r="E54" s="24">
        <v>326</v>
      </c>
      <c r="F54" s="24">
        <v>569</v>
      </c>
    </row>
  </sheetData>
  <sheetProtection/>
  <printOptions horizontalCentered="1"/>
  <pageMargins left="0.75" right="0.75" top="0.7" bottom="0.66" header="0.5" footer="0.5"/>
  <pageSetup fitToHeight="1" fitToWidth="1" horizontalDpi="600" verticalDpi="600" orientation="landscape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M31" sqref="M31"/>
    </sheetView>
  </sheetViews>
  <sheetFormatPr defaultColWidth="9.140625" defaultRowHeight="15"/>
  <cols>
    <col min="1" max="1" width="5.7109375" style="88" customWidth="1"/>
    <col min="2" max="2" width="50.7109375" style="88" customWidth="1"/>
    <col min="3" max="5" width="14.7109375" style="89" customWidth="1"/>
    <col min="6" max="8" width="9.140625" style="89" customWidth="1"/>
    <col min="9" max="9" width="10.140625" style="89" bestFit="1" customWidth="1"/>
    <col min="10" max="15" width="11.7109375" style="89" customWidth="1"/>
    <col min="16" max="16384" width="9.140625" style="89" customWidth="1"/>
  </cols>
  <sheetData>
    <row r="1" spans="1:4" s="88" customFormat="1" ht="12.75">
      <c r="A1" s="88" t="s">
        <v>0</v>
      </c>
      <c r="D1" s="88" t="s">
        <v>672</v>
      </c>
    </row>
    <row r="2" s="88" customFormat="1" ht="12.75">
      <c r="A2" s="88" t="str">
        <f>+'KSM-NCS-4 p2&amp;3 Adjust Issues'!A3</f>
        <v>Test Period - Twelve Months Ended September 30, 2007</v>
      </c>
    </row>
    <row r="3" s="88" customFormat="1" ht="12.75">
      <c r="A3" s="88" t="s">
        <v>404</v>
      </c>
    </row>
    <row r="4" s="88" customFormat="1" ht="12.75"/>
    <row r="5" spans="3:5" s="88" customFormat="1" ht="12.75">
      <c r="C5" s="92" t="s">
        <v>10</v>
      </c>
      <c r="D5" s="92" t="s">
        <v>11</v>
      </c>
      <c r="E5" s="92" t="s">
        <v>11</v>
      </c>
    </row>
    <row r="6" spans="3:5" s="88" customFormat="1" ht="12.75">
      <c r="C6" s="92" t="s">
        <v>32</v>
      </c>
      <c r="D6" s="92" t="s">
        <v>57</v>
      </c>
      <c r="E6" s="92" t="s">
        <v>32</v>
      </c>
    </row>
    <row r="7" spans="1:5" s="88" customFormat="1" ht="12.75">
      <c r="A7" s="92" t="s">
        <v>20</v>
      </c>
      <c r="C7" s="95" t="s">
        <v>59</v>
      </c>
      <c r="D7" s="95" t="s">
        <v>407</v>
      </c>
      <c r="E7" s="95" t="s">
        <v>59</v>
      </c>
    </row>
    <row r="8" spans="1:5" s="88" customFormat="1" ht="12.75">
      <c r="A8" s="95" t="s">
        <v>37</v>
      </c>
      <c r="C8" s="200" t="s">
        <v>64</v>
      </c>
      <c r="D8" s="200" t="s">
        <v>65</v>
      </c>
      <c r="E8" s="200" t="s">
        <v>66</v>
      </c>
    </row>
    <row r="9" spans="3:5" s="88" customFormat="1" ht="12.75">
      <c r="C9" s="89"/>
      <c r="D9" s="89"/>
      <c r="E9" s="89"/>
    </row>
    <row r="10" spans="1:11" ht="13.5" thickBot="1">
      <c r="A10" s="92"/>
      <c r="B10" s="211" t="s">
        <v>405</v>
      </c>
      <c r="C10" s="88"/>
      <c r="D10" s="201"/>
      <c r="E10" s="201"/>
      <c r="J10" s="95" t="s">
        <v>609</v>
      </c>
      <c r="K10" s="95" t="s">
        <v>610</v>
      </c>
    </row>
    <row r="12" spans="1:11" ht="12.75">
      <c r="A12" s="92">
        <v>1</v>
      </c>
      <c r="B12" s="88" t="s">
        <v>539</v>
      </c>
      <c r="C12" s="393">
        <f>+K29</f>
        <v>13247136</v>
      </c>
      <c r="D12" s="201"/>
      <c r="E12" s="201"/>
      <c r="H12" s="89" t="s">
        <v>583</v>
      </c>
      <c r="I12" s="89">
        <v>2006</v>
      </c>
      <c r="J12" s="89">
        <v>743536</v>
      </c>
      <c r="K12" s="89">
        <v>1098859</v>
      </c>
    </row>
    <row r="13" spans="1:15" ht="12.75">
      <c r="A13" s="92">
        <v>2</v>
      </c>
      <c r="B13" s="204" t="s">
        <v>486</v>
      </c>
      <c r="C13" s="205">
        <f>+K30</f>
        <v>0.633</v>
      </c>
      <c r="D13" s="201"/>
      <c r="E13" s="201"/>
      <c r="H13" s="89" t="s">
        <v>584</v>
      </c>
      <c r="J13" s="89">
        <v>749258</v>
      </c>
      <c r="K13" s="89">
        <v>1142852</v>
      </c>
      <c r="M13" s="95" t="s">
        <v>611</v>
      </c>
      <c r="N13" s="95" t="s">
        <v>318</v>
      </c>
      <c r="O13" s="95" t="s">
        <v>612</v>
      </c>
    </row>
    <row r="14" spans="1:11" ht="12.75">
      <c r="A14" s="92"/>
      <c r="C14" s="113"/>
      <c r="D14" s="201"/>
      <c r="E14" s="201"/>
      <c r="H14" s="89" t="s">
        <v>585</v>
      </c>
      <c r="J14" s="89">
        <v>761987</v>
      </c>
      <c r="K14" s="89">
        <v>1094565</v>
      </c>
    </row>
    <row r="15" spans="1:14" ht="12.75">
      <c r="A15" s="92">
        <f>+A13+1</f>
        <v>3</v>
      </c>
      <c r="B15" s="88" t="s">
        <v>541</v>
      </c>
      <c r="C15" s="161">
        <f>+C12*C13</f>
        <v>8385437.088</v>
      </c>
      <c r="D15" s="201"/>
      <c r="E15" s="201"/>
      <c r="H15" s="89" t="s">
        <v>575</v>
      </c>
      <c r="I15" s="89">
        <v>2007</v>
      </c>
      <c r="J15" s="89">
        <v>614374</v>
      </c>
      <c r="K15" s="89">
        <v>1141732</v>
      </c>
      <c r="M15" s="89">
        <v>47896</v>
      </c>
      <c r="N15" s="89">
        <v>40478</v>
      </c>
    </row>
    <row r="16" spans="1:14" ht="12.75">
      <c r="A16" s="92">
        <f>+A15+1</f>
        <v>4</v>
      </c>
      <c r="B16" s="88" t="s">
        <v>540</v>
      </c>
      <c r="C16" s="212">
        <f>+K40</f>
        <v>8686762.812</v>
      </c>
      <c r="D16" s="201"/>
      <c r="E16" s="201"/>
      <c r="H16" s="89" t="s">
        <v>576</v>
      </c>
      <c r="J16" s="89">
        <v>577650</v>
      </c>
      <c r="K16" s="89">
        <v>1131968</v>
      </c>
      <c r="M16" s="89">
        <v>35920</v>
      </c>
      <c r="N16" s="89">
        <v>15730</v>
      </c>
    </row>
    <row r="17" spans="1:14" ht="12.75">
      <c r="A17" s="92"/>
      <c r="C17" s="113"/>
      <c r="D17" s="201"/>
      <c r="E17" s="201"/>
      <c r="H17" s="89" t="s">
        <v>577</v>
      </c>
      <c r="J17" s="89">
        <v>622296</v>
      </c>
      <c r="K17" s="89">
        <v>1119271</v>
      </c>
      <c r="M17" s="89">
        <v>34895</v>
      </c>
      <c r="N17" s="89">
        <v>61401</v>
      </c>
    </row>
    <row r="18" spans="1:14" ht="13.5" thickBot="1">
      <c r="A18" s="92">
        <f>+A16+1</f>
        <v>5</v>
      </c>
      <c r="B18" s="88" t="s">
        <v>410</v>
      </c>
      <c r="C18" s="208">
        <f>+C16-C15</f>
        <v>301325.7240000004</v>
      </c>
      <c r="D18" s="202">
        <f>+'KSM-NCS-4 p18 Payroll 1'!C27</f>
        <v>0.09962</v>
      </c>
      <c r="E18" s="203">
        <f>+C18*D18</f>
        <v>30018.06862488004</v>
      </c>
      <c r="H18" s="89" t="s">
        <v>578</v>
      </c>
      <c r="J18" s="89">
        <v>601114</v>
      </c>
      <c r="K18" s="89">
        <v>1094698</v>
      </c>
      <c r="M18" s="89">
        <v>35697</v>
      </c>
      <c r="N18" s="89">
        <v>39417</v>
      </c>
    </row>
    <row r="19" spans="1:14" ht="13.5" thickTop="1">
      <c r="A19" s="92"/>
      <c r="D19" s="201"/>
      <c r="E19" s="201"/>
      <c r="H19" s="89" t="s">
        <v>23</v>
      </c>
      <c r="J19" s="89">
        <v>582166</v>
      </c>
      <c r="K19" s="89">
        <v>1118899</v>
      </c>
      <c r="M19" s="89">
        <v>34542</v>
      </c>
      <c r="N19" s="89">
        <v>21623</v>
      </c>
    </row>
    <row r="20" spans="3:14" ht="12.75">
      <c r="C20" s="210"/>
      <c r="D20" s="201"/>
      <c r="E20" s="201"/>
      <c r="H20" s="89" t="s">
        <v>579</v>
      </c>
      <c r="J20" s="89">
        <v>581951</v>
      </c>
      <c r="K20" s="89">
        <v>1087162</v>
      </c>
      <c r="M20" s="89">
        <v>34832</v>
      </c>
      <c r="N20" s="89">
        <v>21118</v>
      </c>
    </row>
    <row r="21" spans="1:14" ht="12.75">
      <c r="A21" s="435"/>
      <c r="B21" s="435"/>
      <c r="C21" s="436"/>
      <c r="D21" s="201"/>
      <c r="E21" s="201"/>
      <c r="H21" s="89" t="s">
        <v>580</v>
      </c>
      <c r="J21" s="89">
        <v>595528</v>
      </c>
      <c r="K21" s="89">
        <v>980106</v>
      </c>
      <c r="M21" s="89">
        <v>34390</v>
      </c>
      <c r="N21" s="89">
        <v>35138</v>
      </c>
    </row>
    <row r="22" spans="2:14" ht="13.5" thickBot="1">
      <c r="B22" s="211" t="s">
        <v>406</v>
      </c>
      <c r="C22" s="88"/>
      <c r="D22" s="201"/>
      <c r="E22" s="201"/>
      <c r="H22" s="89" t="s">
        <v>581</v>
      </c>
      <c r="J22" s="89">
        <v>592971</v>
      </c>
      <c r="K22" s="89">
        <v>1151657</v>
      </c>
      <c r="M22" s="89">
        <v>46852</v>
      </c>
      <c r="N22" s="89">
        <v>20119</v>
      </c>
    </row>
    <row r="23" spans="3:14" ht="12.75">
      <c r="C23" s="88"/>
      <c r="D23" s="201"/>
      <c r="E23" s="201"/>
      <c r="H23" s="89" t="s">
        <v>582</v>
      </c>
      <c r="J23" s="89">
        <v>880868</v>
      </c>
      <c r="K23" s="89">
        <v>1085367</v>
      </c>
      <c r="M23" s="89">
        <v>34656</v>
      </c>
      <c r="N23" s="89">
        <v>38288</v>
      </c>
    </row>
    <row r="24" spans="1:14" ht="12.75">
      <c r="A24" s="92">
        <f>+A18+1</f>
        <v>6</v>
      </c>
      <c r="B24" s="90" t="s">
        <v>542</v>
      </c>
      <c r="C24" s="161">
        <f>+J31</f>
        <v>5003041.467</v>
      </c>
      <c r="D24" s="201"/>
      <c r="E24" s="201"/>
      <c r="H24" s="89" t="s">
        <v>583</v>
      </c>
      <c r="J24" s="89">
        <v>617714</v>
      </c>
      <c r="K24" s="89">
        <v>1100534</v>
      </c>
      <c r="M24" s="89">
        <v>32921</v>
      </c>
      <c r="N24" s="89">
        <v>27468</v>
      </c>
    </row>
    <row r="25" spans="4:14" ht="12.75">
      <c r="D25" s="201"/>
      <c r="E25" s="201"/>
      <c r="H25" s="89" t="s">
        <v>584</v>
      </c>
      <c r="J25" s="89">
        <v>606633</v>
      </c>
      <c r="K25" s="89">
        <v>1075697</v>
      </c>
      <c r="M25" s="89">
        <v>33885</v>
      </c>
      <c r="N25" s="89">
        <v>15423</v>
      </c>
    </row>
    <row r="26" spans="1:14" ht="12.75">
      <c r="A26" s="92">
        <f>+A24+1</f>
        <v>7</v>
      </c>
      <c r="B26" s="90" t="s">
        <v>543</v>
      </c>
      <c r="C26" s="212">
        <f>+O31</f>
        <v>3485229.003</v>
      </c>
      <c r="D26" s="201"/>
      <c r="E26" s="201"/>
      <c r="H26" s="89" t="s">
        <v>585</v>
      </c>
      <c r="J26" s="89">
        <v>685527</v>
      </c>
      <c r="K26" s="89">
        <v>1312927</v>
      </c>
      <c r="M26" s="89">
        <v>32790</v>
      </c>
      <c r="N26" s="89">
        <v>95412</v>
      </c>
    </row>
    <row r="27" spans="1:15" ht="12.75">
      <c r="A27" s="92"/>
      <c r="C27" s="113"/>
      <c r="D27" s="201"/>
      <c r="E27" s="201"/>
      <c r="M27" s="89">
        <f>SUM(M15:M26)</f>
        <v>439276</v>
      </c>
      <c r="N27" s="89">
        <f>SUM(N15:N26)</f>
        <v>431615</v>
      </c>
      <c r="O27" s="89">
        <v>4635000</v>
      </c>
    </row>
    <row r="28" spans="1:5" ht="13.5" thickBot="1">
      <c r="A28" s="92">
        <f>+A26+1</f>
        <v>8</v>
      </c>
      <c r="B28" s="88" t="s">
        <v>410</v>
      </c>
      <c r="C28" s="208">
        <f>+C26-C24</f>
        <v>-1517812.4640000002</v>
      </c>
      <c r="D28" s="202">
        <f>D18</f>
        <v>0.09962</v>
      </c>
      <c r="E28" s="206">
        <f>+C28*D28</f>
        <v>-151204.47766368</v>
      </c>
    </row>
    <row r="29" spans="4:15" ht="13.5" thickTop="1">
      <c r="D29" s="201"/>
      <c r="E29" s="201"/>
      <c r="H29" s="89" t="s">
        <v>323</v>
      </c>
      <c r="J29" s="89">
        <f>SUM(J12:J23)</f>
        <v>7903699</v>
      </c>
      <c r="K29" s="89">
        <f>SUM(K12:K23)</f>
        <v>13247136</v>
      </c>
      <c r="O29" s="89">
        <f>+M27+N27+O27</f>
        <v>5505891</v>
      </c>
    </row>
    <row r="30" spans="2:15" ht="13.5" thickBot="1">
      <c r="B30" s="88" t="s">
        <v>671</v>
      </c>
      <c r="E30" s="207">
        <f>+E18+E28</f>
        <v>-121186.40903879996</v>
      </c>
      <c r="H30" s="89" t="s">
        <v>486</v>
      </c>
      <c r="J30" s="210">
        <v>0.633</v>
      </c>
      <c r="K30" s="210">
        <v>0.633</v>
      </c>
      <c r="O30" s="380">
        <f>+K30</f>
        <v>0.633</v>
      </c>
    </row>
    <row r="31" spans="1:15" ht="13.5" thickTop="1">
      <c r="A31" s="435"/>
      <c r="B31" s="435"/>
      <c r="C31" s="436"/>
      <c r="H31" s="89" t="s">
        <v>289</v>
      </c>
      <c r="J31" s="89">
        <f>+J29*J30</f>
        <v>5003041.467</v>
      </c>
      <c r="K31" s="89">
        <f>+K29*K30</f>
        <v>8385437.088</v>
      </c>
      <c r="O31" s="89">
        <f>+O29*O30</f>
        <v>3485229.003</v>
      </c>
    </row>
    <row r="33" spans="3:15" ht="12.75">
      <c r="C33" s="88"/>
      <c r="I33" s="89" t="s">
        <v>630</v>
      </c>
      <c r="O33" s="89">
        <f>4141+218</f>
        <v>4359</v>
      </c>
    </row>
    <row r="34" spans="2:3" ht="13.5" thickBot="1">
      <c r="B34" s="211" t="s">
        <v>408</v>
      </c>
      <c r="C34" s="88"/>
    </row>
    <row r="35" spans="1:15" ht="12.75">
      <c r="A35" s="92"/>
      <c r="C35" s="88"/>
      <c r="H35" s="89" t="s">
        <v>628</v>
      </c>
      <c r="I35" s="89">
        <f>+'KSM-NCS-4 p19 Payroll 2'!C10+'KSM-NCS-4 p19 Payroll 2'!D10</f>
        <v>401</v>
      </c>
      <c r="J35" s="89">
        <v>1025</v>
      </c>
      <c r="K35" s="89">
        <f>+I35*J35*12</f>
        <v>4932300</v>
      </c>
      <c r="O35" s="89">
        <v>3896</v>
      </c>
    </row>
    <row r="36" spans="1:15" ht="12.75">
      <c r="A36" s="92">
        <f>+A28+1</f>
        <v>9</v>
      </c>
      <c r="B36" s="204" t="s">
        <v>443</v>
      </c>
      <c r="C36" s="113">
        <f>+'KSM-NCS-4 p18 Payroll 1'!C17</f>
        <v>77586580.48702401</v>
      </c>
      <c r="H36" s="89" t="s">
        <v>629</v>
      </c>
      <c r="I36" s="89">
        <f>+'KSM-NCS-4 p19 Payroll 2'!E10+'KSM-NCS-4 p19 Payroll 2'!F10</f>
        <v>746</v>
      </c>
      <c r="J36" s="89">
        <f>982</f>
        <v>982</v>
      </c>
      <c r="K36" s="392">
        <f>+I36*J36*12</f>
        <v>8790864</v>
      </c>
      <c r="O36" s="89">
        <f>0.9*O31/1000</f>
        <v>3136.7061027</v>
      </c>
    </row>
    <row r="37" spans="1:15" ht="12.75">
      <c r="A37" s="92">
        <f>+A36+1</f>
        <v>10</v>
      </c>
      <c r="B37" s="204" t="s">
        <v>444</v>
      </c>
      <c r="C37" s="212">
        <f>+'KSM-NCS-4 p18 Payroll 1'!C10</f>
        <v>75789732</v>
      </c>
      <c r="K37" s="89">
        <f>SUM(K35:K36)</f>
        <v>13723164</v>
      </c>
      <c r="O37" s="89">
        <f>+O35-O36</f>
        <v>759.2938973</v>
      </c>
    </row>
    <row r="39" spans="1:11" ht="12.75">
      <c r="A39" s="92">
        <f>+A37+1</f>
        <v>11</v>
      </c>
      <c r="B39" s="90" t="s">
        <v>445</v>
      </c>
      <c r="C39" s="89">
        <f>+C36-C37</f>
        <v>1796848.4870240092</v>
      </c>
      <c r="I39" s="89">
        <f>76*I36*12</f>
        <v>680352</v>
      </c>
      <c r="K39" s="210">
        <f>+C13</f>
        <v>0.633</v>
      </c>
    </row>
    <row r="40" ht="12.75">
      <c r="K40" s="89">
        <f>+K37*K39</f>
        <v>8686762.812</v>
      </c>
    </row>
    <row r="41" spans="1:11" ht="12.75">
      <c r="A41" s="92">
        <f>+A39+1</f>
        <v>12</v>
      </c>
      <c r="B41" s="90" t="s">
        <v>446</v>
      </c>
      <c r="C41" s="103">
        <v>0.0765</v>
      </c>
      <c r="K41" s="391"/>
    </row>
    <row r="42" ht="12.75">
      <c r="C42" s="113"/>
    </row>
    <row r="43" spans="1:11" ht="12.75">
      <c r="A43" s="92">
        <f>+A41+1</f>
        <v>13</v>
      </c>
      <c r="B43" s="90" t="s">
        <v>447</v>
      </c>
      <c r="C43" s="161">
        <f>+C39*C41</f>
        <v>137458.9092573367</v>
      </c>
      <c r="K43" s="391"/>
    </row>
    <row r="45" spans="1:11" ht="12.75">
      <c r="A45" s="92">
        <f>+A43+1</f>
        <v>14</v>
      </c>
      <c r="B45" s="88" t="s">
        <v>409</v>
      </c>
      <c r="C45" s="103">
        <f>+'KSM-NCS-4 p18 Payroll 1'!C19</f>
        <v>0.6348856214764603</v>
      </c>
      <c r="K45" s="391"/>
    </row>
    <row r="46" ht="12.75">
      <c r="C46" s="113"/>
    </row>
    <row r="47" spans="1:5" ht="13.5" thickBot="1">
      <c r="A47" s="92">
        <f>+A45+1</f>
        <v>15</v>
      </c>
      <c r="B47" s="88" t="s">
        <v>410</v>
      </c>
      <c r="C47" s="208">
        <f>+C43*C45</f>
        <v>87270.68503132058</v>
      </c>
      <c r="D47" s="202">
        <f>D18</f>
        <v>0.09962</v>
      </c>
      <c r="E47" s="209">
        <f>+C47*D47</f>
        <v>8693.905642820157</v>
      </c>
    </row>
    <row r="48" ht="13.5" thickTop="1"/>
    <row r="50" ht="12.75">
      <c r="B50" s="90" t="s">
        <v>450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3" customWidth="1"/>
    <col min="2" max="2" width="53.140625" style="3" customWidth="1"/>
    <col min="3" max="3" width="14.8515625" style="3" customWidth="1"/>
    <col min="4" max="16384" width="9.140625" style="3" customWidth="1"/>
  </cols>
  <sheetData>
    <row r="1" spans="1:4" ht="12.75">
      <c r="A1" s="4" t="str">
        <f>'KSM-NCS-4 p11 Uncollectibles'!A1</f>
        <v>NW Natural</v>
      </c>
      <c r="B1" s="4"/>
      <c r="C1" s="36" t="s">
        <v>573</v>
      </c>
      <c r="D1" s="89"/>
    </row>
    <row r="2" spans="1:3" ht="12.75">
      <c r="A2" s="4" t="str">
        <f>'KSM-NCS-4 p11 Uncollectibles'!A2</f>
        <v>Test Period - Twelve Months Ended September 30, 2007</v>
      </c>
      <c r="B2" s="4"/>
      <c r="C2" s="4"/>
    </row>
    <row r="3" spans="1:3" ht="12.75">
      <c r="A3" s="35" t="s">
        <v>528</v>
      </c>
      <c r="B3" s="4"/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25" t="s">
        <v>20</v>
      </c>
      <c r="B6" s="4"/>
      <c r="C6" s="4"/>
    </row>
    <row r="7" spans="1:3" ht="12.75">
      <c r="A7" s="26" t="s">
        <v>37</v>
      </c>
      <c r="B7" s="4"/>
      <c r="C7" s="26" t="s">
        <v>62</v>
      </c>
    </row>
    <row r="8" spans="1:3" ht="12.75">
      <c r="A8" s="25"/>
      <c r="B8" s="4"/>
      <c r="C8" s="25" t="s">
        <v>64</v>
      </c>
    </row>
    <row r="9" spans="1:2" ht="12.75">
      <c r="A9" s="25"/>
      <c r="B9" s="4"/>
    </row>
    <row r="10" spans="1:2" ht="12.75">
      <c r="A10" s="25"/>
      <c r="B10" s="4"/>
    </row>
    <row r="11" spans="1:3" ht="13.5" thickBot="1">
      <c r="A11" s="25">
        <v>1</v>
      </c>
      <c r="B11" s="4" t="s">
        <v>529</v>
      </c>
      <c r="C11" s="245">
        <v>-591980</v>
      </c>
    </row>
    <row r="12" spans="1:2" ht="13.5" thickTop="1">
      <c r="A12" s="25"/>
      <c r="B12" s="4"/>
    </row>
    <row r="14" spans="1:2" ht="12.75">
      <c r="A14" s="4"/>
      <c r="B14" s="4" t="s">
        <v>614</v>
      </c>
    </row>
    <row r="15" ht="12.75">
      <c r="A15" s="36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.7109375" style="3" customWidth="1"/>
    <col min="2" max="2" width="54.28125" style="3" customWidth="1"/>
    <col min="3" max="3" width="14.8515625" style="3" customWidth="1"/>
    <col min="4" max="16384" width="9.140625" style="3" customWidth="1"/>
  </cols>
  <sheetData>
    <row r="1" spans="1:4" ht="12.75">
      <c r="A1" s="4" t="str">
        <f>'KSM-NCS-4 p11 Uncollectibles'!A1</f>
        <v>NW Natural</v>
      </c>
      <c r="B1" s="4"/>
      <c r="C1" s="36" t="s">
        <v>658</v>
      </c>
      <c r="D1" s="89"/>
    </row>
    <row r="2" spans="1:3" ht="12.75">
      <c r="A2" s="4" t="str">
        <f>'KSM-NCS-4 p11 Uncollectibles'!A2</f>
        <v>Test Period - Twelve Months Ended September 30, 2007</v>
      </c>
      <c r="B2" s="4"/>
      <c r="C2" s="4"/>
    </row>
    <row r="3" spans="1:3" ht="12.75">
      <c r="A3" s="35" t="s">
        <v>534</v>
      </c>
      <c r="B3" s="4"/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25" t="s">
        <v>20</v>
      </c>
      <c r="B6" s="4"/>
      <c r="C6" s="4"/>
    </row>
    <row r="7" spans="1:3" ht="12.75">
      <c r="A7" s="26" t="s">
        <v>37</v>
      </c>
      <c r="B7" s="4"/>
      <c r="C7" s="26" t="s">
        <v>62</v>
      </c>
    </row>
    <row r="8" spans="1:3" ht="12.75">
      <c r="A8" s="25"/>
      <c r="B8" s="4"/>
      <c r="C8" s="25" t="s">
        <v>64</v>
      </c>
    </row>
    <row r="9" spans="1:2" ht="12.75">
      <c r="A9" s="25"/>
      <c r="B9" s="4"/>
    </row>
    <row r="10" spans="1:2" ht="12.75">
      <c r="A10" s="25"/>
      <c r="B10" s="4"/>
    </row>
    <row r="11" spans="1:3" ht="12.75">
      <c r="A11" s="25">
        <v>1</v>
      </c>
      <c r="B11" s="4" t="s">
        <v>535</v>
      </c>
      <c r="C11" s="365">
        <f>+C21+C25</f>
        <v>2347800</v>
      </c>
    </row>
    <row r="12" spans="1:2" ht="12.75">
      <c r="A12" s="25"/>
      <c r="B12" s="4"/>
    </row>
    <row r="13" spans="1:3" ht="12.75">
      <c r="A13" s="25">
        <v>2</v>
      </c>
      <c r="B13" s="36" t="s">
        <v>536</v>
      </c>
      <c r="C13" s="84">
        <f>+'KSM-NCS-3 p8 Taxes'!D17</f>
        <v>0.10474</v>
      </c>
    </row>
    <row r="14" spans="2:3" ht="12.75">
      <c r="B14" s="4"/>
      <c r="C14" s="15"/>
    </row>
    <row r="15" spans="1:3" ht="13.5" thickBot="1">
      <c r="A15" s="25">
        <v>3</v>
      </c>
      <c r="B15" s="4" t="s">
        <v>440</v>
      </c>
      <c r="C15" s="109">
        <f>+C11*C13</f>
        <v>245908.572</v>
      </c>
    </row>
    <row r="16" spans="2:3" ht="13.5" thickTop="1">
      <c r="B16" s="4"/>
      <c r="C16" s="15"/>
    </row>
    <row r="19" spans="1:3" ht="12.75">
      <c r="A19" s="4"/>
      <c r="B19" s="4" t="s">
        <v>622</v>
      </c>
      <c r="C19" s="247">
        <v>2322000</v>
      </c>
    </row>
    <row r="20" spans="1:3" ht="12.75">
      <c r="A20" s="4"/>
      <c r="B20" s="4" t="s">
        <v>661</v>
      </c>
      <c r="C20" s="175">
        <v>0.35</v>
      </c>
    </row>
    <row r="21" spans="1:3" ht="12.75">
      <c r="A21" s="36"/>
      <c r="B21" s="4"/>
      <c r="C21" s="247">
        <f>+C19*C20</f>
        <v>812700</v>
      </c>
    </row>
    <row r="22" spans="1:3" ht="12.75">
      <c r="A22" s="36"/>
      <c r="B22" s="4"/>
      <c r="C22" s="247"/>
    </row>
    <row r="23" spans="2:3" ht="12.75">
      <c r="B23" s="4" t="s">
        <v>623</v>
      </c>
      <c r="C23" s="247">
        <f>5021000-635000</f>
        <v>4386000</v>
      </c>
    </row>
    <row r="24" spans="2:3" ht="12.75">
      <c r="B24" s="4" t="s">
        <v>621</v>
      </c>
      <c r="C24" s="175">
        <v>0.35</v>
      </c>
    </row>
    <row r="25" ht="12.75">
      <c r="C25" s="247">
        <f>+C23*C24</f>
        <v>1535100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4.7109375" style="3" customWidth="1"/>
    <col min="2" max="2" width="50.140625" style="3" customWidth="1"/>
    <col min="3" max="3" width="14.8515625" style="3" customWidth="1"/>
    <col min="4" max="16384" width="9.140625" style="3" customWidth="1"/>
  </cols>
  <sheetData>
    <row r="1" spans="1:4" ht="12.75">
      <c r="A1" s="4" t="str">
        <f>'KSM-NCS-4 p11 Uncollectibles'!A1</f>
        <v>NW Natural</v>
      </c>
      <c r="B1" s="4"/>
      <c r="C1" s="36" t="s">
        <v>659</v>
      </c>
      <c r="D1" s="89"/>
    </row>
    <row r="2" spans="1:3" ht="12.75">
      <c r="A2" s="4" t="str">
        <f>'KSM-NCS-4 p11 Uncollectibles'!A2</f>
        <v>Test Period - Twelve Months Ended September 30, 2007</v>
      </c>
      <c r="B2" s="4"/>
      <c r="C2" s="4"/>
    </row>
    <row r="3" spans="1:3" ht="12.75">
      <c r="A3" s="35" t="s">
        <v>545</v>
      </c>
      <c r="B3" s="4"/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25" t="s">
        <v>20</v>
      </c>
      <c r="B6" s="4"/>
      <c r="C6" s="4"/>
    </row>
    <row r="7" spans="1:3" ht="12.75">
      <c r="A7" s="26" t="s">
        <v>37</v>
      </c>
      <c r="B7" s="4"/>
      <c r="C7" s="26" t="s">
        <v>62</v>
      </c>
    </row>
    <row r="8" spans="1:3" ht="12.75">
      <c r="A8" s="25"/>
      <c r="B8" s="4"/>
      <c r="C8" s="25" t="s">
        <v>64</v>
      </c>
    </row>
    <row r="9" spans="1:2" ht="12.75">
      <c r="A9" s="25"/>
      <c r="B9" s="4"/>
    </row>
    <row r="10" spans="1:3" ht="12.75">
      <c r="A10" s="25">
        <v>1</v>
      </c>
      <c r="B10" s="4" t="s">
        <v>615</v>
      </c>
      <c r="C10" s="381">
        <f>4014321+102029+171625</f>
        <v>4287975</v>
      </c>
    </row>
    <row r="11" spans="1:2" ht="12.75">
      <c r="A11" s="25"/>
      <c r="B11" s="4"/>
    </row>
    <row r="12" spans="1:3" ht="12.75">
      <c r="A12" s="25">
        <f>+A10+1</f>
        <v>2</v>
      </c>
      <c r="B12" s="36" t="s">
        <v>617</v>
      </c>
      <c r="C12" s="60">
        <f>+'KSM-NCS-3 p4&amp;5 Factors'!E12</f>
        <v>0.10084978656339344</v>
      </c>
    </row>
    <row r="13" spans="1:2" ht="12.75">
      <c r="A13" s="25"/>
      <c r="B13" s="4"/>
    </row>
    <row r="14" spans="1:3" ht="12.75">
      <c r="A14" s="25">
        <f>+A12+1</f>
        <v>3</v>
      </c>
      <c r="B14" s="4" t="s">
        <v>619</v>
      </c>
      <c r="C14" s="3">
        <f>+C10*C12</f>
        <v>432441.363539167</v>
      </c>
    </row>
    <row r="15" spans="1:2" ht="12.75">
      <c r="A15" s="25"/>
      <c r="B15" s="4"/>
    </row>
    <row r="16" spans="1:3" ht="12.75">
      <c r="A16" s="25">
        <f>+A14+1</f>
        <v>4</v>
      </c>
      <c r="B16" s="4" t="s">
        <v>618</v>
      </c>
      <c r="C16" s="83">
        <v>0.10556</v>
      </c>
    </row>
    <row r="17" ht="12.75">
      <c r="A17" s="25"/>
    </row>
    <row r="18" spans="1:3" ht="12.75">
      <c r="A18" s="25">
        <f>+A16+1</f>
        <v>5</v>
      </c>
      <c r="B18" s="4" t="s">
        <v>479</v>
      </c>
      <c r="C18" s="3">
        <f>+C14*0.10556</f>
        <v>45648.51033519446</v>
      </c>
    </row>
    <row r="19" ht="12.75">
      <c r="A19" s="25"/>
    </row>
    <row r="20" ht="12.75">
      <c r="A20" s="25"/>
    </row>
    <row r="21" ht="12.75">
      <c r="A21" s="25"/>
    </row>
    <row r="22" spans="1:3" ht="12.75">
      <c r="A22" s="25">
        <f>+A18+1</f>
        <v>6</v>
      </c>
      <c r="B22" s="4" t="s">
        <v>616</v>
      </c>
      <c r="C22" s="381">
        <v>588605</v>
      </c>
    </row>
    <row r="23" spans="1:2" ht="12.75">
      <c r="A23" s="25"/>
      <c r="B23" s="4"/>
    </row>
    <row r="24" spans="1:3" ht="12.75">
      <c r="A24" s="25">
        <f>+A22+1</f>
        <v>7</v>
      </c>
      <c r="B24" s="36" t="s">
        <v>439</v>
      </c>
      <c r="C24" s="60">
        <f>+'KSM-NCS-3 p4&amp;5 Factors'!D110</f>
        <v>0.09784718408674709</v>
      </c>
    </row>
    <row r="25" spans="1:2" ht="12.75">
      <c r="A25" s="25"/>
      <c r="B25" s="4"/>
    </row>
    <row r="26" spans="1:3" ht="12.75">
      <c r="A26" s="25">
        <f>+A24+1</f>
        <v>8</v>
      </c>
      <c r="B26" s="4" t="s">
        <v>619</v>
      </c>
      <c r="C26" s="3">
        <f>+C22*C24</f>
        <v>57593.34178937977</v>
      </c>
    </row>
    <row r="27" spans="1:2" ht="12.75">
      <c r="A27" s="25"/>
      <c r="B27" s="4"/>
    </row>
    <row r="28" spans="1:3" ht="12.75">
      <c r="A28" s="25">
        <f>+A26+1</f>
        <v>9</v>
      </c>
      <c r="B28" s="4" t="s">
        <v>618</v>
      </c>
      <c r="C28" s="83">
        <v>0.13135</v>
      </c>
    </row>
    <row r="29" ht="12.75">
      <c r="A29" s="25"/>
    </row>
    <row r="30" spans="1:3" ht="12.75">
      <c r="A30" s="25">
        <f>+A28+1</f>
        <v>10</v>
      </c>
      <c r="B30" s="4" t="s">
        <v>479</v>
      </c>
      <c r="C30" s="3">
        <f>+C26*C28</f>
        <v>7564.885444035032</v>
      </c>
    </row>
    <row r="31" ht="12.75">
      <c r="A31" s="25"/>
    </row>
    <row r="32" spans="1:2" ht="12.75">
      <c r="A32" s="25"/>
      <c r="B32" s="36"/>
    </row>
    <row r="33" spans="1:2" ht="12.75">
      <c r="A33" s="25"/>
      <c r="B33" s="4"/>
    </row>
    <row r="34" spans="1:3" ht="13.5" thickBot="1">
      <c r="A34" s="25">
        <f>+A30+1</f>
        <v>11</v>
      </c>
      <c r="B34" s="4" t="s">
        <v>633</v>
      </c>
      <c r="C34" s="109">
        <f>+C14+C26</f>
        <v>490034.70532854676</v>
      </c>
    </row>
    <row r="35" ht="13.5" thickTop="1">
      <c r="A35" s="25"/>
    </row>
    <row r="36" spans="1:3" ht="13.5" thickBot="1">
      <c r="A36" s="25">
        <f>+A34+1</f>
        <v>12</v>
      </c>
      <c r="B36" s="4" t="s">
        <v>634</v>
      </c>
      <c r="C36" s="87">
        <f>+C18+C30</f>
        <v>53213.3957792295</v>
      </c>
    </row>
    <row r="37" ht="13.5" thickTop="1">
      <c r="A37" s="25"/>
    </row>
    <row r="38" ht="12.75">
      <c r="A38" s="36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PageLayoutView="0" workbookViewId="0" topLeftCell="A1">
      <selection activeCell="A1" sqref="A1"/>
    </sheetView>
  </sheetViews>
  <sheetFormatPr defaultColWidth="8.8515625" defaultRowHeight="15"/>
  <cols>
    <col min="1" max="3" width="5.7109375" style="4" customWidth="1"/>
    <col min="4" max="4" width="50.57421875" style="4" bestFit="1" customWidth="1"/>
    <col min="5" max="7" width="13.7109375" style="3" customWidth="1"/>
    <col min="8" max="16384" width="8.8515625" style="3" customWidth="1"/>
  </cols>
  <sheetData>
    <row r="1" ht="12.75">
      <c r="A1" s="4" t="s">
        <v>0</v>
      </c>
    </row>
    <row r="2" ht="12.75">
      <c r="A2" s="4" t="s">
        <v>673</v>
      </c>
    </row>
    <row r="3" ht="12.75">
      <c r="A3" s="4" t="s">
        <v>674</v>
      </c>
    </row>
    <row r="4" spans="1:6" ht="12.75">
      <c r="A4" s="4" t="s">
        <v>675</v>
      </c>
      <c r="E4" s="4"/>
      <c r="F4" s="4"/>
    </row>
    <row r="5" spans="5:6" ht="12.75">
      <c r="E5" s="4"/>
      <c r="F5" s="4"/>
    </row>
    <row r="6" spans="5:7" ht="12.75">
      <c r="E6" s="26" t="s">
        <v>10</v>
      </c>
      <c r="F6" s="26" t="s">
        <v>11</v>
      </c>
      <c r="G6" s="26" t="s">
        <v>12</v>
      </c>
    </row>
    <row r="7" ht="12.75">
      <c r="A7" s="4" t="s">
        <v>676</v>
      </c>
    </row>
    <row r="8" ht="12.75">
      <c r="B8" s="4" t="s">
        <v>677</v>
      </c>
    </row>
    <row r="9" ht="12.75">
      <c r="C9" s="4" t="s">
        <v>678</v>
      </c>
    </row>
    <row r="10" spans="3:7" ht="12.75">
      <c r="C10" s="4" t="s">
        <v>679</v>
      </c>
      <c r="D10" s="4" t="s">
        <v>680</v>
      </c>
      <c r="E10" s="3">
        <v>145324.08</v>
      </c>
      <c r="F10" s="3">
        <v>13821.07</v>
      </c>
      <c r="G10" s="3">
        <v>131503.01</v>
      </c>
    </row>
    <row r="11" spans="3:7" ht="12.75">
      <c r="C11" s="4" t="s">
        <v>681</v>
      </c>
      <c r="D11" s="4" t="s">
        <v>682</v>
      </c>
      <c r="E11" s="3">
        <v>40462.24</v>
      </c>
      <c r="F11" s="3">
        <v>3848.17</v>
      </c>
      <c r="G11" s="3">
        <v>36614.07</v>
      </c>
    </row>
    <row r="12" spans="3:7" ht="12.75">
      <c r="C12" s="4" t="s">
        <v>683</v>
      </c>
      <c r="D12" s="4" t="s">
        <v>684</v>
      </c>
      <c r="E12" s="3">
        <v>1432055.92</v>
      </c>
      <c r="F12" s="3">
        <v>136195.9</v>
      </c>
      <c r="G12" s="3">
        <v>1295860.02</v>
      </c>
    </row>
    <row r="13" spans="3:7" ht="12.75">
      <c r="C13" s="4" t="s">
        <v>685</v>
      </c>
      <c r="D13" s="4" t="s">
        <v>686</v>
      </c>
      <c r="E13" s="3">
        <v>85158.25</v>
      </c>
      <c r="F13" s="3">
        <v>8098.99</v>
      </c>
      <c r="G13" s="3">
        <v>77059.26</v>
      </c>
    </row>
    <row r="15" ht="12.75">
      <c r="C15" s="4" t="s">
        <v>687</v>
      </c>
    </row>
    <row r="16" spans="3:7" ht="12.75">
      <c r="C16" s="4" t="s">
        <v>688</v>
      </c>
      <c r="D16" s="4" t="s">
        <v>680</v>
      </c>
      <c r="E16" s="141">
        <v>178815.45</v>
      </c>
      <c r="F16" s="141">
        <v>17006.27</v>
      </c>
      <c r="G16" s="141">
        <v>161809.18</v>
      </c>
    </row>
    <row r="17" spans="4:7" ht="12.75">
      <c r="D17" s="4" t="s">
        <v>689</v>
      </c>
      <c r="E17" s="3">
        <v>1881815.94</v>
      </c>
      <c r="F17" s="3">
        <v>178970.4</v>
      </c>
      <c r="G17" s="3">
        <v>1702845.54</v>
      </c>
    </row>
    <row r="19" ht="12.75">
      <c r="B19" s="4" t="s">
        <v>690</v>
      </c>
    </row>
    <row r="20" ht="12.75">
      <c r="C20" s="4" t="s">
        <v>678</v>
      </c>
    </row>
    <row r="21" spans="3:7" ht="12.75">
      <c r="C21" s="4" t="s">
        <v>691</v>
      </c>
      <c r="D21" s="4" t="s">
        <v>692</v>
      </c>
      <c r="E21" s="141">
        <v>73909</v>
      </c>
      <c r="F21" s="141">
        <v>7029.12</v>
      </c>
      <c r="G21" s="141">
        <v>66879.88</v>
      </c>
    </row>
    <row r="22" spans="4:7" ht="12.75">
      <c r="D22" s="4" t="s">
        <v>693</v>
      </c>
      <c r="E22" s="3">
        <v>73909</v>
      </c>
      <c r="F22" s="3">
        <v>7029.12</v>
      </c>
      <c r="G22" s="3">
        <v>66879.88</v>
      </c>
    </row>
    <row r="24" ht="12.75">
      <c r="B24" s="4" t="s">
        <v>694</v>
      </c>
    </row>
    <row r="25" ht="12.75">
      <c r="C25" s="4" t="s">
        <v>678</v>
      </c>
    </row>
    <row r="26" spans="3:7" ht="12.75">
      <c r="C26" s="4" t="s">
        <v>695</v>
      </c>
      <c r="D26" s="4" t="s">
        <v>692</v>
      </c>
      <c r="E26" s="3">
        <v>1264600.59</v>
      </c>
      <c r="F26" s="3">
        <v>120270.05</v>
      </c>
      <c r="G26" s="3">
        <v>1144330.54</v>
      </c>
    </row>
    <row r="28" ht="12.75">
      <c r="C28" s="4" t="s">
        <v>687</v>
      </c>
    </row>
    <row r="29" spans="3:7" ht="12.75">
      <c r="C29" s="4" t="s">
        <v>696</v>
      </c>
      <c r="D29" s="4" t="s">
        <v>692</v>
      </c>
      <c r="E29" s="141">
        <v>920441.26</v>
      </c>
      <c r="F29" s="141">
        <v>87538.71</v>
      </c>
      <c r="G29" s="141">
        <v>832902.55</v>
      </c>
    </row>
    <row r="30" spans="4:7" ht="12.75">
      <c r="D30" s="4" t="s">
        <v>697</v>
      </c>
      <c r="E30" s="3">
        <v>2185041.85</v>
      </c>
      <c r="F30" s="3">
        <v>207808.76</v>
      </c>
      <c r="G30" s="3">
        <v>1977233.09</v>
      </c>
    </row>
    <row r="31" spans="5:7" ht="12.75">
      <c r="E31" s="141"/>
      <c r="F31" s="141"/>
      <c r="G31" s="141"/>
    </row>
    <row r="32" spans="4:7" ht="12.75">
      <c r="D32" s="4" t="s">
        <v>698</v>
      </c>
      <c r="E32" s="3">
        <v>4140766.79</v>
      </c>
      <c r="F32" s="3">
        <v>393808.28</v>
      </c>
      <c r="G32" s="3">
        <v>3746958.51</v>
      </c>
    </row>
    <row r="34" ht="12.75">
      <c r="A34" s="4" t="s">
        <v>699</v>
      </c>
    </row>
    <row r="35" ht="12.75">
      <c r="C35" s="4" t="s">
        <v>678</v>
      </c>
    </row>
    <row r="36" spans="3:7" ht="12.75">
      <c r="C36" s="4" t="s">
        <v>700</v>
      </c>
      <c r="D36" s="4" t="s">
        <v>701</v>
      </c>
      <c r="E36" s="3">
        <v>819917.2</v>
      </c>
      <c r="F36" s="3">
        <v>81128.94</v>
      </c>
      <c r="G36" s="3">
        <v>738788.26</v>
      </c>
    </row>
    <row r="38" ht="12.75">
      <c r="C38" s="4" t="s">
        <v>687</v>
      </c>
    </row>
    <row r="39" spans="3:7" ht="12.75">
      <c r="C39" s="4" t="s">
        <v>702</v>
      </c>
      <c r="D39" s="4" t="s">
        <v>703</v>
      </c>
      <c r="E39" s="141">
        <v>364244.07</v>
      </c>
      <c r="F39" s="141">
        <v>34923.18</v>
      </c>
      <c r="G39" s="141">
        <v>329320.89</v>
      </c>
    </row>
    <row r="40" spans="4:7" ht="12.75">
      <c r="D40" s="4" t="s">
        <v>704</v>
      </c>
      <c r="E40" s="3">
        <v>1184161.27</v>
      </c>
      <c r="F40" s="3">
        <v>116052.12</v>
      </c>
      <c r="G40" s="3">
        <v>1068109.15</v>
      </c>
    </row>
    <row r="42" ht="12.75">
      <c r="A42" s="4" t="s">
        <v>705</v>
      </c>
    </row>
    <row r="43" ht="12.75">
      <c r="C43" s="4" t="s">
        <v>678</v>
      </c>
    </row>
    <row r="44" spans="3:7" ht="12.75">
      <c r="C44" s="4" t="s">
        <v>706</v>
      </c>
      <c r="D44" s="4" t="s">
        <v>692</v>
      </c>
      <c r="E44" s="3">
        <v>2043465.03</v>
      </c>
      <c r="F44" s="3">
        <v>158548.14</v>
      </c>
      <c r="G44" s="3">
        <v>1884916.89</v>
      </c>
    </row>
    <row r="45" spans="3:7" ht="12.75">
      <c r="C45" s="4" t="s">
        <v>707</v>
      </c>
      <c r="D45" s="4" t="s">
        <v>708</v>
      </c>
      <c r="E45" s="3">
        <v>6962939.460000004</v>
      </c>
      <c r="F45" s="3">
        <v>911595.12</v>
      </c>
      <c r="G45" s="3">
        <v>6051344.340000004</v>
      </c>
    </row>
    <row r="46" spans="3:7" ht="12.75">
      <c r="C46" s="4" t="s">
        <v>709</v>
      </c>
      <c r="D46" s="4" t="s">
        <v>710</v>
      </c>
      <c r="E46" s="3">
        <v>254870.5</v>
      </c>
      <c r="F46" s="3">
        <v>18547.98</v>
      </c>
      <c r="G46" s="3">
        <v>236322.52</v>
      </c>
    </row>
    <row r="47" spans="3:7" ht="12.75">
      <c r="C47" s="4" t="s">
        <v>711</v>
      </c>
      <c r="D47" s="4" t="s">
        <v>712</v>
      </c>
      <c r="E47" s="3">
        <v>394329.32</v>
      </c>
      <c r="F47" s="3">
        <v>26003.88</v>
      </c>
      <c r="G47" s="3">
        <v>368325.44</v>
      </c>
    </row>
    <row r="48" spans="3:7" ht="12.75">
      <c r="C48" s="4" t="s">
        <v>713</v>
      </c>
      <c r="D48" s="4" t="s">
        <v>714</v>
      </c>
      <c r="E48" s="3">
        <v>3516760.08</v>
      </c>
      <c r="F48" s="3">
        <v>313399.81</v>
      </c>
      <c r="G48" s="3">
        <v>3203360.27</v>
      </c>
    </row>
    <row r="49" spans="3:7" ht="12.75">
      <c r="C49" s="4" t="s">
        <v>715</v>
      </c>
      <c r="D49" s="4" t="s">
        <v>716</v>
      </c>
      <c r="E49" s="3">
        <v>7228084.769999998</v>
      </c>
      <c r="F49" s="3">
        <v>677784.72</v>
      </c>
      <c r="G49" s="3">
        <v>6550300.049999998</v>
      </c>
    </row>
    <row r="50" spans="3:7" ht="12.75">
      <c r="C50" s="4" t="s">
        <v>717</v>
      </c>
      <c r="D50" s="4" t="s">
        <v>718</v>
      </c>
      <c r="E50" s="141">
        <v>953309.3200000005</v>
      </c>
      <c r="F50" s="141">
        <v>76644.11</v>
      </c>
      <c r="G50" s="141">
        <v>876665.21</v>
      </c>
    </row>
    <row r="51" spans="3:7" ht="12.75">
      <c r="C51" s="4" t="s">
        <v>719</v>
      </c>
      <c r="D51" s="4" t="s">
        <v>720</v>
      </c>
      <c r="E51" s="3">
        <v>133827.99</v>
      </c>
      <c r="F51" s="3">
        <v>13207.71</v>
      </c>
      <c r="G51" s="3">
        <v>120620.28</v>
      </c>
    </row>
    <row r="54" ht="12.75">
      <c r="C54" s="4" t="s">
        <v>687</v>
      </c>
    </row>
    <row r="55" spans="3:7" ht="12.75">
      <c r="C55" s="4" t="s">
        <v>721</v>
      </c>
      <c r="D55" s="4" t="s">
        <v>692</v>
      </c>
      <c r="E55" s="3">
        <v>3367100.08</v>
      </c>
      <c r="F55" s="3">
        <v>407212.15</v>
      </c>
      <c r="G55" s="3">
        <v>2959887.93</v>
      </c>
    </row>
    <row r="56" spans="3:7" ht="12.75">
      <c r="C56" s="4" t="s">
        <v>722</v>
      </c>
      <c r="D56" s="4" t="s">
        <v>723</v>
      </c>
      <c r="E56" s="3">
        <v>2242546.61</v>
      </c>
      <c r="F56" s="3">
        <v>220938.21</v>
      </c>
      <c r="G56" s="3">
        <v>2021608.4</v>
      </c>
    </row>
    <row r="57" spans="3:7" ht="12.75">
      <c r="C57" s="4" t="s">
        <v>724</v>
      </c>
      <c r="D57" s="4" t="s">
        <v>710</v>
      </c>
      <c r="E57" s="3">
        <v>776976.77</v>
      </c>
      <c r="F57" s="3">
        <v>49451.67</v>
      </c>
      <c r="G57" s="3">
        <v>727525.1</v>
      </c>
    </row>
    <row r="58" spans="3:7" ht="12.75">
      <c r="C58" s="4" t="s">
        <v>725</v>
      </c>
      <c r="D58" s="4" t="s">
        <v>712</v>
      </c>
      <c r="E58" s="3">
        <v>43021.08</v>
      </c>
      <c r="F58" s="3">
        <v>3099.05</v>
      </c>
      <c r="G58" s="3">
        <v>39922.03</v>
      </c>
    </row>
    <row r="59" spans="3:7" ht="12.75">
      <c r="C59" s="4" t="s">
        <v>726</v>
      </c>
      <c r="D59" s="4" t="s">
        <v>727</v>
      </c>
      <c r="E59" s="3">
        <v>1282260.51</v>
      </c>
      <c r="F59" s="3">
        <v>116891.17</v>
      </c>
      <c r="G59" s="3">
        <v>1165369.34</v>
      </c>
    </row>
    <row r="60" spans="3:7" ht="12.75">
      <c r="C60" s="4" t="s">
        <v>728</v>
      </c>
      <c r="D60" s="4" t="s">
        <v>729</v>
      </c>
      <c r="E60" s="3">
        <v>1993696.2</v>
      </c>
      <c r="F60" s="3">
        <v>159360.65</v>
      </c>
      <c r="G60" s="3">
        <v>1834335.55</v>
      </c>
    </row>
    <row r="61" spans="3:7" ht="12.75">
      <c r="C61" s="4" t="s">
        <v>730</v>
      </c>
      <c r="D61" s="4" t="s">
        <v>731</v>
      </c>
      <c r="E61" s="141">
        <v>64482.93</v>
      </c>
      <c r="F61" s="141">
        <v>2587.59</v>
      </c>
      <c r="G61" s="141">
        <v>61895.34</v>
      </c>
    </row>
    <row r="62" spans="4:7" ht="12.75">
      <c r="D62" s="4" t="s">
        <v>732</v>
      </c>
      <c r="E62" s="3">
        <v>31257670.649999995</v>
      </c>
      <c r="F62" s="3">
        <v>3155271.96</v>
      </c>
      <c r="G62" s="3">
        <v>28102398.690000005</v>
      </c>
    </row>
    <row r="64" ht="12.75">
      <c r="A64" s="4" t="s">
        <v>733</v>
      </c>
    </row>
    <row r="65" ht="12.75">
      <c r="C65" s="4" t="s">
        <v>678</v>
      </c>
    </row>
    <row r="66" spans="3:7" ht="12.75">
      <c r="C66" s="4" t="s">
        <v>734</v>
      </c>
      <c r="D66" s="4" t="s">
        <v>735</v>
      </c>
      <c r="E66" s="3">
        <v>1251106.64</v>
      </c>
      <c r="F66" s="3">
        <v>124002.63</v>
      </c>
      <c r="G66" s="3">
        <v>1127104.01</v>
      </c>
    </row>
    <row r="67" spans="3:7" ht="12.75">
      <c r="C67" s="4" t="s">
        <v>736</v>
      </c>
      <c r="D67" s="4" t="s">
        <v>737</v>
      </c>
      <c r="E67" s="3">
        <v>3958335.25</v>
      </c>
      <c r="F67" s="3">
        <v>301884.51</v>
      </c>
      <c r="G67" s="3">
        <v>3656450.74</v>
      </c>
    </row>
    <row r="68" spans="3:7" ht="12.75">
      <c r="C68" s="4" t="s">
        <v>738</v>
      </c>
      <c r="D68" s="4" t="s">
        <v>739</v>
      </c>
      <c r="E68" s="3">
        <v>14534513.55</v>
      </c>
      <c r="F68" s="3">
        <v>1432660.11</v>
      </c>
      <c r="G68" s="3">
        <v>13101853.440000001</v>
      </c>
    </row>
    <row r="69" spans="3:7" ht="12.75">
      <c r="C69" s="4" t="s">
        <v>740</v>
      </c>
      <c r="D69" s="4" t="s">
        <v>741</v>
      </c>
      <c r="E69" s="141">
        <v>2679092.32</v>
      </c>
      <c r="F69" s="141">
        <v>271924.74</v>
      </c>
      <c r="G69" s="141">
        <v>2407167.58</v>
      </c>
    </row>
    <row r="70" spans="4:7" ht="12.75">
      <c r="D70" s="4" t="s">
        <v>742</v>
      </c>
      <c r="E70" s="3">
        <v>22423047.76</v>
      </c>
      <c r="F70" s="3">
        <v>2130471.99</v>
      </c>
      <c r="G70" s="3">
        <v>20292575.770000003</v>
      </c>
    </row>
    <row r="72" ht="12.75">
      <c r="A72" s="4" t="s">
        <v>743</v>
      </c>
    </row>
    <row r="73" ht="12.75">
      <c r="C73" s="4" t="s">
        <v>678</v>
      </c>
    </row>
    <row r="74" spans="3:7" ht="12.75">
      <c r="C74" s="4" t="s">
        <v>744</v>
      </c>
      <c r="D74" s="4" t="s">
        <v>735</v>
      </c>
      <c r="E74" s="3">
        <v>269765.45</v>
      </c>
      <c r="F74" s="3">
        <v>27721.34</v>
      </c>
      <c r="G74" s="3">
        <v>242044.11</v>
      </c>
    </row>
    <row r="75" spans="3:7" ht="12.75">
      <c r="C75" s="4" t="s">
        <v>745</v>
      </c>
      <c r="D75" s="4" t="s">
        <v>746</v>
      </c>
      <c r="E75" s="3">
        <v>4687712.09</v>
      </c>
      <c r="F75" s="3">
        <v>554363.98</v>
      </c>
      <c r="G75" s="3">
        <v>4133348.11</v>
      </c>
    </row>
    <row r="76" spans="3:7" ht="12.75">
      <c r="C76" s="4">
        <v>909</v>
      </c>
      <c r="D76" s="4" t="s">
        <v>747</v>
      </c>
      <c r="E76" s="3">
        <v>1658009.82</v>
      </c>
      <c r="F76" s="3">
        <v>170414.65</v>
      </c>
      <c r="G76" s="3">
        <v>1487595.17</v>
      </c>
    </row>
    <row r="77" spans="3:7" ht="12.75">
      <c r="C77" s="4" t="s">
        <v>748</v>
      </c>
      <c r="D77" s="4" t="s">
        <v>749</v>
      </c>
      <c r="E77" s="141">
        <v>179136.47</v>
      </c>
      <c r="F77" s="141">
        <v>18375.3</v>
      </c>
      <c r="G77" s="141">
        <v>160761.17</v>
      </c>
    </row>
    <row r="78" spans="4:7" ht="12.75">
      <c r="D78" s="4" t="s">
        <v>750</v>
      </c>
      <c r="E78" s="3">
        <v>6794623.83</v>
      </c>
      <c r="F78" s="3">
        <v>770875.27</v>
      </c>
      <c r="G78" s="3">
        <v>6023748.56</v>
      </c>
    </row>
    <row r="80" ht="12.75">
      <c r="A80" s="4" t="s">
        <v>751</v>
      </c>
    </row>
    <row r="81" ht="12.75">
      <c r="C81" s="4" t="s">
        <v>678</v>
      </c>
    </row>
    <row r="82" spans="3:7" ht="12.75">
      <c r="C82" s="4" t="s">
        <v>752</v>
      </c>
      <c r="D82" s="4" t="s">
        <v>735</v>
      </c>
      <c r="E82" s="3">
        <v>263238.77</v>
      </c>
      <c r="F82" s="3">
        <v>26800.6</v>
      </c>
      <c r="G82" s="3">
        <v>236438.17</v>
      </c>
    </row>
    <row r="83" spans="3:7" ht="12.75">
      <c r="C83" s="4" t="s">
        <v>753</v>
      </c>
      <c r="D83" s="4" t="s">
        <v>754</v>
      </c>
      <c r="E83" s="3">
        <v>2183437.86</v>
      </c>
      <c r="F83" s="3">
        <v>233960.09</v>
      </c>
      <c r="G83" s="3">
        <v>1949477.77</v>
      </c>
    </row>
    <row r="84" spans="3:7" ht="12.75">
      <c r="C84" s="4" t="s">
        <v>755</v>
      </c>
      <c r="D84" s="4" t="s">
        <v>756</v>
      </c>
      <c r="E84" s="3">
        <v>356728.44</v>
      </c>
      <c r="F84" s="3">
        <v>30969.96</v>
      </c>
      <c r="G84" s="3">
        <v>325758.48</v>
      </c>
    </row>
    <row r="85" spans="3:7" ht="12.75">
      <c r="C85" s="4" t="s">
        <v>757</v>
      </c>
      <c r="D85" s="4" t="s">
        <v>758</v>
      </c>
      <c r="E85" s="141">
        <v>15987.17</v>
      </c>
      <c r="F85" s="141">
        <v>1631.07</v>
      </c>
      <c r="G85" s="141">
        <v>14356.1</v>
      </c>
    </row>
    <row r="86" spans="4:7" ht="12.75">
      <c r="D86" s="4" t="s">
        <v>759</v>
      </c>
      <c r="E86" s="3">
        <v>2819392.24</v>
      </c>
      <c r="F86" s="3">
        <v>293361.72</v>
      </c>
      <c r="G86" s="3">
        <v>2526030.52</v>
      </c>
    </row>
    <row r="88" ht="12.75">
      <c r="A88" s="4" t="s">
        <v>760</v>
      </c>
    </row>
    <row r="89" ht="12.75">
      <c r="C89" s="4" t="s">
        <v>678</v>
      </c>
    </row>
    <row r="90" spans="3:7" ht="12.75">
      <c r="C90" s="4" t="s">
        <v>761</v>
      </c>
      <c r="D90" s="4" t="s">
        <v>762</v>
      </c>
      <c r="E90" s="3">
        <v>39444967.32000001</v>
      </c>
      <c r="F90" s="3">
        <v>4161213.51</v>
      </c>
      <c r="G90" s="3">
        <v>35283753.81</v>
      </c>
    </row>
    <row r="91" spans="3:7" ht="12.75">
      <c r="C91" s="4" t="s">
        <v>763</v>
      </c>
      <c r="D91" s="4" t="s">
        <v>764</v>
      </c>
      <c r="E91" s="3">
        <v>-13983501.499999998</v>
      </c>
      <c r="F91" s="3">
        <v>-1512241.33</v>
      </c>
      <c r="G91" s="3">
        <v>-12471260.17</v>
      </c>
    </row>
    <row r="92" spans="3:7" ht="12.75">
      <c r="C92" s="4" t="s">
        <v>765</v>
      </c>
      <c r="D92" s="4" t="s">
        <v>766</v>
      </c>
      <c r="E92" s="3">
        <v>2371075.64</v>
      </c>
      <c r="F92" s="3">
        <v>235006.44</v>
      </c>
      <c r="G92" s="3">
        <v>2136069.2</v>
      </c>
    </row>
    <row r="93" spans="3:7" ht="12.75">
      <c r="C93" s="4" t="s">
        <v>767</v>
      </c>
      <c r="D93" s="4" t="s">
        <v>768</v>
      </c>
      <c r="E93" s="3">
        <v>1581332.81</v>
      </c>
      <c r="F93" s="3">
        <v>156788.58</v>
      </c>
      <c r="G93" s="3">
        <v>1424544.23</v>
      </c>
    </row>
    <row r="94" spans="3:7" ht="12.75">
      <c r="C94" s="4" t="s">
        <v>769</v>
      </c>
      <c r="D94" s="4" t="s">
        <v>770</v>
      </c>
      <c r="E94" s="3">
        <v>7698933.350000001</v>
      </c>
      <c r="F94" s="3">
        <v>791245.65</v>
      </c>
      <c r="G94" s="3">
        <v>6907687.699999999</v>
      </c>
    </row>
    <row r="95" spans="3:7" ht="12.75">
      <c r="C95" s="4" t="s">
        <v>771</v>
      </c>
      <c r="D95" s="4" t="s">
        <v>772</v>
      </c>
      <c r="E95" s="3">
        <v>12376.39</v>
      </c>
      <c r="F95" s="3">
        <v>6008.11</v>
      </c>
      <c r="G95" s="3">
        <v>6368.28</v>
      </c>
    </row>
    <row r="96" spans="3:7" ht="12.75">
      <c r="C96" s="4" t="s">
        <v>773</v>
      </c>
      <c r="D96" s="4" t="s">
        <v>774</v>
      </c>
      <c r="E96" s="3">
        <v>2869429.35</v>
      </c>
      <c r="F96" s="3">
        <v>284400.21</v>
      </c>
      <c r="G96" s="3">
        <v>2585029.14</v>
      </c>
    </row>
    <row r="97" spans="3:7" ht="12.75">
      <c r="C97" s="4" t="s">
        <v>775</v>
      </c>
      <c r="D97" s="4" t="s">
        <v>720</v>
      </c>
      <c r="E97" s="3">
        <v>4276777.4</v>
      </c>
      <c r="F97" s="3">
        <v>523622.69</v>
      </c>
      <c r="G97" s="3">
        <v>3753154.71</v>
      </c>
    </row>
    <row r="99" ht="12.75">
      <c r="C99" s="4" t="s">
        <v>687</v>
      </c>
    </row>
    <row r="100" spans="3:7" ht="12.75">
      <c r="C100" s="4" t="s">
        <v>776</v>
      </c>
      <c r="D100" s="4" t="s">
        <v>777</v>
      </c>
      <c r="E100" s="3">
        <v>3581487.76</v>
      </c>
      <c r="F100" s="3">
        <v>375889.3</v>
      </c>
      <c r="G100" s="3">
        <v>3205598.46</v>
      </c>
    </row>
    <row r="101" spans="5:7" ht="12.75">
      <c r="E101" s="141"/>
      <c r="F101" s="141"/>
      <c r="G101" s="141"/>
    </row>
    <row r="102" spans="4:7" ht="12.75">
      <c r="D102" s="4" t="s">
        <v>778</v>
      </c>
      <c r="E102" s="3">
        <v>47852878.52</v>
      </c>
      <c r="F102" s="3">
        <v>5021933.16</v>
      </c>
      <c r="G102" s="3">
        <v>42830945.36</v>
      </c>
    </row>
    <row r="103" spans="5:7" ht="12.75">
      <c r="E103" s="141"/>
      <c r="F103" s="141"/>
      <c r="G103" s="141"/>
    </row>
    <row r="104" spans="4:7" ht="13.5" thickBot="1">
      <c r="D104" s="4" t="s">
        <v>779</v>
      </c>
      <c r="E104" s="437">
        <v>116472541.06</v>
      </c>
      <c r="F104" s="437">
        <v>11881774.500000002</v>
      </c>
      <c r="G104" s="437">
        <v>104590766.56</v>
      </c>
    </row>
    <row r="105" spans="6:7" ht="13.5" thickTop="1">
      <c r="F105" s="8">
        <v>0.10201352517825801</v>
      </c>
      <c r="G105" s="8">
        <v>0.897986474821742</v>
      </c>
    </row>
  </sheetData>
  <sheetProtection/>
  <printOptions horizontalCentered="1"/>
  <pageMargins left="0.75" right="0.75" top="1" bottom="1" header="0.5" footer="0.5"/>
  <pageSetup fitToHeight="2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28">
      <selection activeCell="E66" sqref="E66"/>
    </sheetView>
  </sheetViews>
  <sheetFormatPr defaultColWidth="9.140625" defaultRowHeight="15"/>
  <cols>
    <col min="1" max="1" width="3.7109375" style="3" customWidth="1"/>
    <col min="2" max="2" width="4.7109375" style="4" customWidth="1"/>
    <col min="3" max="3" width="36.7109375" style="4" customWidth="1"/>
    <col min="4" max="6" width="16.7109375" style="3" customWidth="1"/>
    <col min="7" max="7" width="10.140625" style="3" bestFit="1" customWidth="1"/>
    <col min="8" max="16384" width="9.140625" style="3" customWidth="1"/>
  </cols>
  <sheetData>
    <row r="1" spans="1:7" s="4" customFormat="1" ht="12.75">
      <c r="A1" s="4" t="str">
        <f>+'KSM-NCS-4 p1 Rev Req'!A1</f>
        <v>NW Natural</v>
      </c>
      <c r="C1" s="29"/>
      <c r="D1" s="45"/>
      <c r="E1" s="45"/>
      <c r="F1" s="45"/>
      <c r="G1" s="45"/>
    </row>
    <row r="2" spans="1:7" s="4" customFormat="1" ht="12.75">
      <c r="A2" s="4" t="str">
        <f>+'KSM-NCS-4 p1 Rev Req'!A2</f>
        <v>Washington Rate Case</v>
      </c>
      <c r="C2" s="29"/>
      <c r="D2" s="45"/>
      <c r="E2" s="45"/>
      <c r="F2" s="45"/>
      <c r="G2" s="45"/>
    </row>
    <row r="3" spans="1:7" s="4" customFormat="1" ht="12.75">
      <c r="A3" s="29" t="s">
        <v>5</v>
      </c>
      <c r="C3" s="29"/>
      <c r="D3" s="45"/>
      <c r="E3" s="45"/>
      <c r="F3" s="45"/>
      <c r="G3" s="45"/>
    </row>
    <row r="4" spans="2:7" s="4" customFormat="1" ht="12.75">
      <c r="B4" s="29"/>
      <c r="C4" s="29"/>
      <c r="D4" s="45"/>
      <c r="E4" s="45"/>
      <c r="F4" s="45"/>
      <c r="G4" s="45"/>
    </row>
    <row r="5" spans="1:6" s="4" customFormat="1" ht="12.75">
      <c r="A5" s="223" t="s">
        <v>20</v>
      </c>
      <c r="B5" s="29"/>
      <c r="C5" s="29"/>
      <c r="D5" s="46" t="s">
        <v>10</v>
      </c>
      <c r="E5" s="46" t="s">
        <v>11</v>
      </c>
      <c r="F5" s="46" t="s">
        <v>12</v>
      </c>
    </row>
    <row r="6" spans="1:6" ht="12.75">
      <c r="A6" s="224" t="s">
        <v>37</v>
      </c>
      <c r="B6" s="29" t="s">
        <v>18</v>
      </c>
      <c r="C6" s="29"/>
      <c r="D6" s="47"/>
      <c r="E6" s="47"/>
      <c r="F6" s="47"/>
    </row>
    <row r="7" spans="1:6" ht="12.75">
      <c r="A7" s="223">
        <v>1</v>
      </c>
      <c r="B7" s="29"/>
      <c r="C7" s="29"/>
      <c r="D7" s="48"/>
      <c r="E7" s="48"/>
      <c r="F7" s="48"/>
    </row>
    <row r="8" spans="1:6" ht="12.75">
      <c r="A8" s="223">
        <f>+A7+1</f>
        <v>2</v>
      </c>
      <c r="B8" s="29"/>
      <c r="C8" s="29" t="s">
        <v>42</v>
      </c>
      <c r="D8" s="47"/>
      <c r="E8" s="47"/>
      <c r="F8" s="47"/>
    </row>
    <row r="9" spans="1:6" ht="12.75">
      <c r="A9" s="223">
        <f aca="true" t="shared" si="0" ref="A9:A72">+A8+1</f>
        <v>3</v>
      </c>
      <c r="B9" s="29"/>
      <c r="C9" s="214" t="s">
        <v>494</v>
      </c>
      <c r="D9" s="7">
        <f>E9+F9</f>
        <v>623208</v>
      </c>
      <c r="E9" s="24">
        <v>62474</v>
      </c>
      <c r="F9" s="24">
        <v>560734</v>
      </c>
    </row>
    <row r="10" spans="1:6" ht="12.75">
      <c r="A10" s="223">
        <f t="shared" si="0"/>
        <v>4</v>
      </c>
      <c r="B10" s="29"/>
      <c r="C10" s="214" t="s">
        <v>495</v>
      </c>
      <c r="D10" s="50">
        <f>E10+F10</f>
        <v>639462</v>
      </c>
      <c r="E10" s="165">
        <v>64866</v>
      </c>
      <c r="F10" s="165">
        <v>574596</v>
      </c>
    </row>
    <row r="11" spans="1:6" ht="12.75">
      <c r="A11" s="223">
        <f t="shared" si="0"/>
        <v>5</v>
      </c>
      <c r="B11" s="29"/>
      <c r="C11" s="29" t="s">
        <v>88</v>
      </c>
      <c r="D11" s="51">
        <f>AVERAGE(D9:D10)</f>
        <v>631335</v>
      </c>
      <c r="E11" s="7">
        <f>AVERAGE(E9:E10)</f>
        <v>63670</v>
      </c>
      <c r="F11" s="7">
        <f>AVERAGE(F9:F10)</f>
        <v>567665</v>
      </c>
    </row>
    <row r="12" spans="1:6" ht="12.75">
      <c r="A12" s="223">
        <f t="shared" si="0"/>
        <v>6</v>
      </c>
      <c r="B12" s="29"/>
      <c r="C12" s="29" t="s">
        <v>92</v>
      </c>
      <c r="D12" s="47"/>
      <c r="E12" s="52">
        <f>E11/D11</f>
        <v>0.10084978656339344</v>
      </c>
      <c r="F12" s="52">
        <f>F11/D11</f>
        <v>0.8991502134366065</v>
      </c>
    </row>
    <row r="13" spans="1:6" ht="12.75">
      <c r="A13" s="223">
        <f t="shared" si="0"/>
        <v>7</v>
      </c>
      <c r="B13" s="29"/>
      <c r="C13" s="29"/>
      <c r="D13" s="47"/>
      <c r="E13" s="8"/>
      <c r="F13" s="8"/>
    </row>
    <row r="14" spans="1:6" ht="12.75">
      <c r="A14" s="223">
        <f t="shared" si="0"/>
        <v>8</v>
      </c>
      <c r="B14" s="29"/>
      <c r="C14" s="53" t="s">
        <v>104</v>
      </c>
      <c r="D14" s="47"/>
      <c r="E14" s="8"/>
      <c r="F14" s="8"/>
    </row>
    <row r="15" spans="1:6" ht="12.75">
      <c r="A15" s="223">
        <f t="shared" si="0"/>
        <v>9</v>
      </c>
      <c r="B15" s="29"/>
      <c r="C15" s="49" t="str">
        <f>C$9</f>
        <v>   September 2006</v>
      </c>
      <c r="D15" s="7">
        <f>E15+F15</f>
        <v>562752</v>
      </c>
      <c r="E15" s="24">
        <v>57525</v>
      </c>
      <c r="F15" s="24">
        <v>505227</v>
      </c>
    </row>
    <row r="16" spans="1:6" ht="12.75">
      <c r="A16" s="223">
        <f t="shared" si="0"/>
        <v>10</v>
      </c>
      <c r="B16" s="29"/>
      <c r="C16" s="49" t="str">
        <f>+C10</f>
        <v>   September 2007</v>
      </c>
      <c r="D16" s="50">
        <f>E16+F16</f>
        <v>578362</v>
      </c>
      <c r="E16" s="165">
        <v>59763</v>
      </c>
      <c r="F16" s="165">
        <v>518599</v>
      </c>
    </row>
    <row r="17" spans="1:6" ht="12.75">
      <c r="A17" s="223">
        <f t="shared" si="0"/>
        <v>11</v>
      </c>
      <c r="B17" s="29"/>
      <c r="C17" s="29" t="s">
        <v>88</v>
      </c>
      <c r="D17" s="51">
        <f>AVERAGE(D15:D16)</f>
        <v>570557</v>
      </c>
      <c r="E17" s="54">
        <f>+AVERAGE(E15:E16)</f>
        <v>58644</v>
      </c>
      <c r="F17" s="54">
        <f>+AVERAGE(F15:F16)</f>
        <v>511913</v>
      </c>
    </row>
    <row r="18" spans="1:6" ht="12.75">
      <c r="A18" s="223">
        <f t="shared" si="0"/>
        <v>12</v>
      </c>
      <c r="B18" s="29"/>
      <c r="C18" s="29" t="s">
        <v>126</v>
      </c>
      <c r="D18" s="7"/>
      <c r="E18" s="52">
        <f>E17/D17</f>
        <v>0.10278377094663636</v>
      </c>
      <c r="F18" s="52">
        <f>F17/D17</f>
        <v>0.8972162290533636</v>
      </c>
    </row>
    <row r="19" spans="1:6" ht="12.75">
      <c r="A19" s="223">
        <f t="shared" si="0"/>
        <v>13</v>
      </c>
      <c r="B19" s="29"/>
      <c r="C19" s="29"/>
      <c r="D19" s="47"/>
      <c r="E19" s="8"/>
      <c r="F19" s="8"/>
    </row>
    <row r="20" spans="1:6" ht="12.75">
      <c r="A20" s="223">
        <f t="shared" si="0"/>
        <v>14</v>
      </c>
      <c r="B20" s="29"/>
      <c r="C20" s="53" t="s">
        <v>136</v>
      </c>
      <c r="D20" s="47"/>
      <c r="E20" s="8"/>
      <c r="F20" s="8"/>
    </row>
    <row r="21" spans="1:6" ht="12.75">
      <c r="A21" s="223">
        <f t="shared" si="0"/>
        <v>15</v>
      </c>
      <c r="B21" s="29"/>
      <c r="C21" s="49" t="str">
        <f>C$9</f>
        <v>   September 2006</v>
      </c>
      <c r="D21" s="7">
        <f>E21+F21</f>
        <v>59519</v>
      </c>
      <c r="E21" s="24">
        <v>4895</v>
      </c>
      <c r="F21" s="24">
        <v>54624</v>
      </c>
    </row>
    <row r="22" spans="1:6" ht="12.75">
      <c r="A22" s="223">
        <f t="shared" si="0"/>
        <v>16</v>
      </c>
      <c r="B22" s="29"/>
      <c r="C22" s="49" t="str">
        <f>+C10</f>
        <v>   September 2007</v>
      </c>
      <c r="D22" s="50">
        <f>E22+F22</f>
        <v>60170</v>
      </c>
      <c r="E22" s="165">
        <v>5046</v>
      </c>
      <c r="F22" s="165">
        <v>55124</v>
      </c>
    </row>
    <row r="23" spans="1:6" ht="12.75">
      <c r="A23" s="223">
        <f t="shared" si="0"/>
        <v>17</v>
      </c>
      <c r="B23" s="29"/>
      <c r="C23" s="29" t="s">
        <v>88</v>
      </c>
      <c r="D23" s="51">
        <f>AVERAGE(D21:D22)</f>
        <v>59844.5</v>
      </c>
      <c r="E23" s="54">
        <f>+AVERAGE(E21:E22)</f>
        <v>4970.5</v>
      </c>
      <c r="F23" s="54">
        <f>+AVERAGE(F21:F22)</f>
        <v>54874</v>
      </c>
    </row>
    <row r="24" spans="1:6" ht="12.75">
      <c r="A24" s="223">
        <f t="shared" si="0"/>
        <v>18</v>
      </c>
      <c r="B24" s="29"/>
      <c r="C24" s="29" t="s">
        <v>126</v>
      </c>
      <c r="D24" s="47"/>
      <c r="E24" s="52">
        <f>E23/D23</f>
        <v>0.08305692252420857</v>
      </c>
      <c r="F24" s="52">
        <f>F23/D23</f>
        <v>0.9169430774757914</v>
      </c>
    </row>
    <row r="25" spans="1:6" ht="12.75">
      <c r="A25" s="223">
        <f t="shared" si="0"/>
        <v>19</v>
      </c>
      <c r="B25" s="29"/>
      <c r="C25" s="29"/>
      <c r="D25" s="47"/>
      <c r="E25" s="8"/>
      <c r="F25" s="8"/>
    </row>
    <row r="26" spans="1:6" ht="12.75">
      <c r="A26" s="223">
        <f t="shared" si="0"/>
        <v>20</v>
      </c>
      <c r="B26" s="29"/>
      <c r="C26" s="29" t="s">
        <v>155</v>
      </c>
      <c r="D26" s="47"/>
      <c r="E26" s="8"/>
      <c r="F26" s="8"/>
    </row>
    <row r="27" spans="1:6" ht="12.75">
      <c r="A27" s="223">
        <f t="shared" si="0"/>
        <v>21</v>
      </c>
      <c r="B27" s="29"/>
      <c r="C27" s="49" t="str">
        <f>C$9</f>
        <v>   September 2006</v>
      </c>
      <c r="D27" s="7">
        <f>E27+F27</f>
        <v>937</v>
      </c>
      <c r="E27" s="3">
        <v>54</v>
      </c>
      <c r="F27" s="3">
        <v>883</v>
      </c>
    </row>
    <row r="28" spans="1:6" ht="12.75">
      <c r="A28" s="223">
        <f t="shared" si="0"/>
        <v>22</v>
      </c>
      <c r="B28" s="29"/>
      <c r="C28" s="49" t="str">
        <f>+C22</f>
        <v>   September 2007</v>
      </c>
      <c r="D28" s="50">
        <f>E28+F28</f>
        <v>930</v>
      </c>
      <c r="E28" s="141">
        <v>57</v>
      </c>
      <c r="F28" s="141">
        <v>873</v>
      </c>
    </row>
    <row r="29" spans="1:6" ht="12.75">
      <c r="A29" s="223">
        <f t="shared" si="0"/>
        <v>23</v>
      </c>
      <c r="B29" s="29"/>
      <c r="C29" s="29" t="s">
        <v>88</v>
      </c>
      <c r="D29" s="51">
        <f>E29+F29</f>
        <v>933.5</v>
      </c>
      <c r="E29" s="54">
        <f>+AVERAGE(E27:E28)</f>
        <v>55.5</v>
      </c>
      <c r="F29" s="54">
        <f>+AVERAGE(F27:F28)</f>
        <v>878</v>
      </c>
    </row>
    <row r="30" spans="1:6" ht="12.75">
      <c r="A30" s="223">
        <f t="shared" si="0"/>
        <v>24</v>
      </c>
      <c r="B30" s="53"/>
      <c r="C30" s="29" t="s">
        <v>126</v>
      </c>
      <c r="D30" s="7"/>
      <c r="E30" s="52">
        <f>E29/D29</f>
        <v>0.05945366898768077</v>
      </c>
      <c r="F30" s="52">
        <f>F29/D29</f>
        <v>0.9405463310123192</v>
      </c>
    </row>
    <row r="31" spans="1:6" ht="12.75">
      <c r="A31" s="223">
        <f t="shared" si="0"/>
        <v>25</v>
      </c>
      <c r="B31" s="53"/>
      <c r="C31" s="29"/>
      <c r="D31" s="7"/>
      <c r="E31" s="55"/>
      <c r="F31" s="55"/>
    </row>
    <row r="32" spans="1:6" ht="12.75">
      <c r="A32" s="223">
        <f t="shared" si="0"/>
        <v>26</v>
      </c>
      <c r="B32" s="29"/>
      <c r="C32" s="53" t="s">
        <v>170</v>
      </c>
      <c r="D32" s="48"/>
      <c r="E32" s="48"/>
      <c r="F32" s="48"/>
    </row>
    <row r="33" spans="1:6" ht="12.75">
      <c r="A33" s="223">
        <f t="shared" si="0"/>
        <v>27</v>
      </c>
      <c r="B33" s="29"/>
      <c r="C33" s="49" t="str">
        <f>C$9</f>
        <v>   September 2006</v>
      </c>
      <c r="D33" s="7">
        <f>E33+F33</f>
        <v>6630</v>
      </c>
      <c r="E33" s="24">
        <v>1704</v>
      </c>
      <c r="F33" s="24">
        <v>4926</v>
      </c>
    </row>
    <row r="34" spans="1:6" ht="12.75">
      <c r="A34" s="223">
        <f t="shared" si="0"/>
        <v>28</v>
      </c>
      <c r="B34" s="29"/>
      <c r="C34" s="49" t="str">
        <f>+C28</f>
        <v>   September 2007</v>
      </c>
      <c r="D34" s="50">
        <f>E34+F34</f>
        <v>6826</v>
      </c>
      <c r="E34" s="165">
        <v>1746</v>
      </c>
      <c r="F34" s="165">
        <v>5080</v>
      </c>
    </row>
    <row r="35" spans="1:6" ht="12.75">
      <c r="A35" s="223">
        <f t="shared" si="0"/>
        <v>29</v>
      </c>
      <c r="B35" s="29"/>
      <c r="C35" s="29" t="s">
        <v>88</v>
      </c>
      <c r="D35" s="51">
        <f>E35+F35</f>
        <v>6728</v>
      </c>
      <c r="E35" s="54">
        <f>+AVERAGE(E33:E34)</f>
        <v>1725</v>
      </c>
      <c r="F35" s="54">
        <f>+AVERAGE(F33:F34)</f>
        <v>5003</v>
      </c>
    </row>
    <row r="36" spans="1:6" ht="12.75">
      <c r="A36" s="223">
        <f t="shared" si="0"/>
        <v>30</v>
      </c>
      <c r="B36" s="53"/>
      <c r="C36" s="29" t="s">
        <v>126</v>
      </c>
      <c r="D36" s="7"/>
      <c r="E36" s="52">
        <f>E35/D35</f>
        <v>0.2563912009512485</v>
      </c>
      <c r="F36" s="52">
        <f>F35/D35</f>
        <v>0.7436087990487514</v>
      </c>
    </row>
    <row r="37" spans="1:6" ht="12.75">
      <c r="A37" s="223">
        <f t="shared" si="0"/>
        <v>31</v>
      </c>
      <c r="B37" s="53"/>
      <c r="C37" s="29"/>
      <c r="D37" s="7"/>
      <c r="E37" s="7"/>
      <c r="F37" s="7"/>
    </row>
    <row r="38" spans="1:6" ht="12.75">
      <c r="A38" s="223">
        <f t="shared" si="0"/>
        <v>32</v>
      </c>
      <c r="B38" s="29"/>
      <c r="C38" s="53" t="s">
        <v>184</v>
      </c>
      <c r="D38" s="48"/>
      <c r="E38" s="48"/>
      <c r="F38" s="48"/>
    </row>
    <row r="39" spans="1:6" ht="12.75">
      <c r="A39" s="223">
        <f t="shared" si="0"/>
        <v>33</v>
      </c>
      <c r="B39" s="29"/>
      <c r="C39" s="49" t="str">
        <f>C$9</f>
        <v>   September 2006</v>
      </c>
      <c r="D39" s="7">
        <f>E39+F39</f>
        <v>442104</v>
      </c>
      <c r="E39" s="24">
        <v>60770</v>
      </c>
      <c r="F39" s="24">
        <v>381334</v>
      </c>
    </row>
    <row r="40" spans="1:6" ht="12.75">
      <c r="A40" s="223">
        <f t="shared" si="0"/>
        <v>34</v>
      </c>
      <c r="B40" s="29"/>
      <c r="C40" s="49" t="str">
        <f>+C34</f>
        <v>   September 2007</v>
      </c>
      <c r="D40" s="50">
        <f>E40+F40</f>
        <v>453032</v>
      </c>
      <c r="E40" s="165">
        <v>63120</v>
      </c>
      <c r="F40" s="165">
        <v>389912</v>
      </c>
    </row>
    <row r="41" spans="1:6" ht="12.75">
      <c r="A41" s="223">
        <f t="shared" si="0"/>
        <v>35</v>
      </c>
      <c r="B41" s="29"/>
      <c r="C41" s="29" t="s">
        <v>88</v>
      </c>
      <c r="D41" s="51">
        <f>E41+F41</f>
        <v>447568</v>
      </c>
      <c r="E41" s="54">
        <f>+AVERAGE(E39:E40)</f>
        <v>61945</v>
      </c>
      <c r="F41" s="54">
        <f>+AVERAGE(F39:F40)</f>
        <v>385623</v>
      </c>
    </row>
    <row r="42" spans="1:6" ht="12.75">
      <c r="A42" s="223">
        <f t="shared" si="0"/>
        <v>36</v>
      </c>
      <c r="B42" s="53"/>
      <c r="C42" s="29" t="s">
        <v>126</v>
      </c>
      <c r="D42" s="7"/>
      <c r="E42" s="52">
        <f>E41/D41</f>
        <v>0.13840354985164266</v>
      </c>
      <c r="F42" s="52">
        <f>F41/D41</f>
        <v>0.8615964501483574</v>
      </c>
    </row>
    <row r="43" spans="1:6" ht="12.75">
      <c r="A43" s="223">
        <f t="shared" si="0"/>
        <v>37</v>
      </c>
      <c r="B43" s="53"/>
      <c r="C43" s="29"/>
      <c r="D43" s="7"/>
      <c r="E43" s="8"/>
      <c r="F43" s="8"/>
    </row>
    <row r="44" spans="1:6" ht="12.75">
      <c r="A44" s="223">
        <f t="shared" si="0"/>
        <v>38</v>
      </c>
      <c r="B44" s="29"/>
      <c r="C44" s="53" t="s">
        <v>199</v>
      </c>
      <c r="E44" s="48"/>
      <c r="F44" s="48"/>
    </row>
    <row r="45" spans="1:6" ht="12.75">
      <c r="A45" s="223">
        <f t="shared" si="0"/>
        <v>39</v>
      </c>
      <c r="B45" s="29"/>
      <c r="C45" s="49" t="str">
        <f>C$9</f>
        <v>   September 2006</v>
      </c>
      <c r="D45" s="7">
        <f>E45+F45</f>
        <v>38549</v>
      </c>
      <c r="E45" s="24">
        <v>4699</v>
      </c>
      <c r="F45" s="24">
        <v>33850</v>
      </c>
    </row>
    <row r="46" spans="1:6" ht="12.75">
      <c r="A46" s="223">
        <f t="shared" si="0"/>
        <v>40</v>
      </c>
      <c r="B46" s="29"/>
      <c r="C46" s="49" t="str">
        <f>+C40</f>
        <v>   September 2007</v>
      </c>
      <c r="D46" s="50">
        <f>E46+F46</f>
        <v>38910</v>
      </c>
      <c r="E46" s="165">
        <v>4851</v>
      </c>
      <c r="F46" s="165">
        <v>34059</v>
      </c>
    </row>
    <row r="47" spans="1:6" ht="12.75">
      <c r="A47" s="223">
        <f t="shared" si="0"/>
        <v>41</v>
      </c>
      <c r="B47" s="29"/>
      <c r="C47" s="29" t="s">
        <v>88</v>
      </c>
      <c r="D47" s="51">
        <f>E47+F47</f>
        <v>38729.5</v>
      </c>
      <c r="E47" s="54">
        <f>+AVERAGE(E45:E46)</f>
        <v>4775</v>
      </c>
      <c r="F47" s="54">
        <f>+AVERAGE(F45:F46)</f>
        <v>33954.5</v>
      </c>
    </row>
    <row r="48" spans="1:6" ht="12.75">
      <c r="A48" s="223">
        <f t="shared" si="0"/>
        <v>42</v>
      </c>
      <c r="B48" s="29"/>
      <c r="C48" s="29" t="s">
        <v>126</v>
      </c>
      <c r="D48" s="48"/>
      <c r="E48" s="52">
        <f>E47/D47</f>
        <v>0.12329103138434527</v>
      </c>
      <c r="F48" s="52">
        <f>F47/D47</f>
        <v>0.8767089686156547</v>
      </c>
    </row>
    <row r="49" spans="1:6" ht="12.75">
      <c r="A49" s="223">
        <f t="shared" si="0"/>
        <v>43</v>
      </c>
      <c r="B49" s="29"/>
      <c r="C49" s="29"/>
      <c r="D49" s="48"/>
      <c r="E49" s="48"/>
      <c r="F49" s="8"/>
    </row>
    <row r="50" spans="1:6" ht="12.75">
      <c r="A50" s="223">
        <f t="shared" si="0"/>
        <v>44</v>
      </c>
      <c r="B50" s="29"/>
      <c r="C50" s="29"/>
      <c r="D50" s="48"/>
      <c r="E50" s="48"/>
      <c r="F50" s="8"/>
    </row>
    <row r="51" spans="1:6" ht="12.75">
      <c r="A51" s="223">
        <f t="shared" si="0"/>
        <v>45</v>
      </c>
      <c r="B51" s="219" t="s">
        <v>498</v>
      </c>
      <c r="C51" s="29"/>
      <c r="D51" s="47"/>
      <c r="E51" s="47"/>
      <c r="F51" s="47"/>
    </row>
    <row r="52" spans="1:6" ht="12.75">
      <c r="A52" s="223">
        <f t="shared" si="0"/>
        <v>46</v>
      </c>
      <c r="B52" s="29"/>
      <c r="C52" s="29"/>
      <c r="D52" s="47"/>
      <c r="E52" s="47"/>
      <c r="F52" s="47"/>
    </row>
    <row r="53" spans="1:6" ht="12.75">
      <c r="A53" s="223">
        <f t="shared" si="0"/>
        <v>47</v>
      </c>
      <c r="B53" s="29"/>
      <c r="C53" s="29" t="s">
        <v>221</v>
      </c>
      <c r="D53" s="7">
        <f>E53+F53</f>
        <v>740943407</v>
      </c>
      <c r="E53" s="215">
        <f>66729233.1+3738309</f>
        <v>70467542.1</v>
      </c>
      <c r="F53" s="215">
        <f>625926096.9+44549768</f>
        <v>670475864.9</v>
      </c>
    </row>
    <row r="54" spans="1:6" ht="12.75">
      <c r="A54" s="223">
        <f t="shared" si="0"/>
        <v>48</v>
      </c>
      <c r="B54" s="29"/>
      <c r="C54" s="29" t="s">
        <v>126</v>
      </c>
      <c r="D54" s="47"/>
      <c r="E54" s="52">
        <f>E53/D53</f>
        <v>0.09510516111522671</v>
      </c>
      <c r="F54" s="52">
        <f>F53/D53</f>
        <v>0.9048948388847733</v>
      </c>
    </row>
    <row r="55" spans="1:6" ht="12.75">
      <c r="A55" s="223">
        <f t="shared" si="0"/>
        <v>49</v>
      </c>
      <c r="B55" s="29"/>
      <c r="C55" s="29"/>
      <c r="D55" s="47"/>
      <c r="E55" s="47"/>
      <c r="F55" s="47"/>
    </row>
    <row r="56" spans="1:7" ht="12.75">
      <c r="A56" s="223">
        <f t="shared" si="0"/>
        <v>50</v>
      </c>
      <c r="B56" s="29"/>
      <c r="C56" s="29" t="s">
        <v>225</v>
      </c>
      <c r="D56" s="7">
        <f>E56+F56</f>
        <v>781084146.01</v>
      </c>
      <c r="E56" s="215">
        <v>73029619.1</v>
      </c>
      <c r="F56" s="215">
        <v>708054526.91</v>
      </c>
      <c r="G56" s="216"/>
    </row>
    <row r="57" spans="1:6" ht="12.75">
      <c r="A57" s="223">
        <f t="shared" si="0"/>
        <v>51</v>
      </c>
      <c r="B57" s="29"/>
      <c r="C57" s="29" t="s">
        <v>126</v>
      </c>
      <c r="D57" s="48"/>
      <c r="E57" s="52">
        <f>E56/D56</f>
        <v>0.09349776137827923</v>
      </c>
      <c r="F57" s="52">
        <f>F56/D56</f>
        <v>0.9065022386217207</v>
      </c>
    </row>
    <row r="58" spans="1:6" ht="12.75">
      <c r="A58" s="223">
        <f t="shared" si="0"/>
        <v>52</v>
      </c>
      <c r="B58" s="29"/>
      <c r="C58" s="29"/>
      <c r="D58" s="48"/>
      <c r="E58" s="48"/>
      <c r="F58" s="48"/>
    </row>
    <row r="59" spans="1:6" ht="12.75">
      <c r="A59" s="223">
        <f t="shared" si="0"/>
        <v>53</v>
      </c>
      <c r="B59" s="29"/>
      <c r="C59" s="29" t="s">
        <v>228</v>
      </c>
      <c r="D59" s="7">
        <f>E59+F59</f>
        <v>1200238540.0099998</v>
      </c>
      <c r="E59" s="217">
        <v>86460019.1</v>
      </c>
      <c r="F59" s="217">
        <v>1113778520.9099998</v>
      </c>
    </row>
    <row r="60" spans="1:6" ht="12.75">
      <c r="A60" s="223">
        <f t="shared" si="0"/>
        <v>54</v>
      </c>
      <c r="B60" s="29"/>
      <c r="C60" s="29" t="s">
        <v>126</v>
      </c>
      <c r="D60" s="48"/>
      <c r="E60" s="52">
        <f>E59/D59</f>
        <v>0.07203569642021299</v>
      </c>
      <c r="F60" s="52">
        <f>F59/D59</f>
        <v>0.9279643035797871</v>
      </c>
    </row>
    <row r="61" spans="1:6" ht="12.75">
      <c r="A61" s="223">
        <f t="shared" si="0"/>
        <v>55</v>
      </c>
      <c r="B61" s="29"/>
      <c r="C61" s="29"/>
      <c r="D61" s="57"/>
      <c r="E61" s="47"/>
      <c r="F61" s="47"/>
    </row>
    <row r="62" spans="1:6" ht="12.75">
      <c r="A62" s="223">
        <f t="shared" si="0"/>
        <v>56</v>
      </c>
      <c r="B62" s="29"/>
      <c r="C62" s="29"/>
      <c r="D62" s="57"/>
      <c r="E62" s="47"/>
      <c r="F62" s="47"/>
    </row>
    <row r="63" spans="1:6" ht="12.75">
      <c r="A63" s="223">
        <f t="shared" si="0"/>
        <v>57</v>
      </c>
      <c r="B63" s="29"/>
      <c r="C63" s="29"/>
      <c r="D63" s="57"/>
      <c r="E63" s="47"/>
      <c r="F63" s="47"/>
    </row>
    <row r="64" spans="1:6" ht="12.75">
      <c r="A64" s="223">
        <f t="shared" si="0"/>
        <v>58</v>
      </c>
      <c r="B64" s="29" t="s">
        <v>0</v>
      </c>
      <c r="C64" s="29"/>
      <c r="D64" s="47"/>
      <c r="E64" s="47"/>
      <c r="F64" s="47"/>
    </row>
    <row r="65" spans="1:6" ht="12.75">
      <c r="A65" s="223">
        <f t="shared" si="0"/>
        <v>59</v>
      </c>
      <c r="B65" s="29" t="s">
        <v>5</v>
      </c>
      <c r="C65" s="29"/>
      <c r="D65" s="47"/>
      <c r="E65" s="47"/>
      <c r="F65" s="47"/>
    </row>
    <row r="66" spans="1:6" ht="12.75">
      <c r="A66" s="223">
        <f t="shared" si="0"/>
        <v>60</v>
      </c>
      <c r="B66" s="29"/>
      <c r="C66" s="29"/>
      <c r="D66" s="47"/>
      <c r="E66" s="47"/>
      <c r="F66" s="47"/>
    </row>
    <row r="67" spans="1:6" ht="12.75">
      <c r="A67" s="223">
        <f t="shared" si="0"/>
        <v>61</v>
      </c>
      <c r="B67" s="29"/>
      <c r="C67" s="29"/>
      <c r="D67" s="47"/>
      <c r="E67" s="46" t="s">
        <v>11</v>
      </c>
      <c r="F67" s="46" t="s">
        <v>12</v>
      </c>
    </row>
    <row r="68" spans="1:6" ht="12.75">
      <c r="A68" s="223">
        <f t="shared" si="0"/>
        <v>62</v>
      </c>
      <c r="B68" s="29" t="s">
        <v>230</v>
      </c>
      <c r="C68" s="29"/>
      <c r="D68" s="47"/>
      <c r="E68" s="47"/>
      <c r="F68" s="47"/>
    </row>
    <row r="69" spans="1:6" ht="12.75">
      <c r="A69" s="223">
        <f t="shared" si="0"/>
        <v>63</v>
      </c>
      <c r="B69" s="29"/>
      <c r="C69" s="29" t="s">
        <v>231</v>
      </c>
      <c r="D69" s="47"/>
      <c r="E69" s="52">
        <f>+E100</f>
        <v>0.1066917656968478</v>
      </c>
      <c r="F69" s="52">
        <f>+F100</f>
        <v>0.8933082343031522</v>
      </c>
    </row>
    <row r="70" spans="1:6" ht="12.75">
      <c r="A70" s="223">
        <f t="shared" si="0"/>
        <v>64</v>
      </c>
      <c r="B70" s="29"/>
      <c r="C70" s="29" t="s">
        <v>233</v>
      </c>
      <c r="D70" s="47"/>
      <c r="E70" s="58">
        <v>0.086</v>
      </c>
      <c r="F70" s="52">
        <f>1-E70</f>
        <v>0.914</v>
      </c>
    </row>
    <row r="71" spans="1:6" ht="12.75">
      <c r="A71" s="223">
        <f t="shared" si="0"/>
        <v>65</v>
      </c>
      <c r="B71" s="29"/>
      <c r="C71" s="29" t="s">
        <v>234</v>
      </c>
      <c r="D71" s="59"/>
      <c r="E71" s="60">
        <f>+E12</f>
        <v>0.10084978656339344</v>
      </c>
      <c r="F71" s="60">
        <f>F12</f>
        <v>0.8991502134366065</v>
      </c>
    </row>
    <row r="72" spans="1:6" ht="12.75">
      <c r="A72" s="223">
        <f t="shared" si="0"/>
        <v>66</v>
      </c>
      <c r="B72" s="29"/>
      <c r="C72" s="29"/>
      <c r="D72" s="47"/>
      <c r="E72" s="61"/>
      <c r="F72" s="52"/>
    </row>
    <row r="73" spans="1:6" ht="12.75">
      <c r="A73" s="223">
        <f aca="true" t="shared" si="1" ref="A73:A128">+A72+1</f>
        <v>67</v>
      </c>
      <c r="B73" s="29"/>
      <c r="C73" s="29" t="s">
        <v>236</v>
      </c>
      <c r="D73" s="47"/>
      <c r="E73" s="52">
        <f>AVERAGE(E69:E71)</f>
        <v>0.09784718408674709</v>
      </c>
      <c r="F73" s="52">
        <f>AVERAGE(F69:F71)</f>
        <v>0.9021528159132529</v>
      </c>
    </row>
    <row r="74" spans="1:6" ht="12.75">
      <c r="A74" s="223">
        <f t="shared" si="1"/>
        <v>68</v>
      </c>
      <c r="B74" s="29"/>
      <c r="C74" s="29"/>
      <c r="D74" s="47"/>
      <c r="E74" s="47"/>
      <c r="F74" s="47"/>
    </row>
    <row r="75" spans="1:7" ht="12.75">
      <c r="A75" s="223">
        <f t="shared" si="1"/>
        <v>69</v>
      </c>
      <c r="B75" s="29"/>
      <c r="C75" s="29"/>
      <c r="D75" s="47"/>
      <c r="E75" s="47"/>
      <c r="G75" s="47"/>
    </row>
    <row r="76" spans="1:7" ht="12.75">
      <c r="A76" s="223">
        <f t="shared" si="1"/>
        <v>70</v>
      </c>
      <c r="B76" s="2" t="s">
        <v>239</v>
      </c>
      <c r="C76" s="2"/>
      <c r="D76" s="7"/>
      <c r="E76" s="7"/>
      <c r="F76" s="7"/>
      <c r="G76" s="7"/>
    </row>
    <row r="77" spans="1:7" ht="12.75">
      <c r="A77" s="223">
        <f t="shared" si="1"/>
        <v>71</v>
      </c>
      <c r="B77" s="2"/>
      <c r="C77" s="2"/>
      <c r="D77" s="7"/>
      <c r="E77" s="7"/>
      <c r="F77" s="7"/>
      <c r="G77" s="7"/>
    </row>
    <row r="78" spans="1:6" ht="12.75">
      <c r="A78" s="223">
        <f t="shared" si="1"/>
        <v>72</v>
      </c>
      <c r="B78" s="1" t="s">
        <v>496</v>
      </c>
      <c r="C78" s="2"/>
      <c r="D78" s="46" t="s">
        <v>10</v>
      </c>
      <c r="E78" s="46" t="s">
        <v>11</v>
      </c>
      <c r="F78" s="46" t="s">
        <v>12</v>
      </c>
    </row>
    <row r="79" spans="1:6" ht="12.75">
      <c r="A79" s="223">
        <f t="shared" si="1"/>
        <v>73</v>
      </c>
      <c r="B79" s="218"/>
      <c r="C79" s="2"/>
      <c r="D79" s="62"/>
      <c r="E79" s="62"/>
      <c r="F79" s="62"/>
    </row>
    <row r="80" spans="1:6" ht="12.75">
      <c r="A80" s="223">
        <f t="shared" si="1"/>
        <v>74</v>
      </c>
      <c r="B80" s="218"/>
      <c r="C80" s="2" t="s">
        <v>242</v>
      </c>
      <c r="D80" s="361">
        <f>+F80+E80</f>
        <v>84795.27</v>
      </c>
      <c r="E80" s="125">
        <v>447</v>
      </c>
      <c r="F80" s="125">
        <v>84348.27</v>
      </c>
    </row>
    <row r="81" spans="1:6" ht="12.75">
      <c r="A81" s="223">
        <f t="shared" si="1"/>
        <v>75</v>
      </c>
      <c r="B81" s="218"/>
      <c r="C81" s="2" t="s">
        <v>244</v>
      </c>
      <c r="D81" s="361">
        <f>+F81+E81</f>
        <v>675198</v>
      </c>
      <c r="E81" s="125">
        <v>0</v>
      </c>
      <c r="F81" s="125">
        <v>675198</v>
      </c>
    </row>
    <row r="82" spans="1:6" ht="12.75">
      <c r="A82" s="223">
        <f t="shared" si="1"/>
        <v>76</v>
      </c>
      <c r="B82" s="218"/>
      <c r="C82" s="2" t="s">
        <v>246</v>
      </c>
      <c r="D82" s="361">
        <f>+F82+E82</f>
        <v>18719455.48</v>
      </c>
      <c r="E82" s="125">
        <v>0</v>
      </c>
      <c r="F82" s="125">
        <v>18719455.48</v>
      </c>
    </row>
    <row r="83" spans="1:6" ht="12.75">
      <c r="A83" s="223">
        <f t="shared" si="1"/>
        <v>77</v>
      </c>
      <c r="B83" s="218"/>
      <c r="C83" s="2" t="s">
        <v>247</v>
      </c>
      <c r="D83" s="362">
        <f>+F83+E83</f>
        <v>1541092809.7700005</v>
      </c>
      <c r="E83" s="363">
        <v>169997495.78000003</v>
      </c>
      <c r="F83" s="363">
        <v>1371095313.9900005</v>
      </c>
    </row>
    <row r="84" spans="1:6" ht="12.75">
      <c r="A84" s="223">
        <f t="shared" si="1"/>
        <v>78</v>
      </c>
      <c r="B84" s="2"/>
      <c r="C84" s="2"/>
      <c r="D84" s="361"/>
      <c r="E84" s="361"/>
      <c r="F84" s="361"/>
    </row>
    <row r="85" spans="1:6" ht="12.75">
      <c r="A85" s="223">
        <f t="shared" si="1"/>
        <v>79</v>
      </c>
      <c r="B85" s="216"/>
      <c r="C85" s="63" t="s">
        <v>425</v>
      </c>
      <c r="D85" s="361">
        <f>D80+D81+D82+D83</f>
        <v>1560572258.5200005</v>
      </c>
      <c r="E85" s="361">
        <f>E80+E81+E82+E83</f>
        <v>169997942.78000003</v>
      </c>
      <c r="F85" s="361">
        <f>F80+F81+F82+F83</f>
        <v>1390574315.7400005</v>
      </c>
    </row>
    <row r="86" spans="1:6" ht="12.75">
      <c r="A86" s="223">
        <f t="shared" si="1"/>
        <v>80</v>
      </c>
      <c r="B86" s="218"/>
      <c r="C86" s="29" t="s">
        <v>126</v>
      </c>
      <c r="D86" s="7"/>
      <c r="E86" s="52">
        <f>ROUND(+E85/D85,4)</f>
        <v>0.1089</v>
      </c>
      <c r="F86" s="52">
        <f>1-E86</f>
        <v>0.8911</v>
      </c>
    </row>
    <row r="87" spans="1:6" ht="12.75">
      <c r="A87" s="223">
        <f t="shared" si="1"/>
        <v>81</v>
      </c>
      <c r="B87" s="218"/>
      <c r="C87" s="29"/>
      <c r="D87" s="7"/>
      <c r="E87" s="52"/>
      <c r="F87" s="52"/>
    </row>
    <row r="88" spans="1:6" ht="12.75">
      <c r="A88" s="223">
        <f t="shared" si="1"/>
        <v>82</v>
      </c>
      <c r="B88" s="1" t="s">
        <v>497</v>
      </c>
      <c r="C88" s="2"/>
      <c r="D88" s="46" t="s">
        <v>10</v>
      </c>
      <c r="E88" s="46" t="s">
        <v>11</v>
      </c>
      <c r="F88" s="46" t="s">
        <v>12</v>
      </c>
    </row>
    <row r="89" spans="1:6" ht="12.75">
      <c r="A89" s="223">
        <f t="shared" si="1"/>
        <v>83</v>
      </c>
      <c r="B89" s="29"/>
      <c r="C89" s="2"/>
      <c r="D89" s="62"/>
      <c r="E89" s="62"/>
      <c r="F89" s="62"/>
    </row>
    <row r="90" spans="1:6" ht="12.75">
      <c r="A90" s="223">
        <f t="shared" si="1"/>
        <v>84</v>
      </c>
      <c r="B90" s="29"/>
      <c r="C90" s="2" t="s">
        <v>242</v>
      </c>
      <c r="D90" s="361">
        <f>+F90+E90</f>
        <v>84795.27</v>
      </c>
      <c r="E90" s="125">
        <v>447</v>
      </c>
      <c r="F90" s="125">
        <v>84348.27</v>
      </c>
    </row>
    <row r="91" spans="1:6" ht="12.75">
      <c r="A91" s="223">
        <f t="shared" si="1"/>
        <v>85</v>
      </c>
      <c r="B91" s="29"/>
      <c r="C91" s="2" t="s">
        <v>244</v>
      </c>
      <c r="D91" s="361">
        <f>+F91+E91</f>
        <v>675198</v>
      </c>
      <c r="E91" s="125">
        <v>0</v>
      </c>
      <c r="F91" s="125">
        <v>675198</v>
      </c>
    </row>
    <row r="92" spans="1:6" ht="12.75">
      <c r="A92" s="223">
        <f t="shared" si="1"/>
        <v>86</v>
      </c>
      <c r="B92" s="29"/>
      <c r="C92" s="2" t="s">
        <v>246</v>
      </c>
      <c r="D92" s="361">
        <f>+F92+E92</f>
        <v>18498368.46</v>
      </c>
      <c r="E92" s="125">
        <v>0</v>
      </c>
      <c r="F92" s="125">
        <v>18498368.46</v>
      </c>
    </row>
    <row r="93" spans="1:6" ht="12.75">
      <c r="A93" s="223">
        <f t="shared" si="1"/>
        <v>87</v>
      </c>
      <c r="B93" s="29"/>
      <c r="C93" s="2" t="s">
        <v>247</v>
      </c>
      <c r="D93" s="362">
        <f>+F93+E93</f>
        <v>1456450653.6999998</v>
      </c>
      <c r="E93" s="363">
        <v>153947820.48999998</v>
      </c>
      <c r="F93" s="363">
        <v>1302502833.2099998</v>
      </c>
    </row>
    <row r="94" spans="1:6" ht="12.75">
      <c r="A94" s="223">
        <f t="shared" si="1"/>
        <v>88</v>
      </c>
      <c r="B94" s="2"/>
      <c r="C94" s="2"/>
      <c r="D94" s="361"/>
      <c r="E94" s="361"/>
      <c r="F94" s="361"/>
    </row>
    <row r="95" spans="1:6" ht="12.75">
      <c r="A95" s="223">
        <f t="shared" si="1"/>
        <v>89</v>
      </c>
      <c r="B95" s="48"/>
      <c r="C95" s="63" t="s">
        <v>425</v>
      </c>
      <c r="D95" s="361">
        <f>D90+D91+D92+D93</f>
        <v>1475709015.4299998</v>
      </c>
      <c r="E95" s="361">
        <f>E90+E91+E92+E93</f>
        <v>153948267.48999998</v>
      </c>
      <c r="F95" s="361">
        <f>F90+F91+F92+F93</f>
        <v>1321760747.9399998</v>
      </c>
    </row>
    <row r="96" spans="1:6" ht="12.75">
      <c r="A96" s="223">
        <f t="shared" si="1"/>
        <v>90</v>
      </c>
      <c r="B96" s="29"/>
      <c r="C96" s="29" t="s">
        <v>126</v>
      </c>
      <c r="D96" s="7"/>
      <c r="E96" s="52"/>
      <c r="F96" s="52"/>
    </row>
    <row r="97" spans="1:6" ht="12.75">
      <c r="A97" s="223">
        <f t="shared" si="1"/>
        <v>91</v>
      </c>
      <c r="B97" s="29"/>
      <c r="C97" s="29"/>
      <c r="D97" s="7"/>
      <c r="E97" s="52"/>
      <c r="F97" s="52"/>
    </row>
    <row r="98" spans="1:6" ht="12.75">
      <c r="A98" s="223">
        <f t="shared" si="1"/>
        <v>92</v>
      </c>
      <c r="B98" s="29"/>
      <c r="C98" s="29"/>
      <c r="D98" s="7"/>
      <c r="E98" s="52"/>
      <c r="F98" s="52"/>
    </row>
    <row r="99" spans="1:6" ht="12.75">
      <c r="A99" s="223">
        <f t="shared" si="1"/>
        <v>93</v>
      </c>
      <c r="B99" s="2" t="s">
        <v>231</v>
      </c>
      <c r="C99" s="2"/>
      <c r="D99" s="38">
        <f>+D85+D95</f>
        <v>3036281273.9500003</v>
      </c>
      <c r="E99" s="38">
        <f>+E85+E95</f>
        <v>323946210.27</v>
      </c>
      <c r="F99" s="38">
        <f>+F85+F95</f>
        <v>2712335063.6800003</v>
      </c>
    </row>
    <row r="100" spans="1:6" ht="12.75">
      <c r="A100" s="223">
        <f t="shared" si="1"/>
        <v>94</v>
      </c>
      <c r="B100" s="29"/>
      <c r="C100" s="29" t="s">
        <v>126</v>
      </c>
      <c r="E100" s="8">
        <f>+E99/D99</f>
        <v>0.1066917656968478</v>
      </c>
      <c r="F100" s="8">
        <f>1-E100</f>
        <v>0.8933082343031522</v>
      </c>
    </row>
    <row r="101" spans="1:6" ht="12.75">
      <c r="A101" s="223">
        <f t="shared" si="1"/>
        <v>95</v>
      </c>
      <c r="B101" s="2"/>
      <c r="C101" s="2"/>
      <c r="D101" s="7"/>
      <c r="E101" s="7"/>
      <c r="F101" s="7"/>
    </row>
    <row r="102" spans="1:6" ht="12.75">
      <c r="A102" s="223">
        <f t="shared" si="1"/>
        <v>96</v>
      </c>
      <c r="B102" s="29"/>
      <c r="C102" s="29"/>
      <c r="D102" s="47"/>
      <c r="E102" s="47"/>
      <c r="F102" s="47"/>
    </row>
    <row r="103" spans="1:6" ht="12.75">
      <c r="A103" s="223">
        <f t="shared" si="1"/>
        <v>97</v>
      </c>
      <c r="B103" s="64" t="s">
        <v>260</v>
      </c>
      <c r="C103" s="65"/>
      <c r="D103" s="46" t="s">
        <v>11</v>
      </c>
      <c r="E103" s="46" t="s">
        <v>12</v>
      </c>
      <c r="F103" s="66"/>
    </row>
    <row r="104" spans="1:6" ht="12.75">
      <c r="A104" s="223">
        <f t="shared" si="1"/>
        <v>98</v>
      </c>
      <c r="B104" s="67"/>
      <c r="C104" s="45"/>
      <c r="D104" s="68"/>
      <c r="E104" s="47"/>
      <c r="F104" s="47"/>
    </row>
    <row r="105" spans="1:6" ht="12.75">
      <c r="A105" s="223">
        <f t="shared" si="1"/>
        <v>99</v>
      </c>
      <c r="B105" s="67"/>
      <c r="C105" s="53" t="s">
        <v>61</v>
      </c>
      <c r="D105" s="188">
        <f>E12</f>
        <v>0.10084978656339344</v>
      </c>
      <c r="E105" s="188">
        <f>1-D105</f>
        <v>0.8991502134366065</v>
      </c>
      <c r="F105" s="166"/>
    </row>
    <row r="106" spans="1:6" ht="12.75">
      <c r="A106" s="223">
        <f t="shared" si="1"/>
        <v>100</v>
      </c>
      <c r="B106" s="67"/>
      <c r="C106" s="53" t="s">
        <v>264</v>
      </c>
      <c r="D106" s="188">
        <f>E18</f>
        <v>0.10278377094663636</v>
      </c>
      <c r="E106" s="188">
        <f aca="true" t="shared" si="2" ref="E106:E125">1-D106</f>
        <v>0.8972162290533636</v>
      </c>
      <c r="F106" s="166"/>
    </row>
    <row r="107" spans="1:6" ht="12.75">
      <c r="A107" s="223">
        <f t="shared" si="1"/>
        <v>101</v>
      </c>
      <c r="B107" s="67"/>
      <c r="C107" s="53" t="s">
        <v>265</v>
      </c>
      <c r="D107" s="188">
        <f>E24</f>
        <v>0.08305692252420857</v>
      </c>
      <c r="E107" s="188">
        <f t="shared" si="2"/>
        <v>0.9169430774757914</v>
      </c>
      <c r="F107" s="166"/>
    </row>
    <row r="108" spans="1:6" ht="12.75">
      <c r="A108" s="223">
        <f t="shared" si="1"/>
        <v>102</v>
      </c>
      <c r="B108" s="67"/>
      <c r="C108" s="53" t="s">
        <v>266</v>
      </c>
      <c r="D108" s="188">
        <f>E30</f>
        <v>0.05945366898768077</v>
      </c>
      <c r="E108" s="188">
        <f t="shared" si="2"/>
        <v>0.9405463310123192</v>
      </c>
      <c r="F108" s="166"/>
    </row>
    <row r="109" spans="1:6" ht="12.75">
      <c r="A109" s="223">
        <f t="shared" si="1"/>
        <v>103</v>
      </c>
      <c r="B109" s="67"/>
      <c r="C109" s="53" t="s">
        <v>267</v>
      </c>
      <c r="D109" s="188">
        <f>E36</f>
        <v>0.2563912009512485</v>
      </c>
      <c r="E109" s="188">
        <f t="shared" si="2"/>
        <v>0.7436087990487514</v>
      </c>
      <c r="F109" s="166"/>
    </row>
    <row r="110" spans="1:6" ht="12.75">
      <c r="A110" s="223">
        <f t="shared" si="1"/>
        <v>104</v>
      </c>
      <c r="B110" s="67"/>
      <c r="C110" s="53" t="s">
        <v>123</v>
      </c>
      <c r="D110" s="188">
        <f>E73</f>
        <v>0.09784718408674709</v>
      </c>
      <c r="E110" s="188">
        <f t="shared" si="2"/>
        <v>0.9021528159132529</v>
      </c>
      <c r="F110" s="166"/>
    </row>
    <row r="111" spans="1:6" ht="12.75">
      <c r="A111" s="223">
        <f t="shared" si="1"/>
        <v>105</v>
      </c>
      <c r="B111" s="67"/>
      <c r="C111" s="53" t="s">
        <v>268</v>
      </c>
      <c r="D111" s="188">
        <f>E54</f>
        <v>0.09510516111522671</v>
      </c>
      <c r="E111" s="188">
        <f t="shared" si="2"/>
        <v>0.9048948388847733</v>
      </c>
      <c r="F111" s="166"/>
    </row>
    <row r="112" spans="1:6" ht="12.75">
      <c r="A112" s="223">
        <f t="shared" si="1"/>
        <v>106</v>
      </c>
      <c r="B112" s="67"/>
      <c r="C112" s="53" t="s">
        <v>269</v>
      </c>
      <c r="D112" s="188">
        <f>E57</f>
        <v>0.09349776137827923</v>
      </c>
      <c r="E112" s="188">
        <f t="shared" si="2"/>
        <v>0.9065022386217207</v>
      </c>
      <c r="F112" s="166"/>
    </row>
    <row r="113" spans="1:6" ht="12.75">
      <c r="A113" s="223">
        <f t="shared" si="1"/>
        <v>107</v>
      </c>
      <c r="B113" s="67"/>
      <c r="C113" s="53" t="s">
        <v>270</v>
      </c>
      <c r="D113" s="188">
        <f>E60</f>
        <v>0.07203569642021299</v>
      </c>
      <c r="E113" s="188">
        <f t="shared" si="2"/>
        <v>0.927964303579787</v>
      </c>
      <c r="F113" s="166"/>
    </row>
    <row r="114" spans="1:6" ht="12.75">
      <c r="A114" s="223">
        <f t="shared" si="1"/>
        <v>108</v>
      </c>
      <c r="B114" s="67"/>
      <c r="C114" s="53" t="s">
        <v>271</v>
      </c>
      <c r="D114" s="188">
        <f>(+D112+D113)/2</f>
        <v>0.0827667288992461</v>
      </c>
      <c r="E114" s="188">
        <f t="shared" si="2"/>
        <v>0.9172332711007539</v>
      </c>
      <c r="F114" s="166"/>
    </row>
    <row r="115" spans="1:6" ht="12.75">
      <c r="A115" s="223">
        <f t="shared" si="1"/>
        <v>109</v>
      </c>
      <c r="B115" s="67"/>
      <c r="C115" s="53" t="s">
        <v>272</v>
      </c>
      <c r="D115" s="188">
        <f>E42</f>
        <v>0.13840354985164266</v>
      </c>
      <c r="E115" s="188">
        <f t="shared" si="2"/>
        <v>0.8615964501483573</v>
      </c>
      <c r="F115" s="166"/>
    </row>
    <row r="116" spans="1:7" ht="12.75">
      <c r="A116" s="223">
        <f t="shared" si="1"/>
        <v>110</v>
      </c>
      <c r="B116" s="67"/>
      <c r="C116" s="53" t="s">
        <v>273</v>
      </c>
      <c r="D116" s="358">
        <f>D115*0.8</f>
        <v>0.11072283988131414</v>
      </c>
      <c r="E116" s="358">
        <f t="shared" si="2"/>
        <v>0.8892771601186858</v>
      </c>
      <c r="F116" s="166"/>
      <c r="G116" s="47"/>
    </row>
    <row r="117" spans="1:7" ht="12.75">
      <c r="A117" s="223">
        <f t="shared" si="1"/>
        <v>111</v>
      </c>
      <c r="B117" s="67"/>
      <c r="C117" s="53" t="s">
        <v>274</v>
      </c>
      <c r="D117" s="358">
        <f>E48</f>
        <v>0.12329103138434527</v>
      </c>
      <c r="E117" s="358">
        <f t="shared" si="2"/>
        <v>0.8767089686156547</v>
      </c>
      <c r="F117" s="166"/>
      <c r="G117" s="47"/>
    </row>
    <row r="118" spans="1:7" ht="12.75">
      <c r="A118" s="223">
        <f t="shared" si="1"/>
        <v>112</v>
      </c>
      <c r="B118" s="67"/>
      <c r="C118" s="53" t="s">
        <v>28</v>
      </c>
      <c r="D118" s="359">
        <v>0.09962</v>
      </c>
      <c r="E118" s="358">
        <f>1-D118</f>
        <v>0.90038</v>
      </c>
      <c r="F118" s="166"/>
      <c r="G118" s="166"/>
    </row>
    <row r="119" spans="1:7" ht="12.75">
      <c r="A119" s="223">
        <f t="shared" si="1"/>
        <v>113</v>
      </c>
      <c r="B119" s="67"/>
      <c r="C119" s="53" t="s">
        <v>276</v>
      </c>
      <c r="D119" s="359">
        <v>0.10890095439264086</v>
      </c>
      <c r="E119" s="358">
        <f>1-D119</f>
        <v>0.8910990456073591</v>
      </c>
      <c r="F119" s="166"/>
      <c r="G119" s="47"/>
    </row>
    <row r="120" spans="1:7" ht="12.75">
      <c r="A120" s="223">
        <f t="shared" si="1"/>
        <v>114</v>
      </c>
      <c r="B120" s="67"/>
      <c r="C120" s="29" t="s">
        <v>193</v>
      </c>
      <c r="D120" s="359">
        <v>0.10465999999999998</v>
      </c>
      <c r="E120" s="358">
        <f>1-D120</f>
        <v>0.89534</v>
      </c>
      <c r="F120" s="166"/>
      <c r="G120" s="47"/>
    </row>
    <row r="121" spans="1:7" ht="12.75">
      <c r="A121" s="223">
        <f t="shared" si="1"/>
        <v>115</v>
      </c>
      <c r="B121" s="67"/>
      <c r="C121" s="45" t="s">
        <v>277</v>
      </c>
      <c r="D121" s="360">
        <v>0.3</v>
      </c>
      <c r="E121" s="358">
        <f t="shared" si="2"/>
        <v>0.7</v>
      </c>
      <c r="F121" s="166"/>
      <c r="G121" s="47"/>
    </row>
    <row r="122" spans="1:7" ht="12.75">
      <c r="A122" s="223">
        <f t="shared" si="1"/>
        <v>116</v>
      </c>
      <c r="B122" s="67"/>
      <c r="C122" s="45" t="s">
        <v>279</v>
      </c>
      <c r="D122" s="189">
        <v>0.1077</v>
      </c>
      <c r="E122" s="188">
        <f t="shared" si="2"/>
        <v>0.8923</v>
      </c>
      <c r="F122" s="166"/>
      <c r="G122" s="47"/>
    </row>
    <row r="123" spans="1:7" ht="12.75">
      <c r="A123" s="223">
        <f t="shared" si="1"/>
        <v>117</v>
      </c>
      <c r="B123" s="67"/>
      <c r="C123" s="53" t="s">
        <v>280</v>
      </c>
      <c r="D123" s="189">
        <v>1</v>
      </c>
      <c r="E123" s="188">
        <f t="shared" si="2"/>
        <v>0</v>
      </c>
      <c r="F123" s="166"/>
      <c r="G123" s="47"/>
    </row>
    <row r="124" spans="1:7" ht="12.75">
      <c r="A124" s="223">
        <f t="shared" si="1"/>
        <v>118</v>
      </c>
      <c r="B124" s="67"/>
      <c r="C124" s="53" t="s">
        <v>281</v>
      </c>
      <c r="D124" s="189">
        <v>0</v>
      </c>
      <c r="E124" s="188">
        <f t="shared" si="2"/>
        <v>1</v>
      </c>
      <c r="F124" s="166"/>
      <c r="G124" s="47"/>
    </row>
    <row r="125" spans="1:7" ht="12.75">
      <c r="A125" s="223">
        <f t="shared" si="1"/>
        <v>119</v>
      </c>
      <c r="B125" s="67"/>
      <c r="C125" s="45" t="s">
        <v>282</v>
      </c>
      <c r="D125" s="188">
        <f>+E100</f>
        <v>0.1066917656968478</v>
      </c>
      <c r="E125" s="188">
        <f t="shared" si="2"/>
        <v>0.8933082343031522</v>
      </c>
      <c r="F125" s="166"/>
      <c r="G125" s="47"/>
    </row>
    <row r="126" spans="1:7" ht="12.75">
      <c r="A126" s="223">
        <f t="shared" si="1"/>
        <v>120</v>
      </c>
      <c r="B126" s="67"/>
      <c r="C126" s="45"/>
      <c r="D126" s="190"/>
      <c r="E126" s="191"/>
      <c r="F126" s="47"/>
      <c r="G126" s="47"/>
    </row>
    <row r="127" spans="1:7" ht="12.75">
      <c r="A127" s="223">
        <f t="shared" si="1"/>
        <v>121</v>
      </c>
      <c r="B127" s="39"/>
      <c r="C127" s="69" t="s">
        <v>283</v>
      </c>
      <c r="D127" s="166">
        <f>ROUND('KSM-NCS-3 p9 Other Rev&amp;Tax'!E42,5)</f>
        <v>0.10474</v>
      </c>
      <c r="E127" s="191"/>
      <c r="F127" s="47"/>
      <c r="G127" s="47"/>
    </row>
    <row r="128" spans="1:7" ht="12.75">
      <c r="A128" s="223">
        <f t="shared" si="1"/>
        <v>122</v>
      </c>
      <c r="B128" s="39"/>
      <c r="C128" s="69" t="s">
        <v>241</v>
      </c>
      <c r="D128" s="188">
        <f>+'KSM-NCS-3 p6&amp;7 Rate Base'!Q97/'KSM-NCS-3 p6&amp;7 Rate Base'!Q51</f>
        <v>0.11542205905720926</v>
      </c>
      <c r="E128" s="191"/>
      <c r="F128" s="47"/>
      <c r="G128" s="47"/>
    </row>
  </sheetData>
  <sheetProtection/>
  <printOptions horizontalCentered="1"/>
  <pageMargins left="0.5" right="0.5" top="0.5" bottom="0.5" header="0.25" footer="0.25"/>
  <pageSetup fitToHeight="2" horizontalDpi="600" verticalDpi="600" orientation="landscape" scale="66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49" sqref="D49"/>
    </sheetView>
  </sheetViews>
  <sheetFormatPr defaultColWidth="9.140625" defaultRowHeight="15"/>
  <cols>
    <col min="1" max="1" width="4.7109375" style="0" customWidth="1"/>
    <col min="2" max="2" width="30.57421875" style="0" customWidth="1"/>
    <col min="3" max="3" width="10.421875" style="0" customWidth="1"/>
    <col min="4" max="16" width="14.28125" style="0" bestFit="1" customWidth="1"/>
    <col min="17" max="17" width="14.7109375" style="0" customWidth="1"/>
  </cols>
  <sheetData>
    <row r="1" spans="1:17" ht="15">
      <c r="A1" s="29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">
      <c r="A2" s="29" t="s">
        <v>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5">
      <c r="A3" s="56" t="s">
        <v>500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5">
      <c r="A4" s="29" t="s">
        <v>592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2:17" ht="15">
      <c r="B5" s="44"/>
      <c r="C5" s="44"/>
      <c r="D5" s="40" t="s">
        <v>507</v>
      </c>
      <c r="E5" s="40" t="s">
        <v>508</v>
      </c>
      <c r="F5" s="40" t="s">
        <v>509</v>
      </c>
      <c r="G5" s="40" t="s">
        <v>510</v>
      </c>
      <c r="H5" s="40" t="s">
        <v>511</v>
      </c>
      <c r="I5" s="40" t="s">
        <v>512</v>
      </c>
      <c r="J5" s="40" t="s">
        <v>513</v>
      </c>
      <c r="K5" s="40" t="s">
        <v>514</v>
      </c>
      <c r="L5" s="40" t="s">
        <v>515</v>
      </c>
      <c r="M5" s="40" t="s">
        <v>516</v>
      </c>
      <c r="N5" s="40" t="s">
        <v>517</v>
      </c>
      <c r="O5" s="40" t="s">
        <v>518</v>
      </c>
      <c r="P5" s="40" t="s">
        <v>507</v>
      </c>
      <c r="Q5" s="40" t="s">
        <v>519</v>
      </c>
    </row>
    <row r="6" spans="2:17" ht="15">
      <c r="B6" s="44"/>
      <c r="C6" s="44"/>
      <c r="D6" s="230" t="s">
        <v>485</v>
      </c>
      <c r="E6" s="230" t="s">
        <v>485</v>
      </c>
      <c r="F6" s="230" t="s">
        <v>485</v>
      </c>
      <c r="G6" s="230" t="s">
        <v>485</v>
      </c>
      <c r="H6" s="230" t="s">
        <v>520</v>
      </c>
      <c r="I6" s="230" t="s">
        <v>520</v>
      </c>
      <c r="J6" s="230" t="s">
        <v>520</v>
      </c>
      <c r="K6" s="230" t="s">
        <v>520</v>
      </c>
      <c r="L6" s="230" t="s">
        <v>520</v>
      </c>
      <c r="M6" s="230" t="s">
        <v>520</v>
      </c>
      <c r="N6" s="230" t="s">
        <v>520</v>
      </c>
      <c r="O6" s="230" t="s">
        <v>520</v>
      </c>
      <c r="P6" s="230" t="s">
        <v>520</v>
      </c>
      <c r="Q6" s="32" t="s">
        <v>44</v>
      </c>
    </row>
    <row r="7" spans="1:17" ht="18">
      <c r="A7" s="366">
        <v>1</v>
      </c>
      <c r="B7" s="364" t="s">
        <v>521</v>
      </c>
      <c r="C7" s="44"/>
      <c r="D7" s="231"/>
      <c r="E7" s="231"/>
      <c r="F7" s="231"/>
      <c r="G7" s="231"/>
      <c r="H7" s="231"/>
      <c r="I7" s="44"/>
      <c r="J7" s="44"/>
      <c r="K7" s="44"/>
      <c r="L7" s="44"/>
      <c r="M7" s="44"/>
      <c r="N7" s="44"/>
      <c r="O7" s="44"/>
      <c r="P7" s="44"/>
      <c r="Q7" s="44"/>
    </row>
    <row r="8" spans="1:17" ht="15">
      <c r="A8" s="366">
        <f>+A7+1</f>
        <v>2</v>
      </c>
      <c r="B8" s="2" t="s">
        <v>43</v>
      </c>
      <c r="C8" s="2"/>
      <c r="D8" s="232"/>
      <c r="E8" s="232"/>
      <c r="F8" s="232"/>
      <c r="G8" s="233"/>
      <c r="H8" s="231"/>
      <c r="I8" s="44"/>
      <c r="J8" s="44"/>
      <c r="K8" s="44"/>
      <c r="L8" s="44"/>
      <c r="M8" s="44"/>
      <c r="N8" s="44"/>
      <c r="O8" s="44"/>
      <c r="P8" s="44"/>
      <c r="Q8" s="44"/>
    </row>
    <row r="9" spans="1:17" ht="15">
      <c r="A9" s="366">
        <f aca="true" t="shared" si="0" ref="A9:A72">+A8+1</f>
        <v>3</v>
      </c>
      <c r="B9" s="234"/>
      <c r="C9" s="234"/>
      <c r="D9" s="235"/>
      <c r="E9" s="235"/>
      <c r="F9" s="235"/>
      <c r="G9" s="236"/>
      <c r="H9" s="231"/>
      <c r="I9" s="44"/>
      <c r="J9" s="44"/>
      <c r="K9" s="44"/>
      <c r="L9" s="44"/>
      <c r="M9" s="44"/>
      <c r="N9" s="44"/>
      <c r="O9" s="44"/>
      <c r="P9" s="44"/>
      <c r="Q9" s="44"/>
    </row>
    <row r="10" spans="1:17" ht="15">
      <c r="A10" s="366">
        <f t="shared" si="0"/>
        <v>4</v>
      </c>
      <c r="B10" s="234" t="s">
        <v>251</v>
      </c>
      <c r="C10" s="234" t="s">
        <v>317</v>
      </c>
      <c r="D10" s="235">
        <v>66074060.02</v>
      </c>
      <c r="E10" s="235">
        <v>66712252.34</v>
      </c>
      <c r="F10" s="235">
        <v>67027822.989999995</v>
      </c>
      <c r="G10" s="235">
        <v>67328274.37</v>
      </c>
      <c r="H10" s="235">
        <v>67854155.48</v>
      </c>
      <c r="I10" s="235">
        <v>67890614.16</v>
      </c>
      <c r="J10" s="235">
        <v>67880505.16</v>
      </c>
      <c r="K10" s="235">
        <v>67877460.46</v>
      </c>
      <c r="L10" s="235">
        <v>68855121.00999999</v>
      </c>
      <c r="M10" s="235">
        <v>69303154.39</v>
      </c>
      <c r="N10" s="235">
        <v>69367104.11</v>
      </c>
      <c r="O10" s="235">
        <v>69432948.15</v>
      </c>
      <c r="P10" s="235">
        <v>69635972.35</v>
      </c>
      <c r="Q10" s="235">
        <v>68115369.06708333</v>
      </c>
    </row>
    <row r="11" spans="1:17" ht="15">
      <c r="A11" s="366">
        <f t="shared" si="0"/>
        <v>5</v>
      </c>
      <c r="B11" s="234"/>
      <c r="C11" s="234" t="s">
        <v>318</v>
      </c>
      <c r="D11" s="235">
        <v>84795.27</v>
      </c>
      <c r="E11" s="235">
        <v>84795.27</v>
      </c>
      <c r="F11" s="235">
        <v>84795.27</v>
      </c>
      <c r="G11" s="235">
        <v>84795.27</v>
      </c>
      <c r="H11" s="235">
        <v>84795.27</v>
      </c>
      <c r="I11" s="235">
        <v>84795.27</v>
      </c>
      <c r="J11" s="235">
        <v>84795.27</v>
      </c>
      <c r="K11" s="235">
        <v>84795.27</v>
      </c>
      <c r="L11" s="235">
        <v>84795.27</v>
      </c>
      <c r="M11" s="235">
        <v>84795.27</v>
      </c>
      <c r="N11" s="235">
        <v>84795.27</v>
      </c>
      <c r="O11" s="235">
        <v>84795.27</v>
      </c>
      <c r="P11" s="235">
        <v>84795.27</v>
      </c>
      <c r="Q11" s="235">
        <v>84795.27</v>
      </c>
    </row>
    <row r="12" spans="1:17" ht="15">
      <c r="A12" s="366">
        <f t="shared" si="0"/>
        <v>6</v>
      </c>
      <c r="B12" s="234" t="s">
        <v>244</v>
      </c>
      <c r="C12" s="234"/>
      <c r="D12" s="235">
        <v>675198</v>
      </c>
      <c r="E12" s="235">
        <v>675198</v>
      </c>
      <c r="F12" s="235">
        <v>675198</v>
      </c>
      <c r="G12" s="235">
        <v>675198</v>
      </c>
      <c r="H12" s="235">
        <v>675198</v>
      </c>
      <c r="I12" s="235">
        <v>675198</v>
      </c>
      <c r="J12" s="235">
        <v>675198</v>
      </c>
      <c r="K12" s="235">
        <v>675198</v>
      </c>
      <c r="L12" s="235">
        <v>675198</v>
      </c>
      <c r="M12" s="235">
        <v>675198</v>
      </c>
      <c r="N12" s="235">
        <v>675198</v>
      </c>
      <c r="O12" s="235">
        <v>675198</v>
      </c>
      <c r="P12" s="235">
        <v>675198</v>
      </c>
      <c r="Q12" s="235">
        <v>675198</v>
      </c>
    </row>
    <row r="13" spans="1:17" ht="15">
      <c r="A13" s="366">
        <f t="shared" si="0"/>
        <v>7</v>
      </c>
      <c r="B13" s="234" t="s">
        <v>246</v>
      </c>
      <c r="C13" s="234"/>
      <c r="D13" s="235">
        <v>18498368.46</v>
      </c>
      <c r="E13" s="235">
        <v>18515359.71</v>
      </c>
      <c r="F13" s="235">
        <v>18636045.51</v>
      </c>
      <c r="G13" s="235">
        <v>18694782.560000002</v>
      </c>
      <c r="H13" s="235">
        <v>18340316.09</v>
      </c>
      <c r="I13" s="235">
        <v>18374612.95</v>
      </c>
      <c r="J13" s="235">
        <v>18398797.57</v>
      </c>
      <c r="K13" s="235">
        <v>18460969.51</v>
      </c>
      <c r="L13" s="235">
        <v>18505629.57</v>
      </c>
      <c r="M13" s="235">
        <v>18563445.66</v>
      </c>
      <c r="N13" s="235">
        <v>18612750.42</v>
      </c>
      <c r="O13" s="235">
        <v>18681986.26</v>
      </c>
      <c r="P13" s="235">
        <v>18719455.48</v>
      </c>
      <c r="Q13" s="235">
        <v>18532800.648333333</v>
      </c>
    </row>
    <row r="14" spans="1:17" ht="15">
      <c r="A14" s="366">
        <f t="shared" si="0"/>
        <v>8</v>
      </c>
      <c r="B14" s="234" t="s">
        <v>247</v>
      </c>
      <c r="C14" s="234"/>
      <c r="D14" s="235">
        <v>1456450653.6999998</v>
      </c>
      <c r="E14" s="235">
        <v>1463648798.4300003</v>
      </c>
      <c r="F14" s="235">
        <v>1467885657.88</v>
      </c>
      <c r="G14" s="235">
        <v>1480419136.8700001</v>
      </c>
      <c r="H14" s="235">
        <v>1485893759.47</v>
      </c>
      <c r="I14" s="235">
        <v>1492287825.9300003</v>
      </c>
      <c r="J14" s="235">
        <v>1497429209.4500003</v>
      </c>
      <c r="K14" s="235">
        <v>1504093919.3200002</v>
      </c>
      <c r="L14" s="235">
        <v>1509804981.1699998</v>
      </c>
      <c r="M14" s="235">
        <v>1517819135.2800002</v>
      </c>
      <c r="N14" s="235">
        <v>1524161878.8400006</v>
      </c>
      <c r="O14" s="235">
        <v>1532509474.96</v>
      </c>
      <c r="P14" s="235">
        <v>1541092809.7700005</v>
      </c>
      <c r="Q14" s="235">
        <v>1497893792.4445832</v>
      </c>
    </row>
    <row r="15" spans="1:17" ht="15">
      <c r="A15" s="366">
        <f t="shared" si="0"/>
        <v>9</v>
      </c>
      <c r="B15" s="234" t="s">
        <v>275</v>
      </c>
      <c r="C15" s="234"/>
      <c r="D15" s="235">
        <v>91446578.80999999</v>
      </c>
      <c r="E15" s="235">
        <v>91617904.26999998</v>
      </c>
      <c r="F15" s="235">
        <v>92044156.21</v>
      </c>
      <c r="G15" s="235">
        <v>92945128.86</v>
      </c>
      <c r="H15" s="235">
        <v>92900488.32</v>
      </c>
      <c r="I15" s="235">
        <v>94249196.69</v>
      </c>
      <c r="J15" s="235">
        <v>94132746.24999999</v>
      </c>
      <c r="K15" s="235">
        <v>94189413.82999997</v>
      </c>
      <c r="L15" s="235">
        <v>94451013.90999998</v>
      </c>
      <c r="M15" s="235">
        <v>94716242.1</v>
      </c>
      <c r="N15" s="235">
        <v>94913270.27</v>
      </c>
      <c r="O15" s="235">
        <v>95150112.03999999</v>
      </c>
      <c r="P15" s="235">
        <v>95073016.26</v>
      </c>
      <c r="Q15" s="235">
        <v>93714122.52374999</v>
      </c>
    </row>
    <row r="16" spans="1:17" ht="15">
      <c r="A16" s="366">
        <f t="shared" si="0"/>
        <v>10</v>
      </c>
      <c r="B16" s="234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>
        <v>0</v>
      </c>
    </row>
    <row r="17" spans="1:17" ht="15">
      <c r="A17" s="366">
        <f t="shared" si="0"/>
        <v>11</v>
      </c>
      <c r="B17" s="234" t="s">
        <v>319</v>
      </c>
      <c r="C17" s="234"/>
      <c r="D17" s="237">
        <v>266437427.32</v>
      </c>
      <c r="E17" s="237">
        <v>266432520.44</v>
      </c>
      <c r="F17" s="237">
        <v>266442876.09000003</v>
      </c>
      <c r="G17" s="237">
        <v>266505593.31</v>
      </c>
      <c r="H17" s="237">
        <v>266510462.34000003</v>
      </c>
      <c r="I17" s="237">
        <v>266512447.18</v>
      </c>
      <c r="J17" s="237">
        <v>267810123.43</v>
      </c>
      <c r="K17" s="237">
        <v>267811317.63</v>
      </c>
      <c r="L17" s="237">
        <v>267811317.63</v>
      </c>
      <c r="M17" s="237">
        <v>267811317.63</v>
      </c>
      <c r="N17" s="237">
        <v>267811317.63</v>
      </c>
      <c r="O17" s="237">
        <v>267811317.63</v>
      </c>
      <c r="P17" s="237">
        <v>267811317.63</v>
      </c>
      <c r="Q17" s="235">
        <v>267199581.95125005</v>
      </c>
    </row>
    <row r="18" spans="1:17" ht="15">
      <c r="A18" s="366">
        <f t="shared" si="0"/>
        <v>12</v>
      </c>
      <c r="B18" s="234" t="s">
        <v>522</v>
      </c>
      <c r="C18" s="234"/>
      <c r="D18" s="238">
        <v>2567634</v>
      </c>
      <c r="E18" s="238">
        <v>2567634</v>
      </c>
      <c r="F18" s="238">
        <v>2567634</v>
      </c>
      <c r="G18" s="238">
        <v>2567634</v>
      </c>
      <c r="H18" s="238">
        <v>2567634</v>
      </c>
      <c r="I18" s="238">
        <v>2567634</v>
      </c>
      <c r="J18" s="238">
        <v>2567634</v>
      </c>
      <c r="K18" s="238">
        <v>2567634</v>
      </c>
      <c r="L18" s="238">
        <v>2567634</v>
      </c>
      <c r="M18" s="238">
        <v>2567634</v>
      </c>
      <c r="N18" s="238">
        <v>2567634</v>
      </c>
      <c r="O18" s="238">
        <v>2567634</v>
      </c>
      <c r="P18" s="238">
        <v>2567634</v>
      </c>
      <c r="Q18" s="238">
        <v>2567634</v>
      </c>
    </row>
    <row r="19" spans="1:17" ht="15">
      <c r="A19" s="366">
        <f t="shared" si="0"/>
        <v>13</v>
      </c>
      <c r="B19" s="234"/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>
        <v>0</v>
      </c>
    </row>
    <row r="20" spans="1:17" ht="15.75" thickBot="1">
      <c r="A20" s="366">
        <f t="shared" si="0"/>
        <v>14</v>
      </c>
      <c r="B20" s="234" t="s">
        <v>320</v>
      </c>
      <c r="C20" s="234"/>
      <c r="D20" s="239">
        <v>1902234715.5799997</v>
      </c>
      <c r="E20" s="239">
        <v>1910254462.4600003</v>
      </c>
      <c r="F20" s="239">
        <v>1915364185.9500003</v>
      </c>
      <c r="G20" s="239">
        <v>1929220543.24</v>
      </c>
      <c r="H20" s="239">
        <v>1934826808.9699998</v>
      </c>
      <c r="I20" s="239">
        <v>1942642324.1800005</v>
      </c>
      <c r="J20" s="239">
        <v>1948979009.1300004</v>
      </c>
      <c r="K20" s="239">
        <v>1955760708.02</v>
      </c>
      <c r="L20" s="239">
        <v>1962755690.56</v>
      </c>
      <c r="M20" s="239">
        <v>1971540922.33</v>
      </c>
      <c r="N20" s="239">
        <v>1978193948.5400004</v>
      </c>
      <c r="O20" s="239">
        <v>1986913466.31</v>
      </c>
      <c r="P20" s="239">
        <v>1995660198.7600002</v>
      </c>
      <c r="Q20" s="239">
        <v>1948783293.905</v>
      </c>
    </row>
    <row r="21" spans="1:17" ht="15.75" thickTop="1">
      <c r="A21" s="366">
        <f t="shared" si="0"/>
        <v>15</v>
      </c>
      <c r="B21" s="234"/>
      <c r="C21" s="234"/>
      <c r="D21" s="235">
        <v>1902234.7155799996</v>
      </c>
      <c r="E21" s="235">
        <v>1910254.4624600003</v>
      </c>
      <c r="F21" s="235">
        <v>1915364.1859500003</v>
      </c>
      <c r="G21" s="235">
        <v>1929220.54324</v>
      </c>
      <c r="H21" s="235">
        <v>1934826.80897</v>
      </c>
      <c r="I21" s="235">
        <v>1942642.3241800005</v>
      </c>
      <c r="J21" s="235">
        <v>1948979.0091300004</v>
      </c>
      <c r="K21" s="235">
        <v>1955760.70802</v>
      </c>
      <c r="L21" s="235">
        <v>1962755.69056</v>
      </c>
      <c r="M21" s="235">
        <v>1971540.92233</v>
      </c>
      <c r="N21" s="235">
        <v>1978193.9485400005</v>
      </c>
      <c r="O21" s="235">
        <v>1986913.46631</v>
      </c>
      <c r="P21" s="235">
        <v>1995660.1987600003</v>
      </c>
      <c r="Q21" s="44"/>
    </row>
    <row r="22" spans="1:17" ht="15">
      <c r="A22" s="366">
        <f t="shared" si="0"/>
        <v>16</v>
      </c>
      <c r="B22" s="234"/>
      <c r="C22" s="234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7" ht="15">
      <c r="A23" s="366">
        <f t="shared" si="0"/>
        <v>17</v>
      </c>
      <c r="B23" s="234" t="s">
        <v>110</v>
      </c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7" ht="15">
      <c r="A24" s="366">
        <f t="shared" si="0"/>
        <v>18</v>
      </c>
      <c r="B24" s="234"/>
      <c r="C24" s="234"/>
      <c r="D24" s="235"/>
      <c r="E24" s="235"/>
      <c r="F24" s="235"/>
      <c r="G24" s="236"/>
      <c r="H24" s="231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5">
      <c r="A25" s="366">
        <f t="shared" si="0"/>
        <v>19</v>
      </c>
      <c r="B25" s="234" t="s">
        <v>251</v>
      </c>
      <c r="C25" s="234"/>
      <c r="D25" s="235">
        <v>-42674962.940000005</v>
      </c>
      <c r="E25" s="235">
        <v>-43161832.75</v>
      </c>
      <c r="F25" s="235">
        <v>-43652845.93999999</v>
      </c>
      <c r="G25" s="235">
        <v>-44146527.11000001</v>
      </c>
      <c r="H25" s="235">
        <v>-44643827.36999999</v>
      </c>
      <c r="I25" s="235">
        <v>-45143600.96</v>
      </c>
      <c r="J25" s="235">
        <v>-45643490.45</v>
      </c>
      <c r="K25" s="235">
        <v>-46143327.93000001</v>
      </c>
      <c r="L25" s="235">
        <v>-46647457.9</v>
      </c>
      <c r="M25" s="235">
        <v>-47157334.739999995</v>
      </c>
      <c r="N25" s="235">
        <v>-47668882.78</v>
      </c>
      <c r="O25" s="235">
        <v>-48181008.25000001</v>
      </c>
      <c r="P25" s="235">
        <v>-48694303.809999995</v>
      </c>
      <c r="Q25" s="235">
        <v>-45656230.79625001</v>
      </c>
    </row>
    <row r="26" spans="1:17" ht="15">
      <c r="A26" s="366">
        <f t="shared" si="0"/>
        <v>20</v>
      </c>
      <c r="B26" s="234" t="s">
        <v>244</v>
      </c>
      <c r="C26" s="234"/>
      <c r="D26" s="235">
        <v>-684627.52</v>
      </c>
      <c r="E26" s="235">
        <v>-684627.52</v>
      </c>
      <c r="F26" s="235">
        <v>-684627.52</v>
      </c>
      <c r="G26" s="235">
        <v>-684627.52</v>
      </c>
      <c r="H26" s="235">
        <v>-684627.52</v>
      </c>
      <c r="I26" s="235">
        <v>-684627.52</v>
      </c>
      <c r="J26" s="235">
        <v>-684627.52</v>
      </c>
      <c r="K26" s="235">
        <v>-684627.52</v>
      </c>
      <c r="L26" s="235">
        <v>-684627.52</v>
      </c>
      <c r="M26" s="235">
        <v>-684627.52</v>
      </c>
      <c r="N26" s="235">
        <v>-684627.52</v>
      </c>
      <c r="O26" s="235">
        <v>-684627.52</v>
      </c>
      <c r="P26" s="235">
        <v>-684627.52</v>
      </c>
      <c r="Q26" s="235">
        <v>-684627.52</v>
      </c>
    </row>
    <row r="27" spans="1:17" ht="15">
      <c r="A27" s="366">
        <f t="shared" si="0"/>
        <v>21</v>
      </c>
      <c r="B27" s="234" t="s">
        <v>246</v>
      </c>
      <c r="C27" s="234"/>
      <c r="D27" s="235">
        <v>-8583647</v>
      </c>
      <c r="E27" s="235">
        <v>-8613022.370000001</v>
      </c>
      <c r="F27" s="235">
        <v>-8642512.47</v>
      </c>
      <c r="G27" s="235">
        <v>-8672152.09</v>
      </c>
      <c r="H27" s="235">
        <v>-8701545.27</v>
      </c>
      <c r="I27" s="235">
        <v>-8730671.64</v>
      </c>
      <c r="J27" s="235">
        <v>-8759846.75</v>
      </c>
      <c r="K27" s="235">
        <v>-8789093.82</v>
      </c>
      <c r="L27" s="235">
        <v>-8818429.92</v>
      </c>
      <c r="M27" s="235">
        <v>-8847851.41</v>
      </c>
      <c r="N27" s="235">
        <v>-8877362.17</v>
      </c>
      <c r="O27" s="235">
        <v>-8906971.72</v>
      </c>
      <c r="P27" s="235">
        <v>-8936670.19</v>
      </c>
      <c r="Q27" s="235">
        <v>-8759968.185416667</v>
      </c>
    </row>
    <row r="28" spans="1:17" ht="15">
      <c r="A28" s="366">
        <f t="shared" si="0"/>
        <v>22</v>
      </c>
      <c r="B28" s="234" t="s">
        <v>247</v>
      </c>
      <c r="C28" s="234"/>
      <c r="D28" s="235">
        <v>-593466905.58</v>
      </c>
      <c r="E28" s="235">
        <v>-596819902.64</v>
      </c>
      <c r="F28" s="235">
        <v>-597921667.7499999</v>
      </c>
      <c r="G28" s="235">
        <v>-601784244.0799999</v>
      </c>
      <c r="H28" s="235">
        <v>-605806172.18</v>
      </c>
      <c r="I28" s="235">
        <v>-609246293.9200001</v>
      </c>
      <c r="J28" s="235">
        <v>-613020794.28</v>
      </c>
      <c r="K28" s="235">
        <v>-616524930.4999999</v>
      </c>
      <c r="L28" s="235">
        <v>-620133931.5299999</v>
      </c>
      <c r="M28" s="235">
        <v>-623594642.9399999</v>
      </c>
      <c r="N28" s="235">
        <v>-626984502.14</v>
      </c>
      <c r="O28" s="235">
        <v>-630791911.4499999</v>
      </c>
      <c r="P28" s="235">
        <v>-634192388.13</v>
      </c>
      <c r="Q28" s="235">
        <v>-613038220.0220832</v>
      </c>
    </row>
    <row r="29" spans="1:17" ht="15">
      <c r="A29" s="366">
        <f t="shared" si="0"/>
        <v>23</v>
      </c>
      <c r="B29" s="234" t="s">
        <v>275</v>
      </c>
      <c r="C29" s="234"/>
      <c r="D29" s="235">
        <v>-41509225.12</v>
      </c>
      <c r="E29" s="235">
        <v>-41866480.650000006</v>
      </c>
      <c r="F29" s="235">
        <v>-42242079.55</v>
      </c>
      <c r="G29" s="235">
        <v>-42521852.589999996</v>
      </c>
      <c r="H29" s="235">
        <v>-42922099.87</v>
      </c>
      <c r="I29" s="235">
        <v>-43341927.720000006</v>
      </c>
      <c r="J29" s="235">
        <v>-43677328.050000004</v>
      </c>
      <c r="K29" s="235">
        <v>-44092512.120000005</v>
      </c>
      <c r="L29" s="235">
        <v>-44306699.9</v>
      </c>
      <c r="M29" s="235">
        <v>-44653154.4</v>
      </c>
      <c r="N29" s="235">
        <v>-44926130.44000001</v>
      </c>
      <c r="O29" s="235">
        <v>-45288922.56000001</v>
      </c>
      <c r="P29" s="235">
        <v>-45463931.95</v>
      </c>
      <c r="Q29" s="235">
        <v>-43610480.53208333</v>
      </c>
    </row>
    <row r="30" spans="1:17" ht="15">
      <c r="A30" s="366">
        <f t="shared" si="0"/>
        <v>24</v>
      </c>
      <c r="B30" s="234"/>
      <c r="C30" s="234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35"/>
    </row>
    <row r="31" spans="1:17" ht="15">
      <c r="A31" s="366">
        <f t="shared" si="0"/>
        <v>25</v>
      </c>
      <c r="B31" s="234" t="s">
        <v>319</v>
      </c>
      <c r="C31" s="234"/>
      <c r="D31" s="235">
        <v>-62501870.16000001</v>
      </c>
      <c r="E31" s="235">
        <v>-62977311.01</v>
      </c>
      <c r="F31" s="235">
        <v>-63452764.76000001</v>
      </c>
      <c r="G31" s="235">
        <v>-63790133.00999999</v>
      </c>
      <c r="H31" s="235">
        <v>-64265689.12</v>
      </c>
      <c r="I31" s="235">
        <v>-64741250.91000001</v>
      </c>
      <c r="J31" s="235">
        <v>-65217823.80999997</v>
      </c>
      <c r="K31" s="235">
        <v>-65695406.55</v>
      </c>
      <c r="L31" s="235">
        <v>-66172990.47000001</v>
      </c>
      <c r="M31" s="235">
        <v>-66650574.39000001</v>
      </c>
      <c r="N31" s="235">
        <v>-67128158.31</v>
      </c>
      <c r="O31" s="235">
        <v>-67605742.23</v>
      </c>
      <c r="P31" s="235">
        <v>-68083326.15</v>
      </c>
      <c r="Q31" s="235">
        <v>-65249203.56041669</v>
      </c>
    </row>
    <row r="32" spans="1:17" ht="15">
      <c r="A32" s="366">
        <f t="shared" si="0"/>
        <v>26</v>
      </c>
      <c r="B32" s="234" t="s">
        <v>522</v>
      </c>
      <c r="C32" s="234"/>
      <c r="D32" s="238">
        <v>-2349058.73</v>
      </c>
      <c r="E32" s="238">
        <v>-2359448.78</v>
      </c>
      <c r="F32" s="238">
        <v>-2369838.83</v>
      </c>
      <c r="G32" s="238">
        <v>-2380228.88</v>
      </c>
      <c r="H32" s="238">
        <v>-2390618.93</v>
      </c>
      <c r="I32" s="238">
        <v>-2401008.98</v>
      </c>
      <c r="J32" s="238">
        <v>-2411399.03</v>
      </c>
      <c r="K32" s="238">
        <v>-2421789.08</v>
      </c>
      <c r="L32" s="238">
        <v>-2432179.13</v>
      </c>
      <c r="M32" s="238">
        <v>-2442569.18</v>
      </c>
      <c r="N32" s="238">
        <v>-2452959.23</v>
      </c>
      <c r="O32" s="238">
        <v>-2463349.28</v>
      </c>
      <c r="P32" s="238">
        <v>-2473739.33</v>
      </c>
      <c r="Q32" s="238">
        <v>-2411399.03</v>
      </c>
    </row>
    <row r="33" spans="1:17" ht="15">
      <c r="A33" s="366">
        <f t="shared" si="0"/>
        <v>27</v>
      </c>
      <c r="B33" s="234"/>
      <c r="C33" s="234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1:17" ht="15.75" thickBot="1">
      <c r="A34" s="366">
        <f t="shared" si="0"/>
        <v>28</v>
      </c>
      <c r="B34" s="234" t="s">
        <v>321</v>
      </c>
      <c r="C34" s="234"/>
      <c r="D34" s="239">
        <v>-751770297.0500001</v>
      </c>
      <c r="E34" s="239">
        <v>-756482625.7199999</v>
      </c>
      <c r="F34" s="239">
        <v>-758966336.8199998</v>
      </c>
      <c r="G34" s="239">
        <v>-763979765.28</v>
      </c>
      <c r="H34" s="239">
        <v>-769414580.2599999</v>
      </c>
      <c r="I34" s="239">
        <v>-774289381.6500001</v>
      </c>
      <c r="J34" s="239">
        <v>-779415309.8899999</v>
      </c>
      <c r="K34" s="239">
        <v>-784351687.5199999</v>
      </c>
      <c r="L34" s="239">
        <v>-789196316.3699999</v>
      </c>
      <c r="M34" s="239">
        <v>-794030754.5799998</v>
      </c>
      <c r="N34" s="239">
        <v>-798722622.5900002</v>
      </c>
      <c r="O34" s="239">
        <v>-803922533.01</v>
      </c>
      <c r="P34" s="239">
        <v>-808528987.08</v>
      </c>
      <c r="Q34" s="239">
        <v>-779410129.6462498</v>
      </c>
    </row>
    <row r="35" spans="1:17" ht="15.75" thickTop="1">
      <c r="A35" s="366">
        <f t="shared" si="0"/>
        <v>29</v>
      </c>
      <c r="B35" s="234"/>
      <c r="C35" s="234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44"/>
    </row>
    <row r="36" spans="1:17" ht="15">
      <c r="A36" s="366">
        <f t="shared" si="0"/>
        <v>30</v>
      </c>
      <c r="B36" s="2"/>
      <c r="C36" s="2"/>
      <c r="D36" s="235"/>
      <c r="E36" s="235"/>
      <c r="F36" s="235"/>
      <c r="G36" s="236"/>
      <c r="H36" s="231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15">
      <c r="A37" s="366">
        <f t="shared" si="0"/>
        <v>31</v>
      </c>
      <c r="B37" s="2" t="s">
        <v>284</v>
      </c>
      <c r="C37" s="2"/>
      <c r="D37" s="241">
        <v>12903742.910000002</v>
      </c>
      <c r="E37" s="241">
        <v>12882662.17</v>
      </c>
      <c r="F37" s="241">
        <v>12862856.280000001</v>
      </c>
      <c r="G37" s="241">
        <v>12850183.600000001</v>
      </c>
      <c r="H37" s="241">
        <v>12897212.71</v>
      </c>
      <c r="I37" s="241">
        <v>12886688.31</v>
      </c>
      <c r="J37" s="241">
        <v>14338554.640000002</v>
      </c>
      <c r="K37" s="241">
        <v>14322203.620000001</v>
      </c>
      <c r="L37" s="241">
        <v>14302303.030000001</v>
      </c>
      <c r="M37" s="241">
        <v>14290815.620000001</v>
      </c>
      <c r="N37" s="241">
        <v>14276274.720000003</v>
      </c>
      <c r="O37" s="241">
        <v>14261747.470000003</v>
      </c>
      <c r="P37" s="241">
        <v>14251710.39</v>
      </c>
      <c r="Q37" s="235">
        <v>13645769.068333335</v>
      </c>
    </row>
    <row r="38" spans="1:17" ht="15">
      <c r="A38" s="366">
        <f t="shared" si="0"/>
        <v>32</v>
      </c>
      <c r="B38" s="2" t="s">
        <v>131</v>
      </c>
      <c r="C38" s="2"/>
      <c r="D38" s="235">
        <v>-2243536.23</v>
      </c>
      <c r="E38" s="235">
        <v>-2301169.97</v>
      </c>
      <c r="F38" s="235">
        <v>-2350670</v>
      </c>
      <c r="G38" s="235">
        <v>-2345418.3</v>
      </c>
      <c r="H38" s="235">
        <v>-2350481.02</v>
      </c>
      <c r="I38" s="235">
        <v>-2360193.13</v>
      </c>
      <c r="J38" s="235">
        <v>-2359244.89</v>
      </c>
      <c r="K38" s="235">
        <v>-2405510.99</v>
      </c>
      <c r="L38" s="235">
        <v>-2456850.56</v>
      </c>
      <c r="M38" s="235">
        <v>-2432386.57</v>
      </c>
      <c r="N38" s="235">
        <v>-2464060.9</v>
      </c>
      <c r="O38" s="235">
        <v>-2401093.91</v>
      </c>
      <c r="P38" s="235">
        <v>-2333291.99</v>
      </c>
      <c r="Q38" s="235">
        <v>-2376291.1958333333</v>
      </c>
    </row>
    <row r="39" spans="1:17" ht="15">
      <c r="A39" s="366">
        <f t="shared" si="0"/>
        <v>33</v>
      </c>
      <c r="B39" s="2" t="s">
        <v>139</v>
      </c>
      <c r="C39" s="2"/>
      <c r="D39" s="235">
        <v>0</v>
      </c>
      <c r="E39" s="235">
        <v>0</v>
      </c>
      <c r="F39" s="235">
        <v>0</v>
      </c>
      <c r="G39" s="235">
        <v>0</v>
      </c>
      <c r="H39" s="235">
        <v>0</v>
      </c>
      <c r="I39" s="235">
        <v>0</v>
      </c>
      <c r="J39" s="235">
        <v>0</v>
      </c>
      <c r="K39" s="235">
        <v>0</v>
      </c>
      <c r="L39" s="235">
        <v>0</v>
      </c>
      <c r="M39" s="235">
        <v>0</v>
      </c>
      <c r="N39" s="235">
        <v>0</v>
      </c>
      <c r="O39" s="235">
        <v>0</v>
      </c>
      <c r="P39" s="235">
        <v>0</v>
      </c>
      <c r="Q39" s="235">
        <v>0</v>
      </c>
    </row>
    <row r="40" spans="1:17" ht="15">
      <c r="A40" s="366">
        <f t="shared" si="0"/>
        <v>34</v>
      </c>
      <c r="B40" s="2" t="s">
        <v>148</v>
      </c>
      <c r="C40" s="2"/>
      <c r="D40" s="235">
        <v>2528841.41</v>
      </c>
      <c r="E40" s="235">
        <v>2501633.72</v>
      </c>
      <c r="F40" s="235">
        <v>2475633.53</v>
      </c>
      <c r="G40" s="235">
        <v>2668259.58</v>
      </c>
      <c r="H40" s="235">
        <v>2642314.11</v>
      </c>
      <c r="I40" s="235">
        <v>2616026.81</v>
      </c>
      <c r="J40" s="235">
        <v>2594103.33</v>
      </c>
      <c r="K40" s="235">
        <v>2572179.85</v>
      </c>
      <c r="L40" s="235">
        <v>2553246.93</v>
      </c>
      <c r="M40" s="235">
        <v>2534313.98</v>
      </c>
      <c r="N40" s="235">
        <v>2522954.03</v>
      </c>
      <c r="O40" s="235">
        <v>2503964.98</v>
      </c>
      <c r="P40" s="235">
        <v>2512495.03</v>
      </c>
      <c r="Q40" s="235">
        <v>2558774.9225</v>
      </c>
    </row>
    <row r="41" spans="1:17" ht="15">
      <c r="A41" s="366">
        <f t="shared" si="0"/>
        <v>35</v>
      </c>
      <c r="B41" s="2"/>
      <c r="C41" s="2"/>
      <c r="D41" s="235"/>
      <c r="E41" s="235"/>
      <c r="F41" s="235"/>
      <c r="G41" s="236"/>
      <c r="H41" s="231"/>
      <c r="I41" s="44"/>
      <c r="J41" s="44"/>
      <c r="K41" s="44"/>
      <c r="L41" s="44"/>
      <c r="M41" s="44"/>
      <c r="N41" s="44"/>
      <c r="O41" s="44"/>
      <c r="P41" s="44"/>
      <c r="Q41" s="44"/>
    </row>
    <row r="42" spans="1:18" ht="15">
      <c r="A42" s="366">
        <f t="shared" si="0"/>
        <v>36</v>
      </c>
      <c r="B42" s="2" t="s">
        <v>151</v>
      </c>
      <c r="C42" s="2"/>
      <c r="D42" s="235"/>
      <c r="E42" s="235"/>
      <c r="F42" s="235"/>
      <c r="G42" s="236"/>
      <c r="H42" s="231"/>
      <c r="I42" s="44"/>
      <c r="J42" s="44"/>
      <c r="K42" s="44"/>
      <c r="L42" s="44"/>
      <c r="M42" s="44"/>
      <c r="N42" s="44"/>
      <c r="O42" s="44"/>
      <c r="P42" s="44"/>
      <c r="Q42" s="44"/>
      <c r="R42" s="378"/>
    </row>
    <row r="43" spans="1:17" ht="15">
      <c r="A43" s="366">
        <f t="shared" si="0"/>
        <v>37</v>
      </c>
      <c r="B43" s="2"/>
      <c r="C43" s="2" t="s">
        <v>152</v>
      </c>
      <c r="D43" s="235">
        <v>-23105874.7</v>
      </c>
      <c r="E43" s="235">
        <v>-23099364.7</v>
      </c>
      <c r="F43" s="235">
        <v>-23043347.7</v>
      </c>
      <c r="G43" s="235">
        <v>-22962360.7</v>
      </c>
      <c r="H43" s="235">
        <v>-22912039.7</v>
      </c>
      <c r="I43" s="235">
        <v>-22881183.7</v>
      </c>
      <c r="J43" s="235">
        <v>-23011007.7</v>
      </c>
      <c r="K43" s="235">
        <v>-23014584.7</v>
      </c>
      <c r="L43" s="235">
        <v>-23014724.7</v>
      </c>
      <c r="M43" s="235">
        <v>-23345467.7</v>
      </c>
      <c r="N43" s="235">
        <v>-23309935.7</v>
      </c>
      <c r="O43" s="235">
        <v>-23277575.7</v>
      </c>
      <c r="P43" s="235">
        <v>-24195210.7</v>
      </c>
      <c r="Q43" s="235">
        <v>-23126844.61666666</v>
      </c>
    </row>
    <row r="44" spans="1:17" ht="15">
      <c r="A44" s="366">
        <f t="shared" si="0"/>
        <v>38</v>
      </c>
      <c r="B44" s="2"/>
      <c r="C44" s="2" t="s">
        <v>156</v>
      </c>
      <c r="D44" s="235">
        <v>-124441067</v>
      </c>
      <c r="E44" s="235">
        <v>-124406045</v>
      </c>
      <c r="F44" s="235">
        <v>-124104697</v>
      </c>
      <c r="G44" s="235">
        <v>-123621038</v>
      </c>
      <c r="H44" s="235">
        <v>-123349778</v>
      </c>
      <c r="I44" s="235">
        <v>-123183449</v>
      </c>
      <c r="J44" s="235">
        <v>-123883276</v>
      </c>
      <c r="K44" s="235">
        <v>-123902563</v>
      </c>
      <c r="L44" s="235">
        <v>-123903321</v>
      </c>
      <c r="M44" s="235">
        <v>-125686208</v>
      </c>
      <c r="N44" s="235">
        <v>-125494675</v>
      </c>
      <c r="O44" s="235">
        <v>-125320239</v>
      </c>
      <c r="P44" s="235">
        <v>-130143595</v>
      </c>
      <c r="Q44" s="235">
        <v>-124512301.66666667</v>
      </c>
    </row>
    <row r="45" spans="1:17" ht="15">
      <c r="A45" s="366">
        <f t="shared" si="0"/>
        <v>39</v>
      </c>
      <c r="B45" s="2"/>
      <c r="C45" s="2"/>
      <c r="D45" s="235"/>
      <c r="E45" s="235"/>
      <c r="F45" s="235"/>
      <c r="G45" s="242"/>
      <c r="H45" s="231"/>
      <c r="I45" s="44"/>
      <c r="J45" s="44"/>
      <c r="K45" s="44"/>
      <c r="L45" s="44"/>
      <c r="M45" s="44"/>
      <c r="N45" s="44"/>
      <c r="O45" s="44"/>
      <c r="P45" s="44"/>
      <c r="Q45" s="44"/>
    </row>
    <row r="46" spans="1:17" ht="15.75" thickBot="1">
      <c r="A46" s="366">
        <f t="shared" si="0"/>
        <v>40</v>
      </c>
      <c r="B46" s="1" t="s">
        <v>523</v>
      </c>
      <c r="C46" s="2"/>
      <c r="D46" s="6">
        <v>1016106524.9199997</v>
      </c>
      <c r="E46" s="6">
        <v>1019349552.9600003</v>
      </c>
      <c r="F46" s="6">
        <v>1022237624.2400006</v>
      </c>
      <c r="G46" s="6">
        <v>1031830404.1400001</v>
      </c>
      <c r="H46" s="6">
        <v>1032339456.8100001</v>
      </c>
      <c r="I46" s="6">
        <v>1035430831.8200004</v>
      </c>
      <c r="J46" s="6">
        <v>1037242828.6200005</v>
      </c>
      <c r="K46" s="6">
        <v>1038980745.28</v>
      </c>
      <c r="L46" s="6">
        <v>1041040027.8900001</v>
      </c>
      <c r="M46" s="6">
        <v>1042871235.08</v>
      </c>
      <c r="N46" s="6">
        <v>1045001883.1000003</v>
      </c>
      <c r="O46" s="6">
        <v>1048757737.14</v>
      </c>
      <c r="P46" s="6">
        <v>1047223319.4100003</v>
      </c>
      <c r="Q46" s="6">
        <v>1035562270.7704169</v>
      </c>
    </row>
    <row r="47" spans="1:17" ht="15.75" thickTop="1">
      <c r="A47" s="366">
        <f t="shared" si="0"/>
        <v>41</v>
      </c>
      <c r="B47" s="44"/>
      <c r="C47" s="44"/>
      <c r="D47" s="231"/>
      <c r="E47" s="231"/>
      <c r="F47" s="231"/>
      <c r="G47" s="231"/>
      <c r="H47" s="231"/>
      <c r="I47" s="44"/>
      <c r="J47" s="44"/>
      <c r="K47" s="44"/>
      <c r="L47" s="44"/>
      <c r="M47" s="44"/>
      <c r="N47" s="44"/>
      <c r="O47" s="44"/>
      <c r="P47" s="44"/>
      <c r="Q47" s="44"/>
    </row>
    <row r="48" spans="1:17" ht="15">
      <c r="A48" s="366">
        <f t="shared" si="0"/>
        <v>42</v>
      </c>
      <c r="B48" s="29" t="s">
        <v>168</v>
      </c>
      <c r="C48" s="44"/>
      <c r="D48" s="231"/>
      <c r="E48" s="231"/>
      <c r="F48" s="231"/>
      <c r="G48" s="231"/>
      <c r="H48" s="231"/>
      <c r="I48" s="44"/>
      <c r="J48" s="44"/>
      <c r="K48" s="44"/>
      <c r="L48" s="44"/>
      <c r="M48" s="44"/>
      <c r="N48" s="44"/>
      <c r="O48" s="48"/>
      <c r="P48" s="34"/>
      <c r="Q48" s="34">
        <v>1035562270.7704169</v>
      </c>
    </row>
    <row r="49" spans="1:17" ht="15">
      <c r="A49" s="366">
        <f t="shared" si="0"/>
        <v>43</v>
      </c>
      <c r="B49" s="53" t="s">
        <v>171</v>
      </c>
      <c r="C49" s="44"/>
      <c r="D49" s="231"/>
      <c r="E49" s="231"/>
      <c r="F49" s="231"/>
      <c r="G49" s="231"/>
      <c r="H49" s="231"/>
      <c r="I49" s="44"/>
      <c r="J49" s="44"/>
      <c r="K49" s="44"/>
      <c r="L49" s="44"/>
      <c r="M49" s="44"/>
      <c r="N49" s="44"/>
      <c r="O49" s="48"/>
      <c r="P49" s="34"/>
      <c r="Q49" s="34">
        <v>147639146.28333333</v>
      </c>
    </row>
    <row r="50" spans="1:17" ht="15">
      <c r="A50" s="366">
        <f t="shared" si="0"/>
        <v>44</v>
      </c>
      <c r="B50" s="28" t="s">
        <v>175</v>
      </c>
      <c r="C50" s="44"/>
      <c r="D50" s="231"/>
      <c r="E50" s="231"/>
      <c r="F50" s="231"/>
      <c r="G50" s="231"/>
      <c r="H50" s="231"/>
      <c r="I50" s="44"/>
      <c r="J50" s="44"/>
      <c r="K50" s="44"/>
      <c r="L50" s="44"/>
      <c r="M50" s="44"/>
      <c r="N50" s="44"/>
      <c r="O50" s="15"/>
      <c r="P50" s="174"/>
      <c r="Q50" s="174">
        <v>-154338805.7</v>
      </c>
    </row>
    <row r="51" spans="1:17" ht="15.75" thickBot="1">
      <c r="A51" s="366">
        <f t="shared" si="0"/>
        <v>45</v>
      </c>
      <c r="B51" s="56" t="s">
        <v>524</v>
      </c>
      <c r="C51" s="44"/>
      <c r="D51" s="231"/>
      <c r="E51" s="231"/>
      <c r="F51" s="231"/>
      <c r="G51" s="231"/>
      <c r="H51" s="231"/>
      <c r="I51" s="44"/>
      <c r="J51" s="44"/>
      <c r="K51" s="44"/>
      <c r="L51" s="44"/>
      <c r="M51" s="44"/>
      <c r="N51" s="44"/>
      <c r="O51" s="48"/>
      <c r="P51" s="112"/>
      <c r="Q51" s="248">
        <v>1028862611.3537502</v>
      </c>
    </row>
    <row r="52" spans="1:17" ht="15.75" thickTop="1">
      <c r="A52" s="366">
        <f t="shared" si="0"/>
        <v>46</v>
      </c>
      <c r="B52" s="44"/>
      <c r="C52" s="44"/>
      <c r="D52" s="231"/>
      <c r="E52" s="231"/>
      <c r="F52" s="231"/>
      <c r="G52" s="231"/>
      <c r="H52" s="231"/>
      <c r="I52" s="44"/>
      <c r="J52" s="44"/>
      <c r="K52" s="44"/>
      <c r="L52" s="44"/>
      <c r="M52" s="44"/>
      <c r="N52" s="44"/>
      <c r="O52" s="44"/>
      <c r="P52" s="243"/>
      <c r="Q52" s="44"/>
    </row>
    <row r="53" spans="1:17" ht="18">
      <c r="A53" s="366">
        <f t="shared" si="0"/>
        <v>47</v>
      </c>
      <c r="B53" s="364" t="s">
        <v>525</v>
      </c>
      <c r="C53" s="44"/>
      <c r="D53" s="231"/>
      <c r="E53" s="231"/>
      <c r="F53" s="231"/>
      <c r="G53" s="231"/>
      <c r="H53" s="231"/>
      <c r="I53" s="44"/>
      <c r="J53" s="44"/>
      <c r="K53" s="44"/>
      <c r="L53" s="44"/>
      <c r="M53" s="44"/>
      <c r="N53" s="44"/>
      <c r="O53" s="44"/>
      <c r="P53" s="44"/>
      <c r="Q53" s="44"/>
    </row>
    <row r="54" spans="1:17" ht="15">
      <c r="A54" s="366">
        <f t="shared" si="0"/>
        <v>48</v>
      </c>
      <c r="B54" s="2" t="s">
        <v>43</v>
      </c>
      <c r="C54" s="2"/>
      <c r="D54" s="232"/>
      <c r="E54" s="232"/>
      <c r="F54" s="232"/>
      <c r="G54" s="233"/>
      <c r="H54" s="231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5">
      <c r="A55" s="366">
        <f t="shared" si="0"/>
        <v>49</v>
      </c>
      <c r="B55" s="2"/>
      <c r="C55" s="2"/>
      <c r="D55" s="235"/>
      <c r="E55" s="235"/>
      <c r="F55" s="235"/>
      <c r="G55" s="236"/>
      <c r="H55" s="231"/>
      <c r="I55" s="44"/>
      <c r="J55" s="44"/>
      <c r="K55" s="44"/>
      <c r="L55" s="44"/>
      <c r="M55" s="44"/>
      <c r="N55" s="44"/>
      <c r="O55" s="44"/>
      <c r="P55" s="44"/>
      <c r="Q55" s="44"/>
    </row>
    <row r="56" spans="1:17" ht="15">
      <c r="A56" s="366">
        <f t="shared" si="0"/>
        <v>50</v>
      </c>
      <c r="B56" s="234" t="s">
        <v>251</v>
      </c>
      <c r="C56" s="234" t="s">
        <v>317</v>
      </c>
      <c r="D56" s="235">
        <v>6663554.850393854</v>
      </c>
      <c r="E56" s="235">
        <v>6727916.409652248</v>
      </c>
      <c r="F56" s="235">
        <v>6759741.64235042</v>
      </c>
      <c r="G56" s="235">
        <v>6790042.099896096</v>
      </c>
      <c r="H56" s="235">
        <v>6843077.097597316</v>
      </c>
      <c r="I56" s="235">
        <v>6846753.947693698</v>
      </c>
      <c r="J56" s="235">
        <v>6845734.457201332</v>
      </c>
      <c r="K56" s="235">
        <v>6845427.39985618</v>
      </c>
      <c r="L56" s="235">
        <v>6944024.257655129</v>
      </c>
      <c r="M56" s="235">
        <v>6989208.328401409</v>
      </c>
      <c r="N56" s="235">
        <v>6995657.644014195</v>
      </c>
      <c r="O56" s="235">
        <v>7002298.001394667</v>
      </c>
      <c r="P56" s="235">
        <v>7022772.948631868</v>
      </c>
      <c r="Q56" s="235">
        <v>6869420.432102129</v>
      </c>
    </row>
    <row r="57" spans="1:17" ht="15">
      <c r="A57" s="366">
        <f t="shared" si="0"/>
        <v>51</v>
      </c>
      <c r="B57" s="234"/>
      <c r="C57" s="234" t="s">
        <v>318</v>
      </c>
      <c r="D57" s="235">
        <v>447</v>
      </c>
      <c r="E57" s="235">
        <v>447</v>
      </c>
      <c r="F57" s="235">
        <v>447</v>
      </c>
      <c r="G57" s="235">
        <v>447</v>
      </c>
      <c r="H57" s="235">
        <v>447</v>
      </c>
      <c r="I57" s="235">
        <v>447</v>
      </c>
      <c r="J57" s="235">
        <v>447</v>
      </c>
      <c r="K57" s="235">
        <v>447</v>
      </c>
      <c r="L57" s="235">
        <v>447</v>
      </c>
      <c r="M57" s="235">
        <v>447</v>
      </c>
      <c r="N57" s="235">
        <v>447</v>
      </c>
      <c r="O57" s="235">
        <v>447</v>
      </c>
      <c r="P57" s="235">
        <v>447</v>
      </c>
      <c r="Q57" s="235">
        <v>447</v>
      </c>
    </row>
    <row r="58" spans="1:17" ht="15">
      <c r="A58" s="366">
        <f t="shared" si="0"/>
        <v>52</v>
      </c>
      <c r="B58" s="234" t="s">
        <v>244</v>
      </c>
      <c r="C58" s="234"/>
      <c r="D58" s="235">
        <v>0</v>
      </c>
      <c r="E58" s="235">
        <v>0</v>
      </c>
      <c r="F58" s="235">
        <v>0</v>
      </c>
      <c r="G58" s="235">
        <v>0</v>
      </c>
      <c r="H58" s="235">
        <v>0</v>
      </c>
      <c r="I58" s="235">
        <v>0</v>
      </c>
      <c r="J58" s="235">
        <v>0</v>
      </c>
      <c r="K58" s="235">
        <v>0</v>
      </c>
      <c r="L58" s="235">
        <v>0</v>
      </c>
      <c r="M58" s="235">
        <v>0</v>
      </c>
      <c r="N58" s="235">
        <v>0</v>
      </c>
      <c r="O58" s="235">
        <v>0</v>
      </c>
      <c r="P58" s="235">
        <v>0</v>
      </c>
      <c r="Q58" s="235">
        <v>0</v>
      </c>
    </row>
    <row r="59" spans="1:17" ht="15">
      <c r="A59" s="366">
        <f t="shared" si="0"/>
        <v>53</v>
      </c>
      <c r="B59" s="234" t="s">
        <v>246</v>
      </c>
      <c r="C59" s="234"/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0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</row>
    <row r="60" spans="1:17" ht="15">
      <c r="A60" s="366">
        <f t="shared" si="0"/>
        <v>54</v>
      </c>
      <c r="B60" s="234" t="s">
        <v>247</v>
      </c>
      <c r="C60" s="234"/>
      <c r="D60" s="235">
        <v>153947820.48999998</v>
      </c>
      <c r="E60" s="235">
        <v>154224839.19</v>
      </c>
      <c r="F60" s="235">
        <v>154770882.04999998</v>
      </c>
      <c r="G60" s="235">
        <v>162187545.84999996</v>
      </c>
      <c r="H60" s="235">
        <v>162379035.03999996</v>
      </c>
      <c r="I60" s="235">
        <v>162852602.55</v>
      </c>
      <c r="J60" s="235">
        <v>163174051.94</v>
      </c>
      <c r="K60" s="235">
        <v>164044055.77000004</v>
      </c>
      <c r="L60" s="235">
        <v>164795658.35</v>
      </c>
      <c r="M60" s="235">
        <v>167595587.39999998</v>
      </c>
      <c r="N60" s="235">
        <v>168242208.91000003</v>
      </c>
      <c r="O60" s="235">
        <v>169019067.53000003</v>
      </c>
      <c r="P60" s="235">
        <v>169997495.78000003</v>
      </c>
      <c r="Q60" s="235">
        <v>162938182.72625</v>
      </c>
    </row>
    <row r="61" spans="1:17" ht="15">
      <c r="A61" s="366">
        <f t="shared" si="0"/>
        <v>55</v>
      </c>
      <c r="B61" s="234" t="s">
        <v>275</v>
      </c>
      <c r="C61" s="234"/>
      <c r="D61" s="235">
        <v>7638527.2482316345</v>
      </c>
      <c r="E61" s="235">
        <v>7654884.763597146</v>
      </c>
      <c r="F61" s="235">
        <v>7695307.650603354</v>
      </c>
      <c r="G61" s="235">
        <v>7795977.555946052</v>
      </c>
      <c r="H61" s="235">
        <v>7790384.281639844</v>
      </c>
      <c r="I61" s="235">
        <v>7846610.6983245015</v>
      </c>
      <c r="J61" s="235">
        <v>7835078.456542313</v>
      </c>
      <c r="K61" s="235">
        <v>7840694.9986089915</v>
      </c>
      <c r="L61" s="235">
        <v>7866623.189895198</v>
      </c>
      <c r="M61" s="235">
        <v>7891562.492337912</v>
      </c>
      <c r="N61" s="235">
        <v>7911113.471299738</v>
      </c>
      <c r="O61" s="235">
        <v>7930641.371579677</v>
      </c>
      <c r="P61" s="235">
        <v>7922406.7955690175</v>
      </c>
      <c r="Q61" s="235">
        <v>7819945.49602292</v>
      </c>
    </row>
    <row r="62" spans="1:17" ht="15">
      <c r="A62" s="366">
        <f t="shared" si="0"/>
        <v>56</v>
      </c>
      <c r="B62" s="234"/>
      <c r="C62" s="234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1:17" ht="15">
      <c r="A63" s="366">
        <f t="shared" si="0"/>
        <v>57</v>
      </c>
      <c r="B63" s="234" t="s">
        <v>319</v>
      </c>
      <c r="C63" s="234"/>
      <c r="D63" s="235">
        <v>22201104.13559264</v>
      </c>
      <c r="E63" s="235">
        <v>22200637.465979666</v>
      </c>
      <c r="F63" s="235">
        <v>22201622.341741353</v>
      </c>
      <c r="G63" s="235">
        <v>22207587.073054165</v>
      </c>
      <c r="H63" s="235">
        <v>22208050.142936796</v>
      </c>
      <c r="I63" s="235">
        <v>22208238.91146478</v>
      </c>
      <c r="J63" s="235">
        <v>22331654.62029642</v>
      </c>
      <c r="K63" s="235">
        <v>22331768.19487983</v>
      </c>
      <c r="L63" s="235">
        <v>22331768.19487983</v>
      </c>
      <c r="M63" s="235">
        <v>22331768.19487983</v>
      </c>
      <c r="N63" s="235">
        <v>22331768.19487983</v>
      </c>
      <c r="O63" s="235">
        <v>22331768.19487983</v>
      </c>
      <c r="P63" s="235">
        <v>22331768.19487983</v>
      </c>
      <c r="Q63" s="235">
        <v>22273588.97459238</v>
      </c>
    </row>
    <row r="64" spans="1:17" ht="15">
      <c r="A64" s="366">
        <f t="shared" si="0"/>
        <v>58</v>
      </c>
      <c r="B64" s="234" t="s">
        <v>522</v>
      </c>
      <c r="C64" s="234"/>
      <c r="D64" s="238">
        <v>254488.09306539083</v>
      </c>
      <c r="E64" s="238">
        <v>254488.09306539083</v>
      </c>
      <c r="F64" s="238">
        <v>254488.09306539083</v>
      </c>
      <c r="G64" s="238">
        <v>254488.09306539083</v>
      </c>
      <c r="H64" s="238">
        <v>254488.09306539083</v>
      </c>
      <c r="I64" s="238">
        <v>254488.09306539083</v>
      </c>
      <c r="J64" s="238">
        <v>254488.09306539083</v>
      </c>
      <c r="K64" s="238">
        <v>254488.09306539083</v>
      </c>
      <c r="L64" s="238">
        <v>254488.09306539083</v>
      </c>
      <c r="M64" s="238">
        <v>254488.09306539083</v>
      </c>
      <c r="N64" s="238">
        <v>254488.09306539083</v>
      </c>
      <c r="O64" s="238">
        <v>254488.09306539083</v>
      </c>
      <c r="P64" s="238">
        <v>254488.09306539083</v>
      </c>
      <c r="Q64" s="238">
        <v>254488.09306539083</v>
      </c>
    </row>
    <row r="65" spans="1:17" ht="15">
      <c r="A65" s="366">
        <f t="shared" si="0"/>
        <v>59</v>
      </c>
      <c r="B65" s="234"/>
      <c r="C65" s="234"/>
      <c r="D65" s="235"/>
      <c r="E65" s="235"/>
      <c r="F65" s="235"/>
      <c r="G65" s="236"/>
      <c r="H65" s="231"/>
      <c r="I65" s="44"/>
      <c r="J65" s="44"/>
      <c r="K65" s="44"/>
      <c r="L65" s="44"/>
      <c r="M65" s="44"/>
      <c r="N65" s="44"/>
      <c r="O65" s="44"/>
      <c r="P65" s="44"/>
      <c r="Q65" s="235"/>
    </row>
    <row r="66" spans="1:17" ht="15.75" thickBot="1">
      <c r="A66" s="366">
        <f t="shared" si="0"/>
        <v>60</v>
      </c>
      <c r="B66" s="234" t="s">
        <v>320</v>
      </c>
      <c r="C66" s="234"/>
      <c r="D66" s="239">
        <v>190705941.8172835</v>
      </c>
      <c r="E66" s="239">
        <v>191063212.9222944</v>
      </c>
      <c r="F66" s="239">
        <v>191682488.77776048</v>
      </c>
      <c r="G66" s="239">
        <v>199236087.67196167</v>
      </c>
      <c r="H66" s="239">
        <v>199475481.65523928</v>
      </c>
      <c r="I66" s="239">
        <v>200009141.20054838</v>
      </c>
      <c r="J66" s="239">
        <v>200441454.56710544</v>
      </c>
      <c r="K66" s="239">
        <v>201316881.4564104</v>
      </c>
      <c r="L66" s="239">
        <v>202193009.08549553</v>
      </c>
      <c r="M66" s="239">
        <v>205063061.50868452</v>
      </c>
      <c r="N66" s="239">
        <v>205735683.31325915</v>
      </c>
      <c r="O66" s="239">
        <v>206538710.19091958</v>
      </c>
      <c r="P66" s="239">
        <v>207529378.81214613</v>
      </c>
      <c r="Q66" s="239">
        <v>200156072.72203282</v>
      </c>
    </row>
    <row r="67" spans="1:17" ht="15.75" thickTop="1">
      <c r="A67" s="366">
        <f t="shared" si="0"/>
        <v>61</v>
      </c>
      <c r="B67" s="234"/>
      <c r="C67" s="234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44"/>
    </row>
    <row r="68" spans="1:17" ht="15">
      <c r="A68" s="366">
        <f t="shared" si="0"/>
        <v>62</v>
      </c>
      <c r="B68" s="234"/>
      <c r="C68" s="234"/>
      <c r="D68" s="235"/>
      <c r="E68" s="235"/>
      <c r="F68" s="235"/>
      <c r="G68" s="236"/>
      <c r="H68" s="231"/>
      <c r="I68" s="44"/>
      <c r="J68" s="44"/>
      <c r="K68" s="44"/>
      <c r="L68" s="44"/>
      <c r="M68" s="44"/>
      <c r="N68" s="44"/>
      <c r="O68" s="44"/>
      <c r="P68" s="44"/>
      <c r="Q68" s="235"/>
    </row>
    <row r="69" spans="1:17" ht="15">
      <c r="A69" s="366">
        <f t="shared" si="0"/>
        <v>63</v>
      </c>
      <c r="B69" s="234" t="s">
        <v>110</v>
      </c>
      <c r="C69" s="234"/>
      <c r="D69" s="235"/>
      <c r="E69" s="235"/>
      <c r="F69" s="235"/>
      <c r="G69" s="236"/>
      <c r="H69" s="231"/>
      <c r="I69" s="44"/>
      <c r="J69" s="44"/>
      <c r="K69" s="44"/>
      <c r="L69" s="44"/>
      <c r="M69" s="44"/>
      <c r="N69" s="44"/>
      <c r="O69" s="44"/>
      <c r="P69" s="44"/>
      <c r="Q69" s="235"/>
    </row>
    <row r="70" spans="1:17" ht="15">
      <c r="A70" s="366">
        <f t="shared" si="0"/>
        <v>64</v>
      </c>
      <c r="B70" s="234"/>
      <c r="C70" s="234"/>
      <c r="D70" s="235"/>
      <c r="E70" s="235"/>
      <c r="F70" s="235"/>
      <c r="G70" s="236"/>
      <c r="H70" s="231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5">
      <c r="A71" s="366">
        <f t="shared" si="0"/>
        <v>65</v>
      </c>
      <c r="B71" s="234" t="s">
        <v>251</v>
      </c>
      <c r="C71" s="234"/>
      <c r="D71" s="235">
        <v>-4303760.904099725</v>
      </c>
      <c r="E71" s="235">
        <v>-4352861.620522387</v>
      </c>
      <c r="F71" s="235">
        <v>-4402380.1959337</v>
      </c>
      <c r="G71" s="235">
        <v>-4452167.8365585655</v>
      </c>
      <c r="H71" s="235">
        <v>-4502320.461637482</v>
      </c>
      <c r="I71" s="235">
        <v>-4552722.521519005</v>
      </c>
      <c r="J71" s="235">
        <v>-4603136.269890793</v>
      </c>
      <c r="K71" s="235">
        <v>-4653544.773065172</v>
      </c>
      <c r="L71" s="235">
        <v>-4704386.172939882</v>
      </c>
      <c r="M71" s="235">
        <v>-4755807.143427499</v>
      </c>
      <c r="N71" s="235">
        <v>-4807396.654078424</v>
      </c>
      <c r="O71" s="235">
        <v>-4859044.3984216</v>
      </c>
      <c r="P71" s="235">
        <v>-4910810.146091536</v>
      </c>
      <c r="Q71" s="235">
        <v>-4604421.131090845</v>
      </c>
    </row>
    <row r="72" spans="1:17" ht="15">
      <c r="A72" s="366">
        <f t="shared" si="0"/>
        <v>66</v>
      </c>
      <c r="B72" s="234" t="s">
        <v>244</v>
      </c>
      <c r="C72" s="234"/>
      <c r="D72" s="235">
        <v>0</v>
      </c>
      <c r="E72" s="235">
        <v>0</v>
      </c>
      <c r="F72" s="235">
        <v>0</v>
      </c>
      <c r="G72" s="235">
        <v>0</v>
      </c>
      <c r="H72" s="235">
        <v>0</v>
      </c>
      <c r="I72" s="235">
        <v>0</v>
      </c>
      <c r="J72" s="235">
        <v>0</v>
      </c>
      <c r="K72" s="235">
        <v>0</v>
      </c>
      <c r="L72" s="235">
        <v>0</v>
      </c>
      <c r="M72" s="235">
        <v>0</v>
      </c>
      <c r="N72" s="235">
        <v>0</v>
      </c>
      <c r="O72" s="235">
        <v>0</v>
      </c>
      <c r="P72" s="235">
        <v>0</v>
      </c>
      <c r="Q72" s="235">
        <v>0</v>
      </c>
    </row>
    <row r="73" spans="1:17" ht="15">
      <c r="A73" s="366">
        <f aca="true" t="shared" si="1" ref="A73:A97">+A72+1</f>
        <v>67</v>
      </c>
      <c r="B73" s="234" t="s">
        <v>246</v>
      </c>
      <c r="C73" s="234"/>
      <c r="D73" s="235">
        <v>0</v>
      </c>
      <c r="E73" s="235">
        <v>0</v>
      </c>
      <c r="F73" s="235">
        <v>0</v>
      </c>
      <c r="G73" s="235">
        <v>0</v>
      </c>
      <c r="H73" s="235">
        <v>0</v>
      </c>
      <c r="I73" s="235">
        <v>0</v>
      </c>
      <c r="J73" s="235">
        <v>0</v>
      </c>
      <c r="K73" s="235">
        <v>0</v>
      </c>
      <c r="L73" s="235">
        <v>0</v>
      </c>
      <c r="M73" s="235">
        <v>0</v>
      </c>
      <c r="N73" s="235">
        <v>0</v>
      </c>
      <c r="O73" s="235">
        <v>0</v>
      </c>
      <c r="P73" s="235">
        <v>0</v>
      </c>
      <c r="Q73" s="235">
        <v>0</v>
      </c>
    </row>
    <row r="74" spans="1:17" ht="15">
      <c r="A74" s="366">
        <f t="shared" si="1"/>
        <v>68</v>
      </c>
      <c r="B74" s="234" t="s">
        <v>247</v>
      </c>
      <c r="C74" s="234"/>
      <c r="D74" s="235">
        <v>-50714159.62</v>
      </c>
      <c r="E74" s="235">
        <v>-51091046.39000001</v>
      </c>
      <c r="F74" s="235">
        <v>-51425431.04</v>
      </c>
      <c r="G74" s="235">
        <v>-51988500.23</v>
      </c>
      <c r="H74" s="235">
        <v>-52451456.18999999</v>
      </c>
      <c r="I74" s="235">
        <v>-52880859.79</v>
      </c>
      <c r="J74" s="235">
        <v>-53317935.12</v>
      </c>
      <c r="K74" s="235">
        <v>-53701087.279999994</v>
      </c>
      <c r="L74" s="235">
        <v>-54015727.65</v>
      </c>
      <c r="M74" s="235">
        <v>-54358714.92000001</v>
      </c>
      <c r="N74" s="235">
        <v>-54754023.93</v>
      </c>
      <c r="O74" s="235">
        <v>-55231604.89</v>
      </c>
      <c r="P74" s="235">
        <v>-55623078.260000005</v>
      </c>
      <c r="Q74" s="235">
        <v>-53198750.53083333</v>
      </c>
    </row>
    <row r="75" spans="1:17" ht="15">
      <c r="A75" s="366">
        <f t="shared" si="1"/>
        <v>69</v>
      </c>
      <c r="B75" s="234" t="s">
        <v>275</v>
      </c>
      <c r="C75" s="234"/>
      <c r="D75" s="235">
        <v>-3695008.976614997</v>
      </c>
      <c r="E75" s="235">
        <v>-3728082.8244754</v>
      </c>
      <c r="F75" s="235">
        <v>-3762972.591789998</v>
      </c>
      <c r="G75" s="235">
        <v>-3779414.672485143</v>
      </c>
      <c r="H75" s="235">
        <v>-3816757.7708030865</v>
      </c>
      <c r="I75" s="235">
        <v>-3855971.522316791</v>
      </c>
      <c r="J75" s="235">
        <v>-3886749.539351523</v>
      </c>
      <c r="K75" s="235">
        <v>-3925435.8452801853</v>
      </c>
      <c r="L75" s="235">
        <v>-3944200.6349198</v>
      </c>
      <c r="M75" s="235">
        <v>-3976073.69765871</v>
      </c>
      <c r="N75" s="235">
        <v>-4000662.8558808565</v>
      </c>
      <c r="O75" s="235">
        <v>-4034150.566074379</v>
      </c>
      <c r="P75" s="235">
        <v>-4049022.3966804743</v>
      </c>
      <c r="Q75" s="235">
        <v>-3881874.017306967</v>
      </c>
    </row>
    <row r="76" spans="1:17" ht="15">
      <c r="A76" s="366">
        <f t="shared" si="1"/>
        <v>70</v>
      </c>
      <c r="B76" s="234"/>
      <c r="C76" s="234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35"/>
    </row>
    <row r="77" spans="1:17" ht="15">
      <c r="A77" s="366">
        <f t="shared" si="1"/>
        <v>71</v>
      </c>
      <c r="B77" s="234" t="s">
        <v>319</v>
      </c>
      <c r="C77" s="234"/>
      <c r="D77" s="235">
        <v>-5820024.735857204</v>
      </c>
      <c r="E77" s="235">
        <v>-5860403.139425471</v>
      </c>
      <c r="F77" s="235">
        <v>-5900782.769850329</v>
      </c>
      <c r="G77" s="235">
        <v>-5928029.756549999</v>
      </c>
      <c r="H77" s="235">
        <v>-5968419.121939145</v>
      </c>
      <c r="I77" s="235">
        <v>-6008809.027525604</v>
      </c>
      <c r="J77" s="235">
        <v>-6049295.094891511</v>
      </c>
      <c r="K77" s="235">
        <v>-6089877.203253329</v>
      </c>
      <c r="L77" s="235">
        <v>-6130459.423839234</v>
      </c>
      <c r="M77" s="235">
        <v>-6171041.644425139</v>
      </c>
      <c r="N77" s="235">
        <v>-6211623.865011044</v>
      </c>
      <c r="O77" s="235">
        <v>-6252206.085596949</v>
      </c>
      <c r="P77" s="235">
        <v>-6292788.306182854</v>
      </c>
      <c r="Q77" s="235">
        <v>-6052279.471110649</v>
      </c>
    </row>
    <row r="78" spans="1:17" ht="15">
      <c r="A78" s="366">
        <f t="shared" si="1"/>
        <v>72</v>
      </c>
      <c r="B78" s="234" t="s">
        <v>522</v>
      </c>
      <c r="C78" s="234"/>
      <c r="D78" s="238">
        <v>-232824.25637622364</v>
      </c>
      <c r="E78" s="238">
        <v>-233854.05424124422</v>
      </c>
      <c r="F78" s="238">
        <v>-234883.8521062648</v>
      </c>
      <c r="G78" s="238">
        <v>-235913.64997128537</v>
      </c>
      <c r="H78" s="238">
        <v>-236943.44783630595</v>
      </c>
      <c r="I78" s="238">
        <v>-237973.24570132652</v>
      </c>
      <c r="J78" s="238">
        <v>-239003.0435663471</v>
      </c>
      <c r="K78" s="238">
        <v>-240032.8414313672</v>
      </c>
      <c r="L78" s="238">
        <v>-241062.6392963878</v>
      </c>
      <c r="M78" s="238">
        <v>-242092.43716140836</v>
      </c>
      <c r="N78" s="238">
        <v>-243122.23502642894</v>
      </c>
      <c r="O78" s="238">
        <v>-244152.03289144952</v>
      </c>
      <c r="P78" s="238">
        <v>-245181.8307564701</v>
      </c>
      <c r="Q78" s="238">
        <v>-239003.04356634687</v>
      </c>
    </row>
    <row r="79" spans="1:17" ht="15">
      <c r="A79" s="366">
        <f t="shared" si="1"/>
        <v>73</v>
      </c>
      <c r="B79" s="234"/>
      <c r="C79" s="234"/>
      <c r="D79" s="235"/>
      <c r="E79" s="235"/>
      <c r="F79" s="235"/>
      <c r="G79" s="236"/>
      <c r="H79" s="231"/>
      <c r="I79" s="44"/>
      <c r="J79" s="44"/>
      <c r="K79" s="44"/>
      <c r="L79" s="44"/>
      <c r="M79" s="44"/>
      <c r="N79" s="44"/>
      <c r="O79" s="44"/>
      <c r="P79" s="44"/>
      <c r="Q79" s="235"/>
    </row>
    <row r="80" spans="1:17" ht="15.75" thickBot="1">
      <c r="A80" s="366">
        <f t="shared" si="1"/>
        <v>74</v>
      </c>
      <c r="B80" s="234" t="s">
        <v>321</v>
      </c>
      <c r="C80" s="234"/>
      <c r="D80" s="244">
        <v>-64765778.492948145</v>
      </c>
      <c r="E80" s="244">
        <v>-65266248.028664514</v>
      </c>
      <c r="F80" s="244">
        <v>-65726450.44968029</v>
      </c>
      <c r="G80" s="244">
        <v>-66384026.14556499</v>
      </c>
      <c r="H80" s="244">
        <v>-66975896.992216006</v>
      </c>
      <c r="I80" s="244">
        <v>-67536336.10706273</v>
      </c>
      <c r="J80" s="244">
        <v>-68096119.06770018</v>
      </c>
      <c r="K80" s="244">
        <v>-68609977.94303004</v>
      </c>
      <c r="L80" s="244">
        <v>-69035836.52099529</v>
      </c>
      <c r="M80" s="244">
        <v>-69503729.84267277</v>
      </c>
      <c r="N80" s="244">
        <v>-70016829.53999676</v>
      </c>
      <c r="O80" s="244">
        <v>-70621157.97298437</v>
      </c>
      <c r="P80" s="244">
        <v>-71120880.93971135</v>
      </c>
      <c r="Q80" s="239">
        <v>-67976328.19390813</v>
      </c>
    </row>
    <row r="81" spans="1:17" ht="15.75" thickTop="1">
      <c r="A81" s="366">
        <f t="shared" si="1"/>
        <v>75</v>
      </c>
      <c r="B81" s="234"/>
      <c r="C81" s="234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44"/>
    </row>
    <row r="82" spans="1:17" ht="15">
      <c r="A82" s="366">
        <f t="shared" si="1"/>
        <v>76</v>
      </c>
      <c r="B82" s="2"/>
      <c r="C82" s="2"/>
      <c r="D82" s="235"/>
      <c r="E82" s="235"/>
      <c r="F82" s="235"/>
      <c r="G82" s="236"/>
      <c r="H82" s="231"/>
      <c r="I82" s="44"/>
      <c r="J82" s="44"/>
      <c r="K82" s="44"/>
      <c r="L82" s="44"/>
      <c r="M82" s="44"/>
      <c r="N82" s="44"/>
      <c r="O82" s="44"/>
      <c r="P82" s="44"/>
      <c r="Q82" s="44"/>
    </row>
    <row r="83" spans="1:17" ht="15">
      <c r="A83" s="366">
        <f t="shared" si="1"/>
        <v>77</v>
      </c>
      <c r="B83" s="2" t="s">
        <v>284</v>
      </c>
      <c r="C83" s="2"/>
      <c r="D83" s="235">
        <v>1227212.5484450143</v>
      </c>
      <c r="E83" s="235">
        <v>1225207.6612708867</v>
      </c>
      <c r="F83" s="235">
        <v>1223324.0189114064</v>
      </c>
      <c r="G83" s="235">
        <v>1222118.7816382442</v>
      </c>
      <c r="H83" s="235">
        <v>1226591.4927219003</v>
      </c>
      <c r="I83" s="235">
        <v>1225590.5679642595</v>
      </c>
      <c r="J83" s="235">
        <v>1363670.549196681</v>
      </c>
      <c r="K83" s="235">
        <v>1362115.4828051832</v>
      </c>
      <c r="L83" s="235">
        <v>1360222.8339869455</v>
      </c>
      <c r="M83" s="235">
        <v>1359130.3220080994</v>
      </c>
      <c r="N83" s="235">
        <v>1357747.4073708393</v>
      </c>
      <c r="O83" s="235">
        <v>1356365.7909190264</v>
      </c>
      <c r="P83" s="235">
        <v>1355411.212808501</v>
      </c>
      <c r="Q83" s="235">
        <v>1297783.0657850192</v>
      </c>
    </row>
    <row r="84" spans="1:17" ht="15">
      <c r="A84" s="366">
        <f t="shared" si="1"/>
        <v>78</v>
      </c>
      <c r="B84" s="2" t="s">
        <v>131</v>
      </c>
      <c r="C84" s="2"/>
      <c r="D84" s="235">
        <v>-200853.1</v>
      </c>
      <c r="E84" s="235">
        <v>-203372.1</v>
      </c>
      <c r="F84" s="235">
        <v>-204237.88</v>
      </c>
      <c r="G84" s="235">
        <v>-200878.88</v>
      </c>
      <c r="H84" s="235">
        <v>-196997.48</v>
      </c>
      <c r="I84" s="235">
        <v>-195680.48</v>
      </c>
      <c r="J84" s="235">
        <v>-192306.46</v>
      </c>
      <c r="K84" s="235">
        <v>-199570.65</v>
      </c>
      <c r="L84" s="235">
        <v>-193695.65</v>
      </c>
      <c r="M84" s="235">
        <v>-175097.92</v>
      </c>
      <c r="N84" s="235">
        <v>-186620.65</v>
      </c>
      <c r="O84" s="235">
        <v>-188512.65</v>
      </c>
      <c r="P84" s="235">
        <v>-176176.65</v>
      </c>
      <c r="Q84" s="235">
        <v>-193790.47291666665</v>
      </c>
    </row>
    <row r="85" spans="1:17" ht="15">
      <c r="A85" s="366">
        <f t="shared" si="1"/>
        <v>79</v>
      </c>
      <c r="B85" s="2" t="s">
        <v>139</v>
      </c>
      <c r="C85" s="2"/>
      <c r="D85" s="235">
        <v>0</v>
      </c>
      <c r="E85" s="235">
        <v>0</v>
      </c>
      <c r="F85" s="235">
        <v>0</v>
      </c>
      <c r="G85" s="235">
        <v>0</v>
      </c>
      <c r="H85" s="235">
        <v>0</v>
      </c>
      <c r="I85" s="235">
        <v>0</v>
      </c>
      <c r="J85" s="235">
        <v>0</v>
      </c>
      <c r="K85" s="235">
        <v>0</v>
      </c>
      <c r="L85" s="235">
        <v>0</v>
      </c>
      <c r="M85" s="235">
        <v>0</v>
      </c>
      <c r="N85" s="235">
        <v>0</v>
      </c>
      <c r="O85" s="235">
        <v>0</v>
      </c>
      <c r="P85" s="235">
        <v>0</v>
      </c>
      <c r="Q85" s="235">
        <v>0</v>
      </c>
    </row>
    <row r="86" spans="1:17" ht="15">
      <c r="A86" s="366">
        <f t="shared" si="1"/>
        <v>80</v>
      </c>
      <c r="B86" s="2" t="s">
        <v>148</v>
      </c>
      <c r="C86" s="2"/>
      <c r="D86" s="235">
        <v>267167.912526293</v>
      </c>
      <c r="E86" s="235">
        <v>262302.6866582481</v>
      </c>
      <c r="F86" s="235">
        <v>257437.46079020304</v>
      </c>
      <c r="G86" s="235">
        <v>274169.92600074783</v>
      </c>
      <c r="H86" s="235">
        <v>269303.3244324544</v>
      </c>
      <c r="I86" s="235">
        <v>264436.7228641609</v>
      </c>
      <c r="J86" s="235">
        <v>259570.1212958675</v>
      </c>
      <c r="K86" s="235">
        <v>254703.51972757402</v>
      </c>
      <c r="L86" s="235">
        <v>252827.47815928055</v>
      </c>
      <c r="M86" s="235">
        <v>250951.40659098714</v>
      </c>
      <c r="N86" s="235">
        <v>249825.92421444925</v>
      </c>
      <c r="O86" s="235">
        <v>247944.29235912857</v>
      </c>
      <c r="P86" s="235">
        <v>248790.1844740761</v>
      </c>
      <c r="Q86" s="235">
        <v>258454.32596610716</v>
      </c>
    </row>
    <row r="87" spans="1:17" ht="15">
      <c r="A87" s="366">
        <f t="shared" si="1"/>
        <v>81</v>
      </c>
      <c r="B87" s="2"/>
      <c r="C87" s="2"/>
      <c r="D87" s="235"/>
      <c r="E87" s="235"/>
      <c r="F87" s="235"/>
      <c r="G87" s="236"/>
      <c r="H87" s="231"/>
      <c r="I87" s="44"/>
      <c r="J87" s="44"/>
      <c r="K87" s="44"/>
      <c r="L87" s="44"/>
      <c r="M87" s="44"/>
      <c r="N87" s="44"/>
      <c r="O87" s="44"/>
      <c r="P87" s="44"/>
      <c r="Q87" s="44"/>
    </row>
    <row r="88" spans="1:17" ht="15">
      <c r="A88" s="366">
        <f t="shared" si="1"/>
        <v>82</v>
      </c>
      <c r="B88" s="2" t="s">
        <v>151</v>
      </c>
      <c r="C88" s="2"/>
      <c r="D88" s="235"/>
      <c r="E88" s="235"/>
      <c r="F88" s="235"/>
      <c r="G88" s="236"/>
      <c r="H88" s="231"/>
      <c r="I88" s="44"/>
      <c r="J88" s="44"/>
      <c r="K88" s="44"/>
      <c r="L88" s="44"/>
      <c r="M88" s="44"/>
      <c r="N88" s="44"/>
      <c r="O88" s="44"/>
      <c r="P88" s="44"/>
      <c r="Q88" s="44"/>
    </row>
    <row r="89" spans="1:17" ht="15">
      <c r="A89" s="366">
        <f t="shared" si="1"/>
        <v>83</v>
      </c>
      <c r="B89" s="2"/>
      <c r="C89" s="2" t="s">
        <v>152</v>
      </c>
      <c r="D89" s="235">
        <v>0</v>
      </c>
      <c r="E89" s="235">
        <v>0</v>
      </c>
      <c r="F89" s="235">
        <v>0</v>
      </c>
      <c r="G89" s="235">
        <v>0</v>
      </c>
      <c r="H89" s="235">
        <v>0</v>
      </c>
      <c r="I89" s="235">
        <v>0</v>
      </c>
      <c r="J89" s="235">
        <v>0</v>
      </c>
      <c r="K89" s="235">
        <v>0</v>
      </c>
      <c r="L89" s="235">
        <v>0</v>
      </c>
      <c r="M89" s="235">
        <v>0</v>
      </c>
      <c r="N89" s="235">
        <v>0</v>
      </c>
      <c r="O89" s="235">
        <v>0</v>
      </c>
      <c r="P89" s="235">
        <v>0</v>
      </c>
      <c r="Q89" s="235">
        <v>0</v>
      </c>
    </row>
    <row r="90" spans="1:17" ht="15">
      <c r="A90" s="366">
        <f t="shared" si="1"/>
        <v>84</v>
      </c>
      <c r="B90" s="2"/>
      <c r="C90" s="2" t="s">
        <v>156</v>
      </c>
      <c r="D90" s="235">
        <v>-14139659.462829331</v>
      </c>
      <c r="E90" s="235">
        <v>-14135679.806622956</v>
      </c>
      <c r="F90" s="235">
        <v>-14101436.662990078</v>
      </c>
      <c r="G90" s="235">
        <v>-14046810.004174935</v>
      </c>
      <c r="H90" s="235">
        <v>-14015989.703092437</v>
      </c>
      <c r="I90" s="235">
        <v>-13997091.540003026</v>
      </c>
      <c r="J90" s="235">
        <v>-14076605.221441792</v>
      </c>
      <c r="K90" s="235">
        <v>-14078796.558282852</v>
      </c>
      <c r="L90" s="235">
        <v>-14078882.65853777</v>
      </c>
      <c r="M90" s="235">
        <v>-14281452.664737381</v>
      </c>
      <c r="N90" s="235">
        <v>-14259690.830641609</v>
      </c>
      <c r="O90" s="235">
        <v>-14239871.554862231</v>
      </c>
      <c r="P90" s="235">
        <v>-14788750.357532045</v>
      </c>
      <c r="Q90" s="235">
        <v>-14148042.676297313</v>
      </c>
    </row>
    <row r="91" spans="1:17" ht="15">
      <c r="A91" s="366">
        <f t="shared" si="1"/>
        <v>85</v>
      </c>
      <c r="B91" s="2"/>
      <c r="C91" s="2"/>
      <c r="D91" s="235"/>
      <c r="E91" s="235"/>
      <c r="F91" s="235"/>
      <c r="G91" s="242"/>
      <c r="H91" s="231"/>
      <c r="I91" s="44"/>
      <c r="J91" s="44"/>
      <c r="K91" s="44"/>
      <c r="L91" s="44"/>
      <c r="M91" s="44"/>
      <c r="N91" s="44"/>
      <c r="O91" s="44"/>
      <c r="P91" s="44"/>
      <c r="Q91" s="44"/>
    </row>
    <row r="92" spans="1:17" ht="15.75" thickBot="1">
      <c r="A92" s="366">
        <f t="shared" si="1"/>
        <v>86</v>
      </c>
      <c r="B92" s="1" t="s">
        <v>523</v>
      </c>
      <c r="C92" s="2"/>
      <c r="D92" s="6">
        <v>113094031.22247735</v>
      </c>
      <c r="E92" s="6">
        <v>112945423.33493607</v>
      </c>
      <c r="F92" s="6">
        <v>113131125.26479171</v>
      </c>
      <c r="G92" s="6">
        <v>120100661.34986073</v>
      </c>
      <c r="H92" s="6">
        <v>119782492.2970852</v>
      </c>
      <c r="I92" s="6">
        <v>119770060.36431104</v>
      </c>
      <c r="J92" s="6">
        <v>119699664.48845603</v>
      </c>
      <c r="K92" s="6">
        <v>120045355.30763027</v>
      </c>
      <c r="L92" s="6">
        <v>120497644.5681087</v>
      </c>
      <c r="M92" s="6">
        <v>122712862.80987346</v>
      </c>
      <c r="N92" s="6">
        <v>122880115.62420607</v>
      </c>
      <c r="O92" s="6">
        <v>123093478.09635113</v>
      </c>
      <c r="P92" s="6">
        <v>123047772.26218534</v>
      </c>
      <c r="Q92" s="6">
        <v>119394148.77066183</v>
      </c>
    </row>
    <row r="93" spans="1:17" ht="15.75" thickTop="1">
      <c r="A93" s="366">
        <f t="shared" si="1"/>
        <v>87</v>
      </c>
      <c r="B93" s="44"/>
      <c r="C93" s="44"/>
      <c r="D93" s="231"/>
      <c r="E93" s="231"/>
      <c r="F93" s="231"/>
      <c r="G93" s="231"/>
      <c r="H93" s="231"/>
      <c r="I93" s="44"/>
      <c r="J93" s="44"/>
      <c r="K93" s="44"/>
      <c r="L93" s="44"/>
      <c r="M93" s="44"/>
      <c r="N93" s="44"/>
      <c r="O93" s="44"/>
      <c r="P93" s="44"/>
      <c r="Q93" s="44"/>
    </row>
    <row r="94" spans="1:17" ht="15">
      <c r="A94" s="366">
        <f t="shared" si="1"/>
        <v>88</v>
      </c>
      <c r="B94" s="29" t="s">
        <v>168</v>
      </c>
      <c r="C94" s="44"/>
      <c r="D94" s="231"/>
      <c r="E94" s="231"/>
      <c r="F94" s="231"/>
      <c r="G94" s="231"/>
      <c r="H94" s="231"/>
      <c r="I94" s="44"/>
      <c r="J94" s="44"/>
      <c r="K94" s="44"/>
      <c r="L94" s="44"/>
      <c r="M94" s="44"/>
      <c r="N94" s="44"/>
      <c r="O94" s="44"/>
      <c r="P94" s="44"/>
      <c r="Q94" s="34">
        <v>119394148.77066183</v>
      </c>
    </row>
    <row r="95" spans="1:17" ht="15">
      <c r="A95" s="366">
        <f t="shared" si="1"/>
        <v>89</v>
      </c>
      <c r="B95" s="53" t="s">
        <v>171</v>
      </c>
      <c r="C95" s="44"/>
      <c r="D95" s="231"/>
      <c r="E95" s="231"/>
      <c r="F95" s="231"/>
      <c r="G95" s="231"/>
      <c r="H95" s="231"/>
      <c r="I95" s="44"/>
      <c r="J95" s="44"/>
      <c r="K95" s="44"/>
      <c r="L95" s="44"/>
      <c r="M95" s="44"/>
      <c r="N95" s="44"/>
      <c r="O95" s="44"/>
      <c r="P95" s="44"/>
      <c r="Q95" s="34">
        <v>14148042.676297313</v>
      </c>
    </row>
    <row r="96" spans="1:17" ht="15">
      <c r="A96" s="366">
        <f t="shared" si="1"/>
        <v>90</v>
      </c>
      <c r="B96" s="28" t="s">
        <v>175</v>
      </c>
      <c r="C96" s="44"/>
      <c r="D96" s="231"/>
      <c r="E96" s="231"/>
      <c r="F96" s="231"/>
      <c r="G96" s="231"/>
      <c r="H96" s="231"/>
      <c r="I96" s="44"/>
      <c r="J96" s="44"/>
      <c r="K96" s="44"/>
      <c r="L96" s="44"/>
      <c r="M96" s="44"/>
      <c r="N96" s="44"/>
      <c r="O96" s="44"/>
      <c r="P96" s="44"/>
      <c r="Q96" s="174">
        <v>-14788750.357532045</v>
      </c>
    </row>
    <row r="97" spans="1:17" ht="15.75" thickBot="1">
      <c r="A97" s="366">
        <f t="shared" si="1"/>
        <v>91</v>
      </c>
      <c r="B97" s="56" t="s">
        <v>524</v>
      </c>
      <c r="C97" s="44"/>
      <c r="D97" s="231"/>
      <c r="E97" s="231"/>
      <c r="F97" s="231"/>
      <c r="G97" s="231"/>
      <c r="H97" s="231"/>
      <c r="I97" s="44"/>
      <c r="J97" s="44"/>
      <c r="K97" s="44"/>
      <c r="L97" s="44"/>
      <c r="M97" s="44"/>
      <c r="N97" s="44"/>
      <c r="O97" s="44"/>
      <c r="P97" s="44"/>
      <c r="Q97" s="248">
        <v>118753441.0894271</v>
      </c>
    </row>
    <row r="98" ht="15.75" thickTop="1"/>
  </sheetData>
  <sheetProtection/>
  <printOptions horizontalCentered="1"/>
  <pageMargins left="0.5" right="0.5" top="0.5" bottom="0.5" header="0.25" footer="0.25"/>
  <pageSetup fitToHeight="2" horizontalDpi="600" verticalDpi="600" orientation="landscape" scale="52" r:id="rId1"/>
  <rowBreaks count="1" manualBreakCount="1">
    <brk id="5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7109375" style="4" customWidth="1"/>
    <col min="2" max="2" width="41.7109375" style="4" customWidth="1"/>
    <col min="3" max="3" width="12.7109375" style="3" customWidth="1"/>
    <col min="4" max="16384" width="9.140625" style="3" customWidth="1"/>
  </cols>
  <sheetData>
    <row r="1" s="4" customFormat="1" ht="12.75">
      <c r="A1" s="4" t="s">
        <v>0</v>
      </c>
    </row>
    <row r="2" s="4" customFormat="1" ht="12.75">
      <c r="A2" s="4" t="str">
        <f>'KSM-NCS-4 p2&amp;3 Adjust Issues'!A3</f>
        <v>Test Period - Twelve Months Ended September 30, 2007</v>
      </c>
    </row>
    <row r="3" s="4" customFormat="1" ht="12.75">
      <c r="A3" s="4" t="s">
        <v>6</v>
      </c>
    </row>
    <row r="4" s="4" customFormat="1" ht="12.75"/>
    <row r="5" s="4" customFormat="1" ht="12.75"/>
    <row r="6" s="4" customFormat="1" ht="12.75"/>
    <row r="7" s="4" customFormat="1" ht="12.75">
      <c r="A7" s="25" t="s">
        <v>20</v>
      </c>
    </row>
    <row r="8" spans="1:3" s="4" customFormat="1" ht="12.75">
      <c r="A8" s="73" t="s">
        <v>37</v>
      </c>
      <c r="C8" s="73" t="s">
        <v>59</v>
      </c>
    </row>
    <row r="9" spans="1:3" s="4" customFormat="1" ht="12.75">
      <c r="A9" s="25"/>
      <c r="C9" s="143" t="s">
        <v>64</v>
      </c>
    </row>
    <row r="10" ht="12.75">
      <c r="A10" s="25"/>
    </row>
    <row r="11" spans="1:3" ht="12.75">
      <c r="A11" s="25">
        <v>1</v>
      </c>
      <c r="B11" s="4" t="s">
        <v>93</v>
      </c>
      <c r="C11" s="38">
        <f>'KSM-NCS-4 p1 Rev Req'!C16-'KSM-NCS-4 p1 Rev Req'!C23-'KSM-NCS-4 p1 Rev Req'!C27-'KSM-NCS-4 p1 Rev Req'!C28-'KSM-NCS-4 p1 Rev Req'!C29</f>
        <v>10716755.491125979</v>
      </c>
    </row>
    <row r="12" spans="1:3" ht="12.75">
      <c r="A12" s="25"/>
      <c r="C12" s="15"/>
    </row>
    <row r="13" spans="1:3" ht="12.75">
      <c r="A13" s="25">
        <v>2</v>
      </c>
      <c r="B13" s="4" t="s">
        <v>105</v>
      </c>
      <c r="C13" s="27">
        <f>'KSM-NCS-4 p1 Rev Req'!C35*'KSM-NCS-3 p10 Cost of Cap'!C46</f>
        <v>3885612.5924460543</v>
      </c>
    </row>
    <row r="14" spans="1:3" ht="12.75">
      <c r="A14" s="25"/>
      <c r="C14" s="15"/>
    </row>
    <row r="15" spans="1:3" ht="12.75">
      <c r="A15" s="25">
        <v>3</v>
      </c>
      <c r="B15" s="4" t="s">
        <v>118</v>
      </c>
      <c r="C15" s="15">
        <f>C11-C13</f>
        <v>6831142.898679924</v>
      </c>
    </row>
    <row r="16" spans="1:3" ht="12.75">
      <c r="A16" s="25"/>
      <c r="C16" s="15"/>
    </row>
    <row r="17" spans="1:5" ht="12.75">
      <c r="A17" s="25">
        <v>4</v>
      </c>
      <c r="B17" s="4" t="s">
        <v>127</v>
      </c>
      <c r="C17" s="126">
        <f>ROUND((-2315724)*D17,0)</f>
        <v>-242549</v>
      </c>
      <c r="D17" s="59">
        <f>+'KSM-NCS-3 p4&amp;5 Factors'!D127</f>
        <v>0.10474</v>
      </c>
      <c r="E17" s="37" t="s">
        <v>314</v>
      </c>
    </row>
    <row r="18" spans="1:3" ht="12.75">
      <c r="A18" s="25"/>
      <c r="C18" s="144"/>
    </row>
    <row r="19" spans="1:3" ht="12.75">
      <c r="A19" s="25">
        <v>5</v>
      </c>
      <c r="B19" s="4" t="s">
        <v>137</v>
      </c>
      <c r="C19" s="15">
        <f>C15+C17</f>
        <v>6588593.898679924</v>
      </c>
    </row>
    <row r="20" spans="1:3" ht="12.75">
      <c r="A20" s="25"/>
      <c r="C20" s="15"/>
    </row>
    <row r="21" spans="1:3" ht="12.75">
      <c r="A21" s="25">
        <v>6</v>
      </c>
      <c r="B21" s="4" t="s">
        <v>143</v>
      </c>
      <c r="C21" s="84">
        <f>'KSM-NCS-3 p10 Cost of Cap'!C48</f>
        <v>0.35</v>
      </c>
    </row>
    <row r="22" spans="1:3" ht="12.75">
      <c r="A22" s="25"/>
      <c r="C22" s="145"/>
    </row>
    <row r="23" spans="1:3" ht="12.75">
      <c r="A23" s="25">
        <v>7</v>
      </c>
      <c r="B23" s="4" t="s">
        <v>624</v>
      </c>
      <c r="C23" s="15">
        <f>+C19*C21</f>
        <v>2306007.8645379734</v>
      </c>
    </row>
    <row r="24" spans="3:6" ht="12.75">
      <c r="C24" s="15"/>
      <c r="E24" s="16" t="s">
        <v>626</v>
      </c>
      <c r="F24" s="16" t="s">
        <v>10</v>
      </c>
    </row>
    <row r="25" spans="1:6" ht="12.75">
      <c r="A25" s="25">
        <v>8</v>
      </c>
      <c r="B25" s="4" t="s">
        <v>625</v>
      </c>
      <c r="C25" s="27">
        <f>+F28*D17*1000</f>
        <v>-61587.119999999995</v>
      </c>
      <c r="E25" s="428">
        <v>2008</v>
      </c>
      <c r="F25" s="34">
        <v>-646</v>
      </c>
    </row>
    <row r="26" spans="1:6" ht="12.75">
      <c r="A26" s="25"/>
      <c r="E26" s="428">
        <v>2009</v>
      </c>
      <c r="F26" s="34">
        <v>-593</v>
      </c>
    </row>
    <row r="27" spans="1:6" ht="13.5" thickBot="1">
      <c r="A27" s="25">
        <v>9</v>
      </c>
      <c r="B27" s="4" t="s">
        <v>624</v>
      </c>
      <c r="C27" s="131">
        <f>+C23+C25</f>
        <v>2244420.7445379733</v>
      </c>
      <c r="E27" s="428">
        <v>2010</v>
      </c>
      <c r="F27" s="136">
        <v>-525</v>
      </c>
    </row>
    <row r="28" ht="13.5" thickTop="1">
      <c r="F28" s="34">
        <f>AVERAGE(F25:F27)</f>
        <v>-588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F43" sqref="F43"/>
    </sheetView>
  </sheetViews>
  <sheetFormatPr defaultColWidth="9.140625" defaultRowHeight="15"/>
  <cols>
    <col min="1" max="1" width="6.8515625" style="3" customWidth="1"/>
    <col min="2" max="2" width="3.7109375" style="3" customWidth="1"/>
    <col min="3" max="3" width="24.8515625" style="3" customWidth="1"/>
    <col min="4" max="7" width="14.7109375" style="3" customWidth="1"/>
    <col min="8" max="8" width="18.7109375" style="3" customWidth="1"/>
    <col min="9" max="16384" width="9.140625" style="3" customWidth="1"/>
  </cols>
  <sheetData>
    <row r="1" ht="12.75">
      <c r="A1" s="4" t="str">
        <f>+'KSM-NCS-4 p1 Rev Req'!A1</f>
        <v>NW Natural</v>
      </c>
    </row>
    <row r="2" ht="12.75">
      <c r="A2" s="4" t="str">
        <f>+'KSM-NCS-4 p1 Rev Req'!A2</f>
        <v>Washington Rate Case</v>
      </c>
    </row>
    <row r="3" ht="12.75">
      <c r="A3" s="4" t="str">
        <f>+'KSM-NCS-3 p1 Test Year Results'!A3</f>
        <v>Test Year Based on Twelve Months Ended September 30, 2007</v>
      </c>
    </row>
    <row r="4" ht="12.75">
      <c r="A4" s="4" t="s">
        <v>483</v>
      </c>
    </row>
    <row r="6" spans="1:8" ht="12.75">
      <c r="A6" s="223" t="s">
        <v>20</v>
      </c>
      <c r="C6" s="4"/>
      <c r="D6" s="4"/>
      <c r="E6" s="9" t="s">
        <v>11</v>
      </c>
      <c r="F6" s="9" t="s">
        <v>12</v>
      </c>
      <c r="G6" s="9" t="s">
        <v>10</v>
      </c>
      <c r="H6" s="10" t="s">
        <v>484</v>
      </c>
    </row>
    <row r="7" spans="1:8" ht="12.75">
      <c r="A7" s="224" t="s">
        <v>37</v>
      </c>
      <c r="C7" s="11"/>
      <c r="D7" s="4"/>
      <c r="E7" s="11"/>
      <c r="F7" s="11"/>
      <c r="G7" s="11"/>
      <c r="H7" s="10"/>
    </row>
    <row r="8" spans="1:8" ht="12.75">
      <c r="A8" s="223">
        <v>1</v>
      </c>
      <c r="B8" s="11" t="s">
        <v>364</v>
      </c>
      <c r="C8" s="11"/>
      <c r="D8" s="4"/>
      <c r="E8" s="11"/>
      <c r="F8" s="11"/>
      <c r="G8" s="11"/>
      <c r="H8" s="10"/>
    </row>
    <row r="9" spans="1:8" ht="12.75">
      <c r="A9" s="223">
        <f>+A8+1</f>
        <v>2</v>
      </c>
      <c r="C9" s="11" t="s">
        <v>459</v>
      </c>
      <c r="D9" s="4"/>
      <c r="E9" s="12">
        <v>0</v>
      </c>
      <c r="F9" s="12">
        <f aca="true" t="shared" si="0" ref="F9:F15">+G9-E9</f>
        <v>0</v>
      </c>
      <c r="G9" s="12">
        <v>0</v>
      </c>
      <c r="H9" s="13" t="s">
        <v>132</v>
      </c>
    </row>
    <row r="10" spans="1:8" ht="12.75">
      <c r="A10" s="223">
        <f aca="true" t="shared" si="1" ref="A10:A43">+A9+1</f>
        <v>3</v>
      </c>
      <c r="C10" s="11" t="s">
        <v>460</v>
      </c>
      <c r="D10" s="4"/>
      <c r="E10" s="12">
        <v>62445</v>
      </c>
      <c r="F10" s="12">
        <f t="shared" si="0"/>
        <v>450680</v>
      </c>
      <c r="G10" s="12">
        <v>513125</v>
      </c>
      <c r="H10" s="13" t="s">
        <v>132</v>
      </c>
    </row>
    <row r="11" spans="1:8" ht="12.75">
      <c r="A11" s="223">
        <f t="shared" si="1"/>
        <v>4</v>
      </c>
      <c r="C11" s="11" t="s">
        <v>461</v>
      </c>
      <c r="D11" s="4"/>
      <c r="E11" s="12">
        <v>149646.8</v>
      </c>
      <c r="F11" s="12">
        <f t="shared" si="0"/>
        <v>2689198.5300000003</v>
      </c>
      <c r="G11" s="12">
        <v>2838845.33</v>
      </c>
      <c r="H11" s="13" t="s">
        <v>132</v>
      </c>
    </row>
    <row r="12" spans="1:8" ht="12.75">
      <c r="A12" s="223">
        <f t="shared" si="1"/>
        <v>5</v>
      </c>
      <c r="C12" s="11" t="s">
        <v>462</v>
      </c>
      <c r="D12" s="4"/>
      <c r="E12" s="12">
        <v>24735</v>
      </c>
      <c r="F12" s="12">
        <f t="shared" si="0"/>
        <v>150274.74</v>
      </c>
      <c r="G12" s="12">
        <v>175009.74</v>
      </c>
      <c r="H12" s="13" t="s">
        <v>132</v>
      </c>
    </row>
    <row r="13" spans="1:8" ht="12.75">
      <c r="A13" s="223">
        <f t="shared" si="1"/>
        <v>6</v>
      </c>
      <c r="C13" s="11" t="s">
        <v>463</v>
      </c>
      <c r="D13" s="4"/>
      <c r="E13" s="12">
        <v>16350</v>
      </c>
      <c r="F13" s="12">
        <f t="shared" si="0"/>
        <v>117360</v>
      </c>
      <c r="G13" s="12">
        <v>133710</v>
      </c>
      <c r="H13" s="13" t="s">
        <v>132</v>
      </c>
    </row>
    <row r="14" spans="1:8" ht="12.75">
      <c r="A14" s="223">
        <f t="shared" si="1"/>
        <v>7</v>
      </c>
      <c r="C14" s="11" t="s">
        <v>464</v>
      </c>
      <c r="D14" s="4"/>
      <c r="E14" s="12">
        <v>33750</v>
      </c>
      <c r="F14" s="12">
        <f t="shared" si="0"/>
        <v>229149.5</v>
      </c>
      <c r="G14" s="12">
        <v>262899.5</v>
      </c>
      <c r="H14" s="13" t="s">
        <v>132</v>
      </c>
    </row>
    <row r="15" spans="1:8" ht="12.75">
      <c r="A15" s="223">
        <f t="shared" si="1"/>
        <v>8</v>
      </c>
      <c r="C15" s="11" t="s">
        <v>465</v>
      </c>
      <c r="D15" s="4"/>
      <c r="E15" s="12">
        <v>20259.33</v>
      </c>
      <c r="F15" s="12">
        <f t="shared" si="0"/>
        <v>166604.87</v>
      </c>
      <c r="G15" s="12">
        <v>186864.2</v>
      </c>
      <c r="H15" s="13" t="s">
        <v>132</v>
      </c>
    </row>
    <row r="16" spans="1:8" ht="12.75">
      <c r="A16" s="223">
        <f t="shared" si="1"/>
        <v>9</v>
      </c>
      <c r="C16" s="11" t="s">
        <v>466</v>
      </c>
      <c r="D16" s="4"/>
      <c r="E16" s="220">
        <f>+G16-F16</f>
        <v>31749.95000000001</v>
      </c>
      <c r="F16" s="220">
        <v>265835.79</v>
      </c>
      <c r="G16" s="220">
        <v>297585.74</v>
      </c>
      <c r="H16" s="221" t="s">
        <v>499</v>
      </c>
    </row>
    <row r="17" spans="1:8" ht="12.75">
      <c r="A17" s="223">
        <f t="shared" si="1"/>
        <v>10</v>
      </c>
      <c r="C17" s="11" t="s">
        <v>139</v>
      </c>
      <c r="D17" s="4"/>
      <c r="E17" s="12"/>
      <c r="F17" s="12">
        <f>+G17-E17</f>
        <v>644.97</v>
      </c>
      <c r="G17" s="12">
        <v>644.97</v>
      </c>
      <c r="H17" s="13" t="s">
        <v>132</v>
      </c>
    </row>
    <row r="18" spans="1:8" ht="12.75">
      <c r="A18" s="223">
        <f t="shared" si="1"/>
        <v>11</v>
      </c>
      <c r="C18" s="11" t="s">
        <v>478</v>
      </c>
      <c r="D18" s="4"/>
      <c r="E18" s="14">
        <v>-120312.11</v>
      </c>
      <c r="F18" s="14">
        <f>+G18-E18</f>
        <v>7745176.789999999</v>
      </c>
      <c r="G18" s="14">
        <v>7624864.679999999</v>
      </c>
      <c r="H18" s="13" t="s">
        <v>132</v>
      </c>
    </row>
    <row r="19" spans="1:8" ht="12.75">
      <c r="A19" s="223">
        <f t="shared" si="1"/>
        <v>12</v>
      </c>
      <c r="C19" s="21" t="s">
        <v>467</v>
      </c>
      <c r="D19" s="4"/>
      <c r="E19" s="12">
        <f>SUM(E9:E18)</f>
        <v>218623.97000000003</v>
      </c>
      <c r="F19" s="12">
        <f>SUM(F9:F18)</f>
        <v>11814925.19</v>
      </c>
      <c r="G19" s="12">
        <f>SUM(G9:G18)</f>
        <v>12033549.16</v>
      </c>
      <c r="H19" s="13"/>
    </row>
    <row r="20" spans="1:8" ht="12.75">
      <c r="A20" s="223">
        <f t="shared" si="1"/>
        <v>13</v>
      </c>
      <c r="C20" s="11"/>
      <c r="D20" s="4"/>
      <c r="E20" s="15"/>
      <c r="F20" s="15"/>
      <c r="G20" s="15">
        <f>+E19+F19-G19</f>
        <v>0</v>
      </c>
      <c r="H20" s="213"/>
    </row>
    <row r="21" spans="1:8" ht="12.75">
      <c r="A21" s="223">
        <f t="shared" si="1"/>
        <v>14</v>
      </c>
      <c r="C21" s="4"/>
      <c r="D21" s="4"/>
      <c r="E21" s="12"/>
      <c r="F21" s="17"/>
      <c r="G21" s="18"/>
      <c r="H21" s="13"/>
    </row>
    <row r="22" spans="1:8" ht="12.75">
      <c r="A22" s="223">
        <f t="shared" si="1"/>
        <v>15</v>
      </c>
      <c r="C22" s="4"/>
      <c r="D22" s="4"/>
      <c r="E22" s="15"/>
      <c r="F22" s="15"/>
      <c r="G22" s="15"/>
      <c r="H22" s="16"/>
    </row>
    <row r="23" spans="1:8" ht="12.75">
      <c r="A23" s="223">
        <f t="shared" si="1"/>
        <v>16</v>
      </c>
      <c r="B23" s="11" t="s">
        <v>229</v>
      </c>
      <c r="C23" s="11"/>
      <c r="D23" s="4"/>
      <c r="E23" s="18"/>
      <c r="F23" s="18"/>
      <c r="G23" s="12"/>
      <c r="H23" s="19"/>
    </row>
    <row r="24" spans="1:8" ht="12.75">
      <c r="A24" s="223">
        <f t="shared" si="1"/>
        <v>17</v>
      </c>
      <c r="C24" s="11" t="s">
        <v>468</v>
      </c>
      <c r="D24" s="4"/>
      <c r="E24" s="12">
        <v>974950.39</v>
      </c>
      <c r="F24" s="12">
        <f>G24-E24</f>
        <v>15826679.309999999</v>
      </c>
      <c r="G24" s="20">
        <v>16801629.7</v>
      </c>
      <c r="H24" s="13" t="s">
        <v>132</v>
      </c>
    </row>
    <row r="25" spans="1:8" ht="12.75">
      <c r="A25" s="223">
        <f t="shared" si="1"/>
        <v>18</v>
      </c>
      <c r="C25" s="11" t="s">
        <v>469</v>
      </c>
      <c r="D25" s="4"/>
      <c r="E25" s="20">
        <v>3714909.95</v>
      </c>
      <c r="F25" s="20">
        <f>+G25-E25</f>
        <v>21475243.860000003</v>
      </c>
      <c r="G25" s="20">
        <v>25190153.810000002</v>
      </c>
      <c r="H25" s="13" t="s">
        <v>132</v>
      </c>
    </row>
    <row r="26" spans="1:8" ht="12.75">
      <c r="A26" s="223">
        <f t="shared" si="1"/>
        <v>19</v>
      </c>
      <c r="C26" s="11" t="s">
        <v>28</v>
      </c>
      <c r="D26" s="4"/>
      <c r="E26" s="220">
        <f>+G26*'KSM-NCS-3 p4&amp;5 Factors'!D118</f>
        <v>466700.67855719995</v>
      </c>
      <c r="F26" s="220">
        <f>+G26-E26</f>
        <v>4218108.381442799</v>
      </c>
      <c r="G26" s="382">
        <v>4684809.06</v>
      </c>
      <c r="H26" s="221" t="s">
        <v>28</v>
      </c>
    </row>
    <row r="27" spans="1:8" ht="12.75">
      <c r="A27" s="223">
        <f t="shared" si="1"/>
        <v>20</v>
      </c>
      <c r="C27" s="11" t="s">
        <v>470</v>
      </c>
      <c r="D27" s="4"/>
      <c r="E27" s="12">
        <v>189401.94</v>
      </c>
      <c r="F27" s="12">
        <f>+G27-E27</f>
        <v>2272535.6</v>
      </c>
      <c r="G27" s="20">
        <v>2461937.54</v>
      </c>
      <c r="H27" s="13" t="s">
        <v>132</v>
      </c>
    </row>
    <row r="28" spans="1:8" ht="12.75">
      <c r="A28" s="223">
        <f t="shared" si="1"/>
        <v>21</v>
      </c>
      <c r="C28" s="11" t="s">
        <v>318</v>
      </c>
      <c r="D28" s="4"/>
      <c r="E28" s="12">
        <v>1652.2</v>
      </c>
      <c r="F28" s="12">
        <f>G28-E28</f>
        <v>389471.69</v>
      </c>
      <c r="G28" s="20">
        <v>391123.89</v>
      </c>
      <c r="H28" s="13" t="s">
        <v>132</v>
      </c>
    </row>
    <row r="29" spans="1:8" ht="12.75">
      <c r="A29" s="223">
        <f t="shared" si="1"/>
        <v>22</v>
      </c>
      <c r="C29" s="11" t="s">
        <v>471</v>
      </c>
      <c r="D29" s="4"/>
      <c r="E29" s="14">
        <v>0</v>
      </c>
      <c r="F29" s="14">
        <f>G29-E29</f>
        <v>-18658</v>
      </c>
      <c r="G29" s="383">
        <v>-18658</v>
      </c>
      <c r="H29" s="13" t="s">
        <v>132</v>
      </c>
    </row>
    <row r="30" spans="1:8" ht="12.75">
      <c r="A30" s="223">
        <f t="shared" si="1"/>
        <v>23</v>
      </c>
      <c r="C30" s="21" t="s">
        <v>229</v>
      </c>
      <c r="D30" s="4"/>
      <c r="E30" s="12">
        <f>SUM(E24:E29)</f>
        <v>5347615.158557201</v>
      </c>
      <c r="F30" s="12">
        <f>SUM(F24:F29)</f>
        <v>44163380.8414428</v>
      </c>
      <c r="G30" s="12">
        <f>SUM(G24:G29)</f>
        <v>49510996.00000001</v>
      </c>
      <c r="H30" s="13"/>
    </row>
    <row r="31" spans="1:8" ht="12.75">
      <c r="A31" s="223">
        <f t="shared" si="1"/>
        <v>24</v>
      </c>
      <c r="C31" s="4"/>
      <c r="E31" s="17"/>
      <c r="F31" s="17"/>
      <c r="G31" s="18">
        <f>E30+F30-G30</f>
        <v>0</v>
      </c>
      <c r="H31" s="19">
        <f>24320842.19+25190153.81-G30</f>
        <v>0</v>
      </c>
    </row>
    <row r="32" ht="12.75">
      <c r="A32" s="223">
        <f t="shared" si="1"/>
        <v>25</v>
      </c>
    </row>
    <row r="33" spans="1:8" ht="12.75">
      <c r="A33" s="223">
        <f t="shared" si="1"/>
        <v>26</v>
      </c>
      <c r="B33" s="88" t="s">
        <v>479</v>
      </c>
      <c r="C33" s="88"/>
      <c r="D33" s="89"/>
      <c r="F33" s="89"/>
      <c r="G33" s="89"/>
      <c r="H33" s="89"/>
    </row>
    <row r="34" spans="1:8" ht="12.75">
      <c r="A34" s="223">
        <f t="shared" si="1"/>
        <v>27</v>
      </c>
      <c r="B34" s="88"/>
      <c r="C34" s="88" t="s">
        <v>251</v>
      </c>
      <c r="D34" s="89"/>
      <c r="E34" s="12">
        <v>607049.2419918114</v>
      </c>
      <c r="F34" s="12">
        <v>5412291.628008188</v>
      </c>
      <c r="G34" s="12">
        <v>6019340.869999999</v>
      </c>
      <c r="H34" s="226" t="s">
        <v>18</v>
      </c>
    </row>
    <row r="35" spans="1:8" ht="12.75">
      <c r="A35" s="223">
        <f t="shared" si="1"/>
        <v>28</v>
      </c>
      <c r="B35" s="88"/>
      <c r="C35" s="88" t="s">
        <v>246</v>
      </c>
      <c r="D35" s="89"/>
      <c r="E35" s="12">
        <v>0</v>
      </c>
      <c r="F35" s="12">
        <v>353023.1899999995</v>
      </c>
      <c r="G35" s="12">
        <v>353023.1899999995</v>
      </c>
      <c r="H35" s="226" t="s">
        <v>132</v>
      </c>
    </row>
    <row r="36" spans="1:8" ht="12.75">
      <c r="A36" s="223">
        <f t="shared" si="1"/>
        <v>29</v>
      </c>
      <c r="B36" s="88"/>
      <c r="C36" s="88" t="s">
        <v>247</v>
      </c>
      <c r="D36" s="89"/>
      <c r="E36" s="12">
        <v>5620995.26</v>
      </c>
      <c r="F36" s="12">
        <v>45959388.42</v>
      </c>
      <c r="G36" s="12">
        <v>51580383.68</v>
      </c>
      <c r="H36" s="226" t="s">
        <v>132</v>
      </c>
    </row>
    <row r="37" spans="1:8" ht="12.75">
      <c r="A37" s="223">
        <f t="shared" si="1"/>
        <v>30</v>
      </c>
      <c r="B37" s="88"/>
      <c r="C37" s="88" t="s">
        <v>275</v>
      </c>
      <c r="D37" s="89"/>
      <c r="E37" s="12">
        <v>236561.68428678904</v>
      </c>
      <c r="F37" s="12">
        <v>2442774.115713211</v>
      </c>
      <c r="G37" s="12">
        <v>2679335.8</v>
      </c>
      <c r="H37" s="226" t="s">
        <v>123</v>
      </c>
    </row>
    <row r="38" spans="1:8" ht="12.75">
      <c r="A38" s="223">
        <f t="shared" si="1"/>
        <v>31</v>
      </c>
      <c r="B38" s="88"/>
      <c r="C38" s="88" t="s">
        <v>319</v>
      </c>
      <c r="D38" s="89"/>
      <c r="E38" s="12">
        <v>485901.674038128</v>
      </c>
      <c r="F38" s="12">
        <v>5233697.225961872</v>
      </c>
      <c r="G38" s="12">
        <v>5719598.9</v>
      </c>
      <c r="H38" s="226" t="s">
        <v>482</v>
      </c>
    </row>
    <row r="39" spans="1:8" ht="12.75">
      <c r="A39" s="223">
        <f t="shared" si="1"/>
        <v>32</v>
      </c>
      <c r="B39" s="88"/>
      <c r="C39" s="88" t="s">
        <v>480</v>
      </c>
      <c r="D39" s="89"/>
      <c r="E39" s="12">
        <v>0</v>
      </c>
      <c r="F39" s="12">
        <v>0</v>
      </c>
      <c r="G39" s="12">
        <v>0</v>
      </c>
      <c r="H39" s="226" t="s">
        <v>132</v>
      </c>
    </row>
    <row r="40" spans="1:8" ht="12.75">
      <c r="A40" s="223">
        <f t="shared" si="1"/>
        <v>33</v>
      </c>
      <c r="B40" s="88"/>
      <c r="C40" s="88" t="s">
        <v>278</v>
      </c>
      <c r="D40" s="89"/>
      <c r="E40" s="14">
        <v>12357.6</v>
      </c>
      <c r="F40" s="14">
        <v>112323</v>
      </c>
      <c r="G40" s="14">
        <v>124680.6</v>
      </c>
      <c r="H40" s="226" t="s">
        <v>123</v>
      </c>
    </row>
    <row r="41" spans="1:8" ht="12.75">
      <c r="A41" s="223">
        <f t="shared" si="1"/>
        <v>34</v>
      </c>
      <c r="B41" s="227"/>
      <c r="C41" s="228" t="s">
        <v>481</v>
      </c>
      <c r="D41" s="88"/>
      <c r="E41" s="220">
        <v>6962865.460316728</v>
      </c>
      <c r="F41" s="220">
        <v>59513497.57968327</v>
      </c>
      <c r="G41" s="220">
        <v>66476363.03999999</v>
      </c>
      <c r="H41" s="221"/>
    </row>
    <row r="42" spans="1:8" ht="12.75">
      <c r="A42" s="223">
        <f t="shared" si="1"/>
        <v>35</v>
      </c>
      <c r="B42" s="88"/>
      <c r="C42" s="88"/>
      <c r="D42" s="89"/>
      <c r="E42" s="229">
        <f>+E41/G41</f>
        <v>0.10474197356625918</v>
      </c>
      <c r="F42" s="89"/>
      <c r="G42" s="220">
        <v>66476363.04</v>
      </c>
      <c r="H42" s="89"/>
    </row>
    <row r="43" spans="1:8" ht="12.75">
      <c r="A43" s="223">
        <f t="shared" si="1"/>
        <v>36</v>
      </c>
      <c r="B43" s="88"/>
      <c r="C43" s="88"/>
      <c r="D43" s="89"/>
      <c r="E43" s="89"/>
      <c r="F43" s="89"/>
      <c r="G43" s="89">
        <f>+G41-G42</f>
        <v>0</v>
      </c>
      <c r="H43" s="89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4.7109375" style="4" customWidth="1"/>
    <col min="2" max="2" width="35.8515625" style="4" customWidth="1"/>
    <col min="3" max="5" width="13.7109375" style="3" customWidth="1"/>
    <col min="6" max="6" width="9.140625" style="3" customWidth="1"/>
    <col min="7" max="11" width="9.28125" style="3" bestFit="1" customWidth="1"/>
    <col min="12" max="16384" width="9.140625" style="3" customWidth="1"/>
  </cols>
  <sheetData>
    <row r="1" s="4" customFormat="1" ht="12.75">
      <c r="A1" s="4" t="str">
        <f>'KSM-NCS-4 p1 Rev Req'!A1</f>
        <v>NW Natural</v>
      </c>
    </row>
    <row r="2" s="4" customFormat="1" ht="12.75">
      <c r="A2" s="4" t="str">
        <f>'KSM-NCS-4 p2&amp;3 Adjust Issues'!A3</f>
        <v>Test Period - Twelve Months Ended September 30, 2007</v>
      </c>
    </row>
    <row r="3" spans="1:4" s="4" customFormat="1" ht="12.75">
      <c r="A3" s="4" t="s">
        <v>448</v>
      </c>
      <c r="D3" s="146"/>
    </row>
    <row r="4" s="4" customFormat="1" ht="12.75"/>
    <row r="5" s="4" customFormat="1" ht="12.75"/>
    <row r="6" spans="1:5" s="4" customFormat="1" ht="12.75">
      <c r="A6" s="4" t="s">
        <v>24</v>
      </c>
      <c r="C6" s="25" t="s">
        <v>25</v>
      </c>
      <c r="D6" s="25"/>
      <c r="E6" s="25" t="s">
        <v>26</v>
      </c>
    </row>
    <row r="7" spans="1:5" s="4" customFormat="1" ht="12.75">
      <c r="A7" s="147" t="s">
        <v>45</v>
      </c>
      <c r="C7" s="26" t="s">
        <v>46</v>
      </c>
      <c r="D7" s="26" t="s">
        <v>47</v>
      </c>
      <c r="E7" s="26" t="s">
        <v>48</v>
      </c>
    </row>
    <row r="8" spans="3:5" s="4" customFormat="1" ht="12.75">
      <c r="C8" s="25" t="s">
        <v>64</v>
      </c>
      <c r="D8" s="25" t="s">
        <v>65</v>
      </c>
      <c r="E8" s="25" t="s">
        <v>66</v>
      </c>
    </row>
    <row r="9" spans="2:5" ht="12.75">
      <c r="B9" s="147" t="s">
        <v>77</v>
      </c>
      <c r="C9" s="16"/>
      <c r="D9" s="16"/>
      <c r="E9" s="16"/>
    </row>
    <row r="10" ht="12.75">
      <c r="C10" s="59"/>
    </row>
    <row r="11" spans="1:11" ht="12.75">
      <c r="A11" s="25">
        <v>1</v>
      </c>
      <c r="B11" s="4" t="s">
        <v>94</v>
      </c>
      <c r="C11" s="148">
        <v>0.44226497650056307</v>
      </c>
      <c r="D11" s="222">
        <v>0.06796</v>
      </c>
      <c r="E11" s="8">
        <f>ROUND((+C11*D11),5)</f>
        <v>0.03006</v>
      </c>
      <c r="G11" s="22" t="s">
        <v>632</v>
      </c>
      <c r="H11" s="246"/>
      <c r="I11" s="246"/>
      <c r="J11" s="246"/>
      <c r="K11" s="246"/>
    </row>
    <row r="12" spans="1:7" ht="12.75">
      <c r="A12" s="25">
        <f>A11+1</f>
        <v>2</v>
      </c>
      <c r="B12" s="4" t="s">
        <v>99</v>
      </c>
      <c r="C12" s="148">
        <v>0.0503207484951169</v>
      </c>
      <c r="D12" s="222">
        <v>0.0528</v>
      </c>
      <c r="E12" s="8">
        <f>ROUND((+C12*D12),5)</f>
        <v>0.00266</v>
      </c>
      <c r="G12" s="22" t="s">
        <v>632</v>
      </c>
    </row>
    <row r="13" spans="1:7" ht="12.75">
      <c r="A13" s="25">
        <f>A12+1</f>
        <v>3</v>
      </c>
      <c r="B13" s="4" t="s">
        <v>106</v>
      </c>
      <c r="C13" s="148">
        <v>0</v>
      </c>
      <c r="D13" s="222">
        <v>0</v>
      </c>
      <c r="E13" s="8">
        <f>ROUND((+C13*D13),5)</f>
        <v>0</v>
      </c>
      <c r="G13" s="22"/>
    </row>
    <row r="14" spans="1:7" ht="12.75">
      <c r="A14" s="25">
        <f>A13+1</f>
        <v>4</v>
      </c>
      <c r="B14" s="4" t="s">
        <v>111</v>
      </c>
      <c r="C14" s="149">
        <v>0.5074142750043201</v>
      </c>
      <c r="D14" s="222">
        <v>0.1065</v>
      </c>
      <c r="E14" s="84">
        <f>ROUND((+C14*D14),5)</f>
        <v>0.05404</v>
      </c>
      <c r="G14" s="22" t="s">
        <v>533</v>
      </c>
    </row>
    <row r="15" spans="1:5" ht="12.75">
      <c r="A15" s="25"/>
      <c r="C15" s="8"/>
      <c r="D15" s="8"/>
      <c r="E15" s="8"/>
    </row>
    <row r="16" spans="1:5" ht="13.5" thickBot="1">
      <c r="A16" s="25">
        <f>A14+1</f>
        <v>5</v>
      </c>
      <c r="B16" s="4" t="s">
        <v>121</v>
      </c>
      <c r="C16" s="150">
        <f>SUM(C11:C15)</f>
        <v>1</v>
      </c>
      <c r="D16" s="8"/>
      <c r="E16" s="150">
        <f>SUM(E11:E15)</f>
        <v>0.08676</v>
      </c>
    </row>
    <row r="17" spans="1:4" ht="13.5" thickTop="1">
      <c r="A17" s="25"/>
      <c r="D17" s="59"/>
    </row>
    <row r="18" spans="1:5" ht="12.75">
      <c r="A18" s="25"/>
      <c r="B18" s="147" t="s">
        <v>133</v>
      </c>
      <c r="D18" s="59"/>
      <c r="E18" s="59"/>
    </row>
    <row r="19" spans="1:5" ht="12.75">
      <c r="A19" s="25"/>
      <c r="D19" s="59"/>
      <c r="E19" s="59"/>
    </row>
    <row r="20" spans="1:5" ht="12.75">
      <c r="A20" s="25">
        <f>A16+1</f>
        <v>6</v>
      </c>
      <c r="B20" s="4" t="s">
        <v>140</v>
      </c>
      <c r="C20" s="59">
        <f>'KSM-NCS-4 p1 Rev Req'!E12/'KSM-NCS-4 p1 Rev Req'!E$16</f>
        <v>0.9866420692475277</v>
      </c>
      <c r="D20" s="137"/>
      <c r="E20" s="137"/>
    </row>
    <row r="21" spans="1:5" ht="12.75">
      <c r="A21" s="25">
        <f>A20+1</f>
        <v>7</v>
      </c>
      <c r="B21" s="4" t="s">
        <v>107</v>
      </c>
      <c r="C21" s="59">
        <f>'KSM-NCS-4 p1 Rev Req'!E13/'KSM-NCS-4 p1 Rev Req'!E$16</f>
        <v>0.009893860983849864</v>
      </c>
      <c r="D21" s="137"/>
      <c r="E21" s="137"/>
    </row>
    <row r="22" spans="1:3" ht="12.75">
      <c r="A22" s="25">
        <f>A21+1</f>
        <v>8</v>
      </c>
      <c r="B22" s="4" t="s">
        <v>149</v>
      </c>
      <c r="C22" s="151">
        <f>'KSM-NCS-4 p1 Rev Req'!E14/'KSM-NCS-4 p1 Rev Req'!E$16</f>
        <v>0.003464069768622364</v>
      </c>
    </row>
    <row r="23" spans="1:3" ht="12.75">
      <c r="A23" s="25"/>
      <c r="C23" s="38"/>
    </row>
    <row r="24" spans="1:3" ht="12.75">
      <c r="A24" s="25">
        <f>A22+1</f>
        <v>9</v>
      </c>
      <c r="B24" s="4" t="s">
        <v>124</v>
      </c>
      <c r="C24" s="59">
        <f>C22+C21+C20</f>
        <v>1</v>
      </c>
    </row>
    <row r="25" spans="1:3" ht="12.75">
      <c r="A25" s="25"/>
      <c r="C25" s="59"/>
    </row>
    <row r="26" spans="1:3" ht="12.75">
      <c r="A26" s="25">
        <f>A24+1</f>
        <v>10</v>
      </c>
      <c r="B26" s="4" t="s">
        <v>158</v>
      </c>
      <c r="C26" s="59">
        <f>C49</f>
        <v>0.0031957534790037828</v>
      </c>
    </row>
    <row r="27" spans="1:3" ht="12.75">
      <c r="A27" s="25">
        <f>A26+1</f>
        <v>11</v>
      </c>
      <c r="B27" s="4" t="s">
        <v>162</v>
      </c>
      <c r="C27" s="59">
        <v>0</v>
      </c>
    </row>
    <row r="28" spans="1:3" ht="12.75">
      <c r="A28" s="25">
        <f>A27+1</f>
        <v>12</v>
      </c>
      <c r="B28" s="4" t="s">
        <v>164</v>
      </c>
      <c r="C28" s="59">
        <v>0.03852</v>
      </c>
    </row>
    <row r="29" spans="1:4" ht="12.75">
      <c r="A29" s="25">
        <f>A28+1</f>
        <v>13</v>
      </c>
      <c r="B29" s="4" t="s">
        <v>165</v>
      </c>
      <c r="C29" s="151">
        <v>0.002</v>
      </c>
      <c r="D29" s="137"/>
    </row>
    <row r="30" spans="1:4" ht="12.75">
      <c r="A30" s="25"/>
      <c r="C30" s="38"/>
      <c r="D30" s="137"/>
    </row>
    <row r="31" spans="1:3" ht="12.75">
      <c r="A31" s="25">
        <f>A29+1</f>
        <v>14</v>
      </c>
      <c r="B31" s="4" t="s">
        <v>172</v>
      </c>
      <c r="C31" s="59">
        <f>C24-C26-C27-C29-C28</f>
        <v>0.9562842465209962</v>
      </c>
    </row>
    <row r="32" spans="1:3" ht="12.75">
      <c r="A32" s="25">
        <f>A31+1</f>
        <v>15</v>
      </c>
      <c r="B32" s="4" t="s">
        <v>176</v>
      </c>
      <c r="C32" s="151">
        <v>0</v>
      </c>
    </row>
    <row r="33" ht="12.75">
      <c r="A33" s="25"/>
    </row>
    <row r="34" spans="1:3" ht="12.75">
      <c r="A34" s="25">
        <f>A32+1</f>
        <v>16</v>
      </c>
      <c r="B34" s="4" t="s">
        <v>179</v>
      </c>
      <c r="C34" s="59">
        <f>C31-C32</f>
        <v>0.9562842465209962</v>
      </c>
    </row>
    <row r="35" spans="1:3" ht="12.75">
      <c r="A35" s="25">
        <f>A34+1</f>
        <v>17</v>
      </c>
      <c r="B35" s="4" t="s">
        <v>154</v>
      </c>
      <c r="C35" s="151">
        <f>C48*C34</f>
        <v>0.33469948628234863</v>
      </c>
    </row>
    <row r="36" spans="1:3" ht="12.75">
      <c r="A36" s="25"/>
      <c r="C36" s="38"/>
    </row>
    <row r="37" spans="1:3" ht="12.75">
      <c r="A37" s="25">
        <f>A35+1</f>
        <v>18</v>
      </c>
      <c r="B37" s="4" t="s">
        <v>185</v>
      </c>
      <c r="C37" s="59">
        <f>C35+C32</f>
        <v>0.33469948628234863</v>
      </c>
    </row>
    <row r="38" ht="12.75">
      <c r="A38" s="25"/>
    </row>
    <row r="39" spans="1:3" ht="12.75">
      <c r="A39" s="25">
        <f>A37+1</f>
        <v>19</v>
      </c>
      <c r="B39" s="4" t="s">
        <v>191</v>
      </c>
      <c r="C39" s="151">
        <f>C37+C27+C29+C26+C28</f>
        <v>0.37841523976135244</v>
      </c>
    </row>
    <row r="40" spans="1:3" ht="12.75">
      <c r="A40" s="25"/>
      <c r="C40" s="38"/>
    </row>
    <row r="41" spans="1:3" ht="13.5" thickBot="1">
      <c r="A41" s="25">
        <f>A39+1</f>
        <v>20</v>
      </c>
      <c r="B41" s="4" t="s">
        <v>195</v>
      </c>
      <c r="C41" s="133">
        <f>C34-C35</f>
        <v>0.6215847602386475</v>
      </c>
    </row>
    <row r="42" ht="13.5" thickTop="1">
      <c r="A42" s="25"/>
    </row>
    <row r="43" spans="1:3" ht="12.75">
      <c r="A43" s="25"/>
      <c r="C43" s="59"/>
    </row>
    <row r="44" spans="1:3" ht="12.75">
      <c r="A44" s="25">
        <f>A41+1</f>
        <v>21</v>
      </c>
      <c r="B44" s="4" t="s">
        <v>202</v>
      </c>
      <c r="C44" s="152">
        <f>ROUND(1/C41,5)</f>
        <v>1.60879</v>
      </c>
    </row>
    <row r="45" spans="1:3" ht="12.75">
      <c r="A45" s="25"/>
      <c r="C45" s="152"/>
    </row>
    <row r="46" spans="1:3" ht="12.75">
      <c r="A46" s="25">
        <f>A44+1</f>
        <v>22</v>
      </c>
      <c r="B46" s="4" t="s">
        <v>209</v>
      </c>
      <c r="C46" s="152">
        <f>E11+E12</f>
        <v>0.03272</v>
      </c>
    </row>
    <row r="47" spans="1:3" ht="12.75">
      <c r="A47" s="25"/>
      <c r="C47" s="59"/>
    </row>
    <row r="48" spans="1:3" ht="12.75">
      <c r="A48" s="25">
        <f>A46+1</f>
        <v>23</v>
      </c>
      <c r="B48" s="146" t="s">
        <v>215</v>
      </c>
      <c r="C48" s="59">
        <v>0.35</v>
      </c>
    </row>
    <row r="49" spans="1:3" ht="12.75">
      <c r="A49" s="25">
        <f>A48+1</f>
        <v>24</v>
      </c>
      <c r="B49" s="146" t="s">
        <v>220</v>
      </c>
      <c r="C49" s="59">
        <f>'KSM-NCS-4 p11 Uncollectibles'!C48</f>
        <v>0.0031957534790037828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.7109375" style="4" customWidth="1"/>
    <col min="2" max="2" width="41.7109375" style="4" customWidth="1"/>
    <col min="3" max="6" width="13.7109375" style="3" customWidth="1"/>
    <col min="7" max="7" width="14.7109375" style="3" customWidth="1"/>
    <col min="8" max="8" width="9.140625" style="3" customWidth="1"/>
    <col min="9" max="9" width="11.421875" style="3" customWidth="1"/>
    <col min="10" max="10" width="17.140625" style="3" customWidth="1"/>
    <col min="11" max="11" width="16.00390625" style="3" customWidth="1"/>
    <col min="12" max="14" width="12.7109375" style="3" customWidth="1"/>
    <col min="15" max="15" width="21.421875" style="16" customWidth="1"/>
    <col min="16" max="16384" width="9.140625" style="3" customWidth="1"/>
  </cols>
  <sheetData>
    <row r="1" s="4" customFormat="1" ht="12.75">
      <c r="A1" s="4" t="s">
        <v>0</v>
      </c>
    </row>
    <row r="2" spans="1:6" s="4" customFormat="1" ht="12.75">
      <c r="A2" s="4" t="s">
        <v>4</v>
      </c>
      <c r="F2" s="69"/>
    </row>
    <row r="3" spans="1:6" s="4" customFormat="1" ht="12.75">
      <c r="A3" s="36" t="str">
        <f>+'KSM-NCS-3 p1 Test Year Results'!A3</f>
        <v>Test Year Based on Twelve Months Ended September 30, 2007</v>
      </c>
      <c r="F3" s="69"/>
    </row>
    <row r="4" s="4" customFormat="1" ht="12.75">
      <c r="G4" s="134"/>
    </row>
    <row r="5" spans="3:7" s="4" customFormat="1" ht="12.75">
      <c r="C5" s="438" t="s">
        <v>631</v>
      </c>
      <c r="D5" s="438"/>
      <c r="E5" s="438"/>
      <c r="F5" s="438"/>
      <c r="G5" s="438"/>
    </row>
    <row r="6" spans="4:7" s="4" customFormat="1" ht="12.75">
      <c r="D6" s="25"/>
      <c r="E6" s="25"/>
      <c r="F6" s="25" t="s">
        <v>16</v>
      </c>
      <c r="G6" s="25" t="s">
        <v>17</v>
      </c>
    </row>
    <row r="7" spans="1:7" s="4" customFormat="1" ht="12.75">
      <c r="A7" s="25" t="s">
        <v>20</v>
      </c>
      <c r="C7" s="25" t="s">
        <v>15</v>
      </c>
      <c r="D7" s="25"/>
      <c r="E7" s="25" t="s">
        <v>15</v>
      </c>
      <c r="F7" s="25" t="s">
        <v>22</v>
      </c>
      <c r="G7" s="135">
        <f>'KSM-NCS-3 p10 Cost of Cap'!D14</f>
        <v>0.1065</v>
      </c>
    </row>
    <row r="8" spans="1:7" s="4" customFormat="1" ht="12.75">
      <c r="A8" s="26" t="s">
        <v>37</v>
      </c>
      <c r="C8" s="26" t="s">
        <v>21</v>
      </c>
      <c r="D8" s="26" t="s">
        <v>38</v>
      </c>
      <c r="E8" s="26" t="s">
        <v>39</v>
      </c>
      <c r="F8" s="26" t="s">
        <v>40</v>
      </c>
      <c r="G8" s="26" t="s">
        <v>41</v>
      </c>
    </row>
    <row r="9" spans="1:7" s="4" customFormat="1" ht="12.75">
      <c r="A9" s="25"/>
      <c r="C9" s="25" t="s">
        <v>64</v>
      </c>
      <c r="D9" s="25" t="s">
        <v>65</v>
      </c>
      <c r="E9" s="25" t="s">
        <v>66</v>
      </c>
      <c r="F9" s="25" t="s">
        <v>67</v>
      </c>
      <c r="G9" s="25" t="s">
        <v>68</v>
      </c>
    </row>
    <row r="10" spans="1:5" ht="12.75">
      <c r="A10" s="25"/>
      <c r="E10" s="8"/>
    </row>
    <row r="11" spans="1:9" ht="12.75">
      <c r="A11" s="25"/>
      <c r="B11" s="4" t="s">
        <v>87</v>
      </c>
      <c r="C11" s="124"/>
      <c r="D11" s="124"/>
      <c r="E11" s="124"/>
      <c r="G11" s="124"/>
      <c r="I11" s="3">
        <v>4482866</v>
      </c>
    </row>
    <row r="12" spans="1:11" ht="12.75">
      <c r="A12" s="25">
        <v>1</v>
      </c>
      <c r="B12" s="4" t="s">
        <v>91</v>
      </c>
      <c r="C12" s="38">
        <f>+'KSM-NCS-4 p6 Rev &amp; Cost'!E25</f>
        <v>93509688</v>
      </c>
      <c r="D12" s="38">
        <f>'KSM-NCS-4 p2&amp;3 Adjust Issues'!V13</f>
        <v>-3247876.475173849</v>
      </c>
      <c r="E12" s="38">
        <f>C12+D12</f>
        <v>90261811.52482615</v>
      </c>
      <c r="F12" s="38">
        <f>D57</f>
        <v>4342062.473224933</v>
      </c>
      <c r="G12" s="38">
        <f>F12+E12</f>
        <v>94603873.99805109</v>
      </c>
      <c r="H12" s="22"/>
      <c r="I12" s="3">
        <f>+I11-F16</f>
        <v>140803.52677506674</v>
      </c>
      <c r="K12" s="8"/>
    </row>
    <row r="13" spans="1:11" ht="12.75">
      <c r="A13" s="25">
        <v>2</v>
      </c>
      <c r="B13" s="4" t="s">
        <v>98</v>
      </c>
      <c r="C13" s="34">
        <f>+'KSM-NCS-4 p6 Rev &amp; Cost'!E33</f>
        <v>897029.45</v>
      </c>
      <c r="D13" s="34">
        <f>'KSM-NCS-4 p2&amp;3 Adjust Issues'!V14</f>
        <v>8099.008649823838</v>
      </c>
      <c r="E13" s="34">
        <f>C13+D13</f>
        <v>905128.4586498238</v>
      </c>
      <c r="F13" s="127">
        <v>0</v>
      </c>
      <c r="G13" s="127">
        <f>F13+E13</f>
        <v>905128.4586498238</v>
      </c>
      <c r="I13" s="8"/>
      <c r="K13" s="8"/>
    </row>
    <row r="14" spans="1:11" ht="12.75">
      <c r="A14" s="25">
        <v>3</v>
      </c>
      <c r="B14" s="4" t="s">
        <v>103</v>
      </c>
      <c r="C14" s="136">
        <f>+'KSM-NCS-3 p9 Other Rev&amp;Tax'!E19</f>
        <v>218623.97000000003</v>
      </c>
      <c r="D14" s="136">
        <f>'KSM-NCS-4 p2&amp;3 Adjust Issues'!V15</f>
        <v>98282.45666666665</v>
      </c>
      <c r="E14" s="136">
        <f>D14+C14</f>
        <v>316906.4266666667</v>
      </c>
      <c r="F14" s="129">
        <v>0</v>
      </c>
      <c r="G14" s="129">
        <f>F14+E14</f>
        <v>316906.4266666667</v>
      </c>
      <c r="K14" s="8"/>
    </row>
    <row r="15" spans="1:11" ht="12.75">
      <c r="A15" s="25"/>
      <c r="C15" s="34"/>
      <c r="D15" s="34"/>
      <c r="E15" s="34"/>
      <c r="F15" s="127"/>
      <c r="G15" s="127"/>
      <c r="K15" s="8"/>
    </row>
    <row r="16" spans="1:11" ht="12.75">
      <c r="A16" s="25">
        <v>4</v>
      </c>
      <c r="B16" s="4" t="s">
        <v>117</v>
      </c>
      <c r="C16" s="34">
        <f>SUM(C12:C15)</f>
        <v>94625341.42</v>
      </c>
      <c r="D16" s="34">
        <f>SUM(D12:D15)</f>
        <v>-3141495.009857359</v>
      </c>
      <c r="E16" s="34">
        <f>SUM(E12:E15)</f>
        <v>91483846.41014265</v>
      </c>
      <c r="F16" s="127">
        <f>SUM(F12:F15)</f>
        <v>4342062.473224933</v>
      </c>
      <c r="G16" s="127">
        <f>SUM(G12:G15)</f>
        <v>95825908.88336758</v>
      </c>
      <c r="I16" s="8"/>
      <c r="K16" s="8"/>
    </row>
    <row r="17" spans="1:11" ht="12.75">
      <c r="A17" s="25"/>
      <c r="B17" s="85"/>
      <c r="C17" s="34"/>
      <c r="D17" s="34"/>
      <c r="E17" s="34"/>
      <c r="F17" s="127"/>
      <c r="G17" s="127"/>
      <c r="K17" s="8"/>
    </row>
    <row r="18" spans="1:11" ht="12.75">
      <c r="A18" s="25"/>
      <c r="B18" s="4" t="s">
        <v>125</v>
      </c>
      <c r="C18" s="34"/>
      <c r="D18" s="34"/>
      <c r="E18" s="34"/>
      <c r="F18" s="127"/>
      <c r="G18" s="127"/>
      <c r="K18" s="8"/>
    </row>
    <row r="19" spans="1:11" ht="12.75">
      <c r="A19" s="25">
        <v>5</v>
      </c>
      <c r="B19" s="4" t="s">
        <v>130</v>
      </c>
      <c r="C19" s="34">
        <f>+'KSM-NCS-4 p6 Rev &amp; Cost'!E52</f>
        <v>59716330.81000009</v>
      </c>
      <c r="D19" s="34">
        <f>'KSM-NCS-4 p2&amp;3 Adjust Issues'!V20</f>
        <v>-2326804.2686488405</v>
      </c>
      <c r="E19" s="34">
        <f>C19+D19</f>
        <v>57389526.54135125</v>
      </c>
      <c r="F19" s="127">
        <v>0</v>
      </c>
      <c r="G19" s="127">
        <f>F19+E19</f>
        <v>57389526.54135125</v>
      </c>
      <c r="K19" s="8"/>
    </row>
    <row r="20" spans="1:11" ht="12.75">
      <c r="A20" s="25">
        <v>6</v>
      </c>
      <c r="B20" s="4" t="s">
        <v>135</v>
      </c>
      <c r="C20" s="111">
        <v>271924.74</v>
      </c>
      <c r="D20" s="34">
        <f>'KSM-NCS-4 p2&amp;3 Adjust Issues'!V21</f>
        <v>40206.177909249476</v>
      </c>
      <c r="E20" s="34">
        <f>C20+D20</f>
        <v>312130.9179092495</v>
      </c>
      <c r="F20" s="127">
        <f>D57*'KSM-NCS-3 p10 Cost of Cap'!C26</f>
        <v>13876.16125486035</v>
      </c>
      <c r="G20" s="127">
        <f>F20+E20</f>
        <v>326007.07916410983</v>
      </c>
      <c r="I20" s="137"/>
      <c r="K20" s="8"/>
    </row>
    <row r="21" spans="1:11" ht="12.75">
      <c r="A21" s="25">
        <v>7</v>
      </c>
      <c r="B21" s="4" t="s">
        <v>138</v>
      </c>
      <c r="C21" s="138">
        <f>11881774.5-C20</f>
        <v>11609849.76</v>
      </c>
      <c r="D21" s="136">
        <f>'KSM-NCS-4 p2&amp;3 Adjust Issues'!V22</f>
        <v>-592976.5741802888</v>
      </c>
      <c r="E21" s="136">
        <f>C21+D21</f>
        <v>11016873.185819712</v>
      </c>
      <c r="F21" s="129">
        <v>0</v>
      </c>
      <c r="G21" s="129">
        <f>F21+E21</f>
        <v>11016873.185819712</v>
      </c>
      <c r="I21" s="137"/>
      <c r="K21" s="8"/>
    </row>
    <row r="22" spans="1:11" ht="12.75">
      <c r="A22" s="25"/>
      <c r="C22" s="34"/>
      <c r="D22" s="34"/>
      <c r="E22" s="34"/>
      <c r="F22" s="127"/>
      <c r="G22" s="127"/>
      <c r="I22" s="137"/>
      <c r="K22" s="8"/>
    </row>
    <row r="23" spans="1:11" ht="12.75">
      <c r="A23" s="25">
        <v>8</v>
      </c>
      <c r="B23" s="4" t="s">
        <v>147</v>
      </c>
      <c r="C23" s="34">
        <f>SUM(C19:C22)</f>
        <v>71598105.31000009</v>
      </c>
      <c r="D23" s="34">
        <f>SUM(D18:D21)</f>
        <v>-2879574.6649198798</v>
      </c>
      <c r="E23" s="34">
        <f>SUM(E18:E21)</f>
        <v>68718530.64508021</v>
      </c>
      <c r="F23" s="127">
        <f>SUM(F18:F21)</f>
        <v>13876.16125486035</v>
      </c>
      <c r="G23" s="127">
        <f>SUM(G18:G21)</f>
        <v>68732406.80633508</v>
      </c>
      <c r="I23" s="15"/>
      <c r="K23" s="8"/>
    </row>
    <row r="24" spans="1:11" ht="12.75">
      <c r="A24" s="25"/>
      <c r="B24" s="69"/>
      <c r="C24" s="34"/>
      <c r="D24" s="34"/>
      <c r="E24" s="34"/>
      <c r="F24" s="127"/>
      <c r="G24" s="127"/>
      <c r="I24" s="137"/>
      <c r="K24" s="8"/>
    </row>
    <row r="25" spans="1:11" ht="12.75">
      <c r="A25" s="25"/>
      <c r="C25" s="34"/>
      <c r="D25" s="34"/>
      <c r="E25" s="34"/>
      <c r="F25" s="127"/>
      <c r="G25" s="127"/>
      <c r="I25" s="137"/>
      <c r="K25" s="8"/>
    </row>
    <row r="26" spans="1:11" ht="12.75">
      <c r="A26" s="25">
        <v>9</v>
      </c>
      <c r="B26" s="4" t="s">
        <v>154</v>
      </c>
      <c r="C26" s="34">
        <f>'KSM-NCS-3 p8 Taxes'!C27</f>
        <v>2244420.7445379733</v>
      </c>
      <c r="D26" s="34">
        <f>'KSM-NCS-4 p2&amp;3 Adjust Issues'!V27</f>
        <v>192862.572</v>
      </c>
      <c r="E26" s="34">
        <f>C26+D26</f>
        <v>2437283.3165379735</v>
      </c>
      <c r="F26" s="127">
        <f>(D57-F20-F28)*'KSM-NCS-3 p10 Cost of Cap'!C48</f>
        <v>1453286.0791942494</v>
      </c>
      <c r="G26" s="127">
        <f>F26+E26</f>
        <v>3890569.395732223</v>
      </c>
      <c r="I26" s="137"/>
      <c r="K26" s="8"/>
    </row>
    <row r="27" spans="1:11" ht="12.75">
      <c r="A27" s="25">
        <v>10</v>
      </c>
      <c r="B27" s="4" t="s">
        <v>157</v>
      </c>
      <c r="C27" s="34">
        <f>+'KSM-NCS-3 p9 Other Rev&amp;Tax'!E24</f>
        <v>974950.39</v>
      </c>
      <c r="D27" s="34">
        <f>'KSM-NCS-4 p2&amp;3 Adjust Issues'!V28</f>
        <v>77059.60999999999</v>
      </c>
      <c r="E27" s="34">
        <f>C27+D27</f>
        <v>1052010</v>
      </c>
      <c r="F27" s="127">
        <v>0</v>
      </c>
      <c r="G27" s="127">
        <f>F27+E27</f>
        <v>1052010</v>
      </c>
      <c r="I27" s="137"/>
      <c r="K27" s="8"/>
    </row>
    <row r="28" spans="1:11" ht="12.75">
      <c r="A28" s="25">
        <v>11</v>
      </c>
      <c r="B28" s="4" t="s">
        <v>161</v>
      </c>
      <c r="C28" s="34">
        <f>+'KSM-NCS-3 p9 Other Rev&amp;Tax'!E30-C27</f>
        <v>4372664.768557201</v>
      </c>
      <c r="D28" s="34">
        <f>'KSM-NCS-4 p2&amp;3 Adjust Issues'!V29</f>
        <v>-118599.47215660004</v>
      </c>
      <c r="E28" s="34">
        <f>C28+D28</f>
        <v>4254065.296400601</v>
      </c>
      <c r="F28" s="127">
        <f>D57*('KSM-NCS-3 p10 Cost of Cap'!C27+'KSM-NCS-3 p10 Cost of Cap'!C28+'KSM-NCS-3 p10 Cost of Cap'!C29)</f>
        <v>175940.3714150743</v>
      </c>
      <c r="G28" s="127">
        <f>F28+E28</f>
        <v>4430005.667815675</v>
      </c>
      <c r="I28" s="137"/>
      <c r="K28" s="8"/>
    </row>
    <row r="29" spans="1:11" ht="12.75">
      <c r="A29" s="25">
        <v>12</v>
      </c>
      <c r="B29" s="4" t="s">
        <v>163</v>
      </c>
      <c r="C29" s="136">
        <f>+'KSM-NCS-3 p9 Other Rev&amp;Tax'!E41</f>
        <v>6962865.460316728</v>
      </c>
      <c r="D29" s="136">
        <f>'KSM-NCS-4 p2&amp;3 Adjust Issues'!V30</f>
        <v>-385985.0499317705</v>
      </c>
      <c r="E29" s="136">
        <f>C29+D29</f>
        <v>6576880.410384958</v>
      </c>
      <c r="F29" s="129">
        <v>0</v>
      </c>
      <c r="G29" s="129">
        <f>F29+E29</f>
        <v>6576880.410384958</v>
      </c>
      <c r="I29" s="137"/>
      <c r="K29" s="8"/>
    </row>
    <row r="30" spans="1:11" ht="12.75">
      <c r="A30" s="25"/>
      <c r="C30" s="34"/>
      <c r="D30" s="34"/>
      <c r="E30" s="34"/>
      <c r="F30" s="127"/>
      <c r="G30" s="127"/>
      <c r="K30" s="8"/>
    </row>
    <row r="31" spans="1:11" ht="12.75">
      <c r="A31" s="25">
        <v>13</v>
      </c>
      <c r="B31" s="4" t="s">
        <v>167</v>
      </c>
      <c r="C31" s="136">
        <f>SUM(C23:C30)</f>
        <v>86153006.67341201</v>
      </c>
      <c r="D31" s="136">
        <f>SUM(D23:D30)</f>
        <v>-3114237.0050082505</v>
      </c>
      <c r="E31" s="136">
        <f>SUM(E23:E30)</f>
        <v>83038769.66840374</v>
      </c>
      <c r="F31" s="129">
        <f>SUM(F23:F30)</f>
        <v>1643102.611864184</v>
      </c>
      <c r="G31" s="129">
        <f>SUM(G23:G30)</f>
        <v>84681872.28026792</v>
      </c>
      <c r="I31" s="137"/>
      <c r="K31" s="8"/>
    </row>
    <row r="32" spans="1:11" ht="12.75">
      <c r="A32" s="25"/>
      <c r="K32" s="8"/>
    </row>
    <row r="33" spans="1:11" ht="13.5" thickBot="1">
      <c r="A33" s="25">
        <v>14</v>
      </c>
      <c r="B33" s="4" t="s">
        <v>174</v>
      </c>
      <c r="C33" s="139">
        <f>C16-C31</f>
        <v>8472334.746587992</v>
      </c>
      <c r="D33" s="139">
        <f>D16-D31</f>
        <v>-27258.0048491084</v>
      </c>
      <c r="E33" s="139">
        <f>E16-E31</f>
        <v>8445076.7417389</v>
      </c>
      <c r="F33" s="139">
        <f>F16-F31</f>
        <v>2698959.861360749</v>
      </c>
      <c r="G33" s="139">
        <f>G16-G31</f>
        <v>11144036.60309966</v>
      </c>
      <c r="K33" s="8"/>
    </row>
    <row r="34" spans="1:11" ht="13.5" thickTop="1">
      <c r="A34" s="25"/>
      <c r="C34" s="107"/>
      <c r="D34" s="107"/>
      <c r="E34" s="107"/>
      <c r="F34" s="107"/>
      <c r="G34" s="107"/>
      <c r="K34" s="8"/>
    </row>
    <row r="35" spans="1:11" ht="13.5" thickBot="1">
      <c r="A35" s="25">
        <v>15</v>
      </c>
      <c r="B35" s="4" t="s">
        <v>178</v>
      </c>
      <c r="C35" s="139">
        <f>+'KSM-NCS-3 p6&amp;7 Rate Base'!Q97</f>
        <v>118753441.0894271</v>
      </c>
      <c r="D35" s="139">
        <f>'KSM-NCS-4 p2&amp;3 Adjust Issues'!V48</f>
        <v>9693289.743621457</v>
      </c>
      <c r="E35" s="139">
        <f>C35+D35</f>
        <v>128446730.83304855</v>
      </c>
      <c r="F35" s="139">
        <v>0</v>
      </c>
      <c r="G35" s="139">
        <f>F35+E35</f>
        <v>128446730.83304855</v>
      </c>
      <c r="K35" s="8"/>
    </row>
    <row r="36" spans="1:9" ht="13.5" thickTop="1">
      <c r="A36" s="25"/>
      <c r="C36" s="38"/>
      <c r="D36" s="38"/>
      <c r="E36" s="38"/>
      <c r="F36" s="38"/>
      <c r="G36" s="38"/>
      <c r="I36" s="137"/>
    </row>
    <row r="37" spans="1:4" ht="12.75">
      <c r="A37" s="25"/>
      <c r="D37" s="30"/>
    </row>
    <row r="38" spans="1:15" ht="13.5" thickBot="1">
      <c r="A38" s="25">
        <v>16</v>
      </c>
      <c r="B38" s="4" t="s">
        <v>183</v>
      </c>
      <c r="C38" s="133">
        <f>ROUND(+C33/C35,5)</f>
        <v>0.07134</v>
      </c>
      <c r="D38" s="30"/>
      <c r="E38" s="133">
        <f>ROUND(+E33/E35,5)</f>
        <v>0.06575</v>
      </c>
      <c r="F38" s="30"/>
      <c r="G38" s="133">
        <f>'KSM-NCS-3 p10 Cost of Cap'!E16</f>
        <v>0.08676</v>
      </c>
      <c r="J38" s="4"/>
      <c r="L38" s="140"/>
      <c r="M38" s="140"/>
      <c r="N38" s="43"/>
      <c r="O38" s="19"/>
    </row>
    <row r="39" spans="1:15" ht="13.5" thickTop="1">
      <c r="A39" s="25"/>
      <c r="C39" s="59"/>
      <c r="D39" s="30"/>
      <c r="E39" s="59"/>
      <c r="F39" s="30"/>
      <c r="G39" s="59"/>
      <c r="J39" s="11"/>
      <c r="L39" s="43"/>
      <c r="M39" s="43"/>
      <c r="N39" s="43"/>
      <c r="O39" s="19"/>
    </row>
    <row r="40" spans="1:15" ht="13.5" thickBot="1">
      <c r="A40" s="25">
        <v>17</v>
      </c>
      <c r="B40" s="4" t="s">
        <v>190</v>
      </c>
      <c r="C40" s="133">
        <f>((+C38-'KSM-NCS-3 p10 Cost of Cap'!$E$11-'KSM-NCS-3 p10 Cost of Cap'!$E$12-'KSM-NCS-3 p10 Cost of Cap'!$E$13)/'KSM-NCS-3 p10 Cost of Cap'!$C$14)</f>
        <v>0.07611137861596658</v>
      </c>
      <c r="D40" s="30"/>
      <c r="E40" s="133">
        <f>((+E38-'KSM-NCS-3 p10 Cost of Cap'!$E$11-'KSM-NCS-3 p10 Cost of Cap'!$E$12-'KSM-NCS-3 p10 Cost of Cap'!$E$13)/'KSM-NCS-3 p10 Cost of Cap'!$C$14)</f>
        <v>0.06509473940148566</v>
      </c>
      <c r="F40" s="30"/>
      <c r="G40" s="133">
        <f>((+G38-'KSM-NCS-3 p10 Cost of Cap'!$E$11-'KSM-NCS-3 p10 Cost of Cap'!$E$12-'KSM-NCS-3 p10 Cost of Cap'!$E$13)/'KSM-NCS-3 p10 Cost of Cap'!$C$14)</f>
        <v>0.10650074832746852</v>
      </c>
      <c r="J40" s="4"/>
      <c r="L40" s="43"/>
      <c r="M40" s="43"/>
      <c r="N40" s="43"/>
      <c r="O40" s="19"/>
    </row>
    <row r="41" spans="6:10" ht="13.5" thickTop="1">
      <c r="F41" s="30"/>
      <c r="J41" s="4"/>
    </row>
    <row r="43" ht="12.75">
      <c r="J43" s="36"/>
    </row>
    <row r="45" ht="12.75">
      <c r="B45" s="4" t="s">
        <v>198</v>
      </c>
    </row>
    <row r="46" spans="1:4" ht="12.75">
      <c r="A46" s="25">
        <v>1</v>
      </c>
      <c r="B46" s="4" t="s">
        <v>206</v>
      </c>
      <c r="C46" s="30"/>
      <c r="D46" s="3">
        <f>G33+G26</f>
        <v>15034605.998831883</v>
      </c>
    </row>
    <row r="47" spans="1:4" ht="12.75">
      <c r="A47" s="25">
        <v>2</v>
      </c>
      <c r="B47" s="4" t="s">
        <v>208</v>
      </c>
      <c r="C47" s="30"/>
      <c r="D47" s="3">
        <f>G35*'KSM-NCS-3 p10 Cost of Cap'!C46</f>
        <v>4202777.032857348</v>
      </c>
    </row>
    <row r="48" spans="1:4" ht="12.75">
      <c r="A48" s="25">
        <v>3</v>
      </c>
      <c r="B48" s="4" t="s">
        <v>211</v>
      </c>
      <c r="C48" s="30"/>
      <c r="D48" s="141">
        <f>'KSM-NCS-3 p8 Taxes'!C17</f>
        <v>-242549</v>
      </c>
    </row>
    <row r="49" spans="1:4" ht="12.75">
      <c r="A49" s="25">
        <v>4</v>
      </c>
      <c r="B49" s="36" t="s">
        <v>451</v>
      </c>
      <c r="C49" s="30"/>
      <c r="D49" s="3">
        <f>D46-D47+D48</f>
        <v>10589279.965974536</v>
      </c>
    </row>
    <row r="50" spans="1:8" ht="12.75">
      <c r="A50" s="25">
        <v>5</v>
      </c>
      <c r="B50" s="36" t="s">
        <v>385</v>
      </c>
      <c r="C50" s="30"/>
      <c r="D50" s="3">
        <f>D49*0.35-70640</f>
        <v>3635607.9880910874</v>
      </c>
      <c r="H50" s="142"/>
    </row>
    <row r="51" spans="1:4" ht="12.75">
      <c r="A51" s="25">
        <v>6</v>
      </c>
      <c r="B51" s="4" t="s">
        <v>217</v>
      </c>
      <c r="C51" s="30"/>
      <c r="D51" s="141">
        <f>G26</f>
        <v>3890569.395732223</v>
      </c>
    </row>
    <row r="52" spans="1:8" ht="12.75">
      <c r="A52" s="25">
        <v>7</v>
      </c>
      <c r="B52" s="4" t="s">
        <v>219</v>
      </c>
      <c r="C52" s="30"/>
      <c r="D52" s="3">
        <f>D50-D51</f>
        <v>-254961.40764113562</v>
      </c>
      <c r="H52" s="137"/>
    </row>
    <row r="53" ht="12.75">
      <c r="A53" s="25"/>
    </row>
    <row r="54" spans="1:7" ht="12.75">
      <c r="A54" s="25"/>
      <c r="B54" s="4" t="s">
        <v>222</v>
      </c>
      <c r="G54" s="137"/>
    </row>
    <row r="55" spans="1:7" ht="12.75">
      <c r="A55" s="25">
        <v>1</v>
      </c>
      <c r="B55" s="4" t="s">
        <v>223</v>
      </c>
      <c r="D55" s="3">
        <f>G35*G38</f>
        <v>11144038.367075292</v>
      </c>
      <c r="G55" s="137"/>
    </row>
    <row r="56" spans="1:4" ht="12.75">
      <c r="A56" s="25">
        <v>2</v>
      </c>
      <c r="B56" s="4" t="s">
        <v>224</v>
      </c>
      <c r="D56" s="3">
        <f>D55-E33</f>
        <v>2698961.625336392</v>
      </c>
    </row>
    <row r="57" spans="1:4" ht="12.75">
      <c r="A57" s="25">
        <v>3</v>
      </c>
      <c r="B57" s="4" t="s">
        <v>226</v>
      </c>
      <c r="D57" s="3">
        <f>D56*'KSM-NCS-3 p10 Cost of Cap'!C44</f>
        <v>4342062.473224933</v>
      </c>
    </row>
    <row r="58" ht="12.75">
      <c r="A58" s="25"/>
    </row>
    <row r="59" spans="1:4" ht="12.75">
      <c r="A59" s="25">
        <v>4</v>
      </c>
      <c r="B59" s="4" t="s">
        <v>227</v>
      </c>
      <c r="D59" s="8">
        <f>G33/G35</f>
        <v>0.08675998626687015</v>
      </c>
    </row>
  </sheetData>
  <sheetProtection/>
  <mergeCells count="1">
    <mergeCell ref="C5:G5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jocarlson</cp:lastModifiedBy>
  <cp:lastPrinted>2008-03-21T01:38:36Z</cp:lastPrinted>
  <dcterms:created xsi:type="dcterms:W3CDTF">2001-04-24T18:09:59Z</dcterms:created>
  <dcterms:modified xsi:type="dcterms:W3CDTF">2008-05-12T17:17:35Z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080546</vt:lpwstr>
  </property>
  <property fmtid="{D5CDD505-2E9C-101B-9397-08002B2CF9AE}" pid="6" name="IsConfidenti">
    <vt:lpwstr>0</vt:lpwstr>
  </property>
  <property fmtid="{D5CDD505-2E9C-101B-9397-08002B2CF9AE}" pid="7" name="Dat">
    <vt:lpwstr>2008-05-12T00:00:00Z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2008-03-28T00:00:00Z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