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tabRatio="597" firstSheet="4" activeTab="6"/>
  </bookViews>
  <sheets>
    <sheet name="1st year" sheetId="1" r:id="rId1"/>
    <sheet name="1th year actual" sheetId="2" r:id="rId2"/>
    <sheet name="2nd year" sheetId="3" r:id="rId3"/>
    <sheet name="2nd year actual" sheetId="4" r:id="rId4"/>
    <sheet name="3rd year" sheetId="5" r:id="rId5"/>
    <sheet name="3rd yard actual" sheetId="6" r:id="rId6"/>
    <sheet name="Revised 3rd year" sheetId="7" r:id="rId7"/>
  </sheets>
  <definedNames>
    <definedName name="MemoAttachment">#REF!</definedName>
    <definedName name="_xlnm.Print_Area" localSheetId="0">'1st year'!$A$1:$J$59</definedName>
    <definedName name="_xlnm.Print_Area" localSheetId="2">'2nd year'!$A$1:$I$54</definedName>
    <definedName name="_xlnm.Print_Area" localSheetId="5">'3rd yard actual'!$A$1:$J$59</definedName>
    <definedName name="_xlnm.Print_Area" localSheetId="4">'3rd year'!$A$1:$I$54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<sst xmlns="http://schemas.openxmlformats.org/spreadsheetml/2006/main" count="471" uniqueCount="129">
  <si>
    <t>Deferred Accounting Methodology</t>
  </si>
  <si>
    <t>Company Owned Processing Center</t>
  </si>
  <si>
    <t>Residential Curbside Recycling</t>
  </si>
  <si>
    <t xml:space="preserve"> </t>
  </si>
  <si>
    <t>Tons</t>
  </si>
  <si>
    <t>Newspaper</t>
  </si>
  <si>
    <t>Mixed Paper</t>
  </si>
  <si>
    <t>Cardboard</t>
  </si>
  <si>
    <t>Aluminum</t>
  </si>
  <si>
    <t>Tin</t>
  </si>
  <si>
    <t>PET</t>
  </si>
  <si>
    <t>Total Tons</t>
  </si>
  <si>
    <t>Commodity Value</t>
  </si>
  <si>
    <t>Customers</t>
  </si>
  <si>
    <t>Number of</t>
  </si>
  <si>
    <t>Actual</t>
  </si>
  <si>
    <t>Revenue</t>
  </si>
  <si>
    <t>November</t>
  </si>
  <si>
    <t>December</t>
  </si>
  <si>
    <t>February</t>
  </si>
  <si>
    <t>March</t>
  </si>
  <si>
    <t>May</t>
  </si>
  <si>
    <t>June</t>
  </si>
  <si>
    <t>July</t>
  </si>
  <si>
    <t>August</t>
  </si>
  <si>
    <t>Actual Commodity Revenue</t>
  </si>
  <si>
    <t>October</t>
  </si>
  <si>
    <t>Actual Commodity Tons and Prices</t>
  </si>
  <si>
    <t xml:space="preserve">Total </t>
  </si>
  <si>
    <t>Price/Ton</t>
  </si>
  <si>
    <t>Total Value</t>
  </si>
  <si>
    <t>Month</t>
  </si>
  <si>
    <t xml:space="preserve">April </t>
  </si>
  <si>
    <t>Total for Year</t>
  </si>
  <si>
    <t>Per Customer Commodity Credit in Effect</t>
  </si>
  <si>
    <t>Commodity Adjusting Factor: per customer</t>
  </si>
  <si>
    <t>Revenue due customers</t>
  </si>
  <si>
    <t>Revenue due per customers</t>
  </si>
  <si>
    <t xml:space="preserve">October </t>
  </si>
  <si>
    <t>Commodity Mix</t>
  </si>
  <si>
    <t>NP 6 price</t>
  </si>
  <si>
    <t>(NP 8 -$25)</t>
  </si>
  <si>
    <t xml:space="preserve">March </t>
  </si>
  <si>
    <t>Mixed</t>
  </si>
  <si>
    <t>Plastics</t>
  </si>
  <si>
    <t>Contamination</t>
  </si>
  <si>
    <t>Less:  30% (see County Program)</t>
  </si>
  <si>
    <t>Revenue available for refund</t>
  </si>
  <si>
    <t>Total (over)/Under Refunded Customers</t>
  </si>
  <si>
    <t>Projected Revenue next 12-Months</t>
  </si>
  <si>
    <t>Commodity Adjustment</t>
  </si>
  <si>
    <t>Adjustment per Customer per Month</t>
  </si>
  <si>
    <t>New Commodity Credit</t>
  </si>
  <si>
    <t>With 30%</t>
  </si>
  <si>
    <t>Hold Back</t>
  </si>
  <si>
    <t>12-Month number of customers</t>
  </si>
  <si>
    <t>12-Months Commodity Value</t>
  </si>
  <si>
    <t>12-Months Number of Customers</t>
  </si>
  <si>
    <t>At 100%</t>
  </si>
  <si>
    <t xml:space="preserve">September </t>
  </si>
  <si>
    <t>August 09</t>
  </si>
  <si>
    <t>January 10</t>
  </si>
  <si>
    <t>First Year</t>
  </si>
  <si>
    <t>Mason County</t>
  </si>
  <si>
    <t>January 2010</t>
  </si>
  <si>
    <t>August 2009</t>
  </si>
  <si>
    <t>Total Customers August 2009 thru August  2010</t>
  </si>
  <si>
    <t>Total Customer Credits 2009 $ 2010</t>
  </si>
  <si>
    <t>Aug 09</t>
  </si>
  <si>
    <t>Sept 09-Aug 10</t>
  </si>
  <si>
    <t>First Year Commodity Adjustment</t>
  </si>
  <si>
    <t>Commodity  (Over) /Under  Refunded for the 12.5 months ended 8/31/09</t>
  </si>
  <si>
    <t>Total Commodity Value for 12 months</t>
  </si>
  <si>
    <t>Using 12-Month Data</t>
  </si>
  <si>
    <t>Effective November 1, 2010</t>
  </si>
  <si>
    <t>Second Year</t>
  </si>
  <si>
    <t>January 11</t>
  </si>
  <si>
    <t>September  10</t>
  </si>
  <si>
    <t>Second Year Commodity Adjustment</t>
  </si>
  <si>
    <t>Effective November 1, 2011</t>
  </si>
  <si>
    <t>Total Customers September 2010 thru August  2011</t>
  </si>
  <si>
    <t>Sept 10-Oct 10</t>
  </si>
  <si>
    <t>Nov 10-Aug 11</t>
  </si>
  <si>
    <t>Total Customer Credits 2010 $ 2011</t>
  </si>
  <si>
    <t>September 10</t>
  </si>
  <si>
    <t>January 2011</t>
  </si>
  <si>
    <t>Stated at 80% of Market</t>
  </si>
  <si>
    <t>September 11</t>
  </si>
  <si>
    <t>January 12</t>
  </si>
  <si>
    <t>September  11</t>
  </si>
  <si>
    <t>Third Year</t>
  </si>
  <si>
    <t>Sept 10-Oct 11</t>
  </si>
  <si>
    <t>Less:  20% (see County Program)</t>
  </si>
  <si>
    <t>do to retention adj</t>
  </si>
  <si>
    <t>Revised from $2.13</t>
  </si>
  <si>
    <t>January 2012</t>
  </si>
  <si>
    <t>Effective November 1, 2012</t>
  </si>
  <si>
    <t>Total Customer Credits 2011 $ 2012</t>
  </si>
  <si>
    <t>Total Customers September 2011 thru August  2012</t>
  </si>
  <si>
    <t>Processing</t>
  </si>
  <si>
    <t>AT 100%</t>
  </si>
  <si>
    <t>Stated at 100% of Market</t>
  </si>
  <si>
    <t>Less Contamination</t>
  </si>
  <si>
    <t>Lbs</t>
  </si>
  <si>
    <t>Material Tons</t>
  </si>
  <si>
    <t>Lbs per customer per month</t>
  </si>
  <si>
    <t>Nov 11-Aug 12</t>
  </si>
  <si>
    <t>Nov 1-Aug 12</t>
  </si>
  <si>
    <t>Tru-Up Reconciliation:</t>
  </si>
  <si>
    <t>Effect of Order 05</t>
  </si>
  <si>
    <t>12-month</t>
  </si>
  <si>
    <t>Total Payout</t>
  </si>
  <si>
    <t>Reconciliation:</t>
  </si>
  <si>
    <t>Nov 1, 2012 - Oct 31, 2013</t>
  </si>
  <si>
    <t>Customers (12-months)</t>
  </si>
  <si>
    <t>Difference</t>
  </si>
  <si>
    <t>due to rounding</t>
  </si>
  <si>
    <t>Rate at 12-months (true-up)</t>
  </si>
  <si>
    <t>Current rate (true-up)</t>
  </si>
  <si>
    <t>Revised Rate (true-up)</t>
  </si>
  <si>
    <t>Final Rate:</t>
  </si>
  <si>
    <t>Forward Projection</t>
  </si>
  <si>
    <t>Revised True-Up</t>
  </si>
  <si>
    <t>Customers (3-months)</t>
  </si>
  <si>
    <t>Paid out,  Nov 1,2012 - January 31, 2013</t>
  </si>
  <si>
    <t>Customers (9-months)</t>
  </si>
  <si>
    <t>Pay out, February 1, 2013 - October 31, 2013</t>
  </si>
  <si>
    <t>Rate Effective Februaray 1, 2013</t>
  </si>
  <si>
    <t>Rate effective February 1,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</si>
</sst>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_);\(&quot;$&quot;#,##0.000\)"/>
    <numFmt numFmtId="169" formatCode="0.0"/>
    <numFmt numFmtId="170" formatCode="#,##0.0"/>
    <numFmt numFmtId="171" formatCode="#,##0.0_);\(#,##0.0\)"/>
    <numFmt numFmtId="172" formatCode="0.000"/>
    <numFmt numFmtId="173" formatCode="0.000000"/>
    <numFmt numFmtId="174" formatCode="0.00000"/>
    <numFmt numFmtId="175" formatCode="0.0000"/>
    <numFmt numFmtId="176" formatCode="0.00000000"/>
    <numFmt numFmtId="177" formatCode="0.0000000"/>
    <numFmt numFmtId="178" formatCode="&quot;$&quot;#,##0.0_);\(&quot;$&quot;#,##0.0\)"/>
    <numFmt numFmtId="179" formatCode="#,##0.0000_);\(#,##0.0000\)"/>
    <numFmt numFmtId="180" formatCode="#,##0.00000"/>
  </numFmts>
  <fonts count="35"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0" borderId="6" applyNumberFormat="0" applyFill="0" applyAlignment="0" applyProtection="0"/>
    <xf numFmtId="0" fontId="28" fillId="23" borderId="0" applyNumberFormat="0" applyBorder="0" applyAlignment="0" applyProtection="0"/>
    <xf numFmtId="0" fontId="2" fillId="24" borderId="0">
      <alignment/>
      <protection/>
    </xf>
    <xf numFmtId="0" fontId="2" fillId="24" borderId="0">
      <alignment/>
      <protection/>
    </xf>
    <xf numFmtId="0" fontId="16" fillId="25" borderId="7" applyNumberFormat="0" applyFont="0" applyAlignment="0" applyProtection="0"/>
    <xf numFmtId="0" fontId="29" fillId="21" borderId="8" applyNumberFormat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2">
    <xf numFmtId="0" fontId="0" fillId="2" borderId="0" xfId="0" applyNumberFormat="1" applyFill="1" applyAlignment="1">
      <alignment/>
    </xf>
    <xf numFmtId="0" fontId="6" fillId="0" borderId="10" xfId="57" applyNumberFormat="1" applyFont="1" applyFill="1" applyBorder="1">
      <alignment/>
      <protection/>
    </xf>
    <xf numFmtId="0" fontId="7" fillId="2" borderId="10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0" fontId="7" fillId="0" borderId="10" xfId="57" applyNumberFormat="1" applyFont="1" applyFill="1" applyBorder="1">
      <alignment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10" xfId="57" applyNumberFormat="1" applyFont="1" applyFill="1" applyBorder="1" applyAlignment="1">
      <alignment horizontal="center"/>
      <protection/>
    </xf>
    <xf numFmtId="0" fontId="9" fillId="0" borderId="10" xfId="57" applyNumberFormat="1" applyFont="1" applyFill="1" applyBorder="1">
      <alignment/>
      <protection/>
    </xf>
    <xf numFmtId="0" fontId="10" fillId="0" borderId="10" xfId="57" applyNumberFormat="1" applyFont="1" applyFill="1" applyBorder="1">
      <alignment/>
      <protection/>
    </xf>
    <xf numFmtId="0" fontId="8" fillId="0" borderId="10" xfId="57" applyNumberFormat="1" applyFont="1" applyFill="1" applyBorder="1" applyAlignment="1">
      <alignment horizontal="left"/>
      <protection/>
    </xf>
    <xf numFmtId="0" fontId="6" fillId="0" borderId="10" xfId="57" applyNumberFormat="1" applyFont="1" applyFill="1" applyBorder="1" quotePrefix="1">
      <alignment/>
      <protection/>
    </xf>
    <xf numFmtId="39" fontId="7" fillId="2" borderId="10" xfId="0" applyNumberFormat="1" applyFont="1" applyFill="1" applyBorder="1" applyAlignment="1">
      <alignment/>
    </xf>
    <xf numFmtId="16" fontId="7" fillId="0" borderId="10" xfId="57" applyNumberFormat="1" applyFont="1" applyFill="1" applyBorder="1" quotePrefix="1">
      <alignment/>
      <protection/>
    </xf>
    <xf numFmtId="39" fontId="7" fillId="0" borderId="10" xfId="57" applyNumberFormat="1" applyFont="1" applyFill="1" applyBorder="1" applyAlignment="1">
      <alignment horizontal="center"/>
      <protection/>
    </xf>
    <xf numFmtId="39" fontId="7" fillId="0" borderId="10" xfId="57" applyNumberFormat="1" applyFont="1" applyFill="1" applyBorder="1" applyAlignment="1">
      <alignment horizontal="right"/>
      <protection/>
    </xf>
    <xf numFmtId="0" fontId="7" fillId="0" borderId="10" xfId="57" applyNumberFormat="1" applyFont="1" applyFill="1" applyBorder="1" quotePrefix="1">
      <alignment/>
      <protection/>
    </xf>
    <xf numFmtId="0" fontId="8" fillId="0" borderId="10" xfId="57" applyNumberFormat="1" applyFont="1" applyFill="1" applyBorder="1">
      <alignment/>
      <protection/>
    </xf>
    <xf numFmtId="0" fontId="8" fillId="2" borderId="10" xfId="0" applyNumberFormat="1" applyFont="1" applyFill="1" applyBorder="1" applyAlignment="1">
      <alignment/>
    </xf>
    <xf numFmtId="10" fontId="7" fillId="0" borderId="10" xfId="57" applyNumberFormat="1" applyFont="1" applyFill="1" applyBorder="1">
      <alignment/>
      <protection/>
    </xf>
    <xf numFmtId="7" fontId="7" fillId="0" borderId="10" xfId="57" applyNumberFormat="1" applyFont="1" applyFill="1" applyBorder="1" applyAlignment="1">
      <alignment horizontal="center"/>
      <protection/>
    </xf>
    <xf numFmtId="7" fontId="6" fillId="0" borderId="10" xfId="57" applyNumberFormat="1" applyFont="1" applyFill="1" applyBorder="1" applyAlignment="1">
      <alignment horizontal="center"/>
      <protection/>
    </xf>
    <xf numFmtId="4" fontId="7" fillId="0" borderId="10" xfId="57" applyNumberFormat="1" applyFont="1" applyFill="1" applyBorder="1" applyAlignment="1">
      <alignment horizontal="center"/>
      <protection/>
    </xf>
    <xf numFmtId="4" fontId="8" fillId="0" borderId="10" xfId="57" applyNumberFormat="1" applyFont="1" applyFill="1" applyBorder="1" applyAlignment="1">
      <alignment horizontal="center"/>
      <protection/>
    </xf>
    <xf numFmtId="0" fontId="6" fillId="21" borderId="10" xfId="57" applyNumberFormat="1" applyFont="1" applyFill="1" applyBorder="1">
      <alignment/>
      <protection/>
    </xf>
    <xf numFmtId="4" fontId="6" fillId="21" borderId="10" xfId="57" applyNumberFormat="1" applyFont="1" applyFill="1" applyBorder="1">
      <alignment/>
      <protection/>
    </xf>
    <xf numFmtId="0" fontId="11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>
      <alignment horizontal="center"/>
      <protection/>
    </xf>
    <xf numFmtId="0" fontId="11" fillId="0" borderId="10" xfId="58" applyNumberFormat="1" applyFont="1" applyFill="1" applyBorder="1" applyAlignment="1">
      <alignment horizontal="center"/>
      <protection/>
    </xf>
    <xf numFmtId="0" fontId="12" fillId="0" borderId="10" xfId="58" applyNumberFormat="1" applyFont="1" applyFill="1" applyBorder="1" applyAlignment="1">
      <alignment horizontal="center"/>
      <protection/>
    </xf>
    <xf numFmtId="0" fontId="14" fillId="0" borderId="10" xfId="58" applyNumberFormat="1" applyFont="1" applyFill="1" applyBorder="1">
      <alignment/>
      <protection/>
    </xf>
    <xf numFmtId="37" fontId="11" fillId="0" borderId="10" xfId="58" applyNumberFormat="1" applyFont="1" applyFill="1" applyBorder="1">
      <alignment/>
      <protection/>
    </xf>
    <xf numFmtId="39" fontId="11" fillId="0" borderId="10" xfId="58" applyNumberFormat="1" applyFont="1" applyFill="1" applyBorder="1">
      <alignment/>
      <protection/>
    </xf>
    <xf numFmtId="37" fontId="6" fillId="0" borderId="10" xfId="58" applyNumberFormat="1" applyFont="1" applyFill="1" applyBorder="1">
      <alignment/>
      <protection/>
    </xf>
    <xf numFmtId="39" fontId="6" fillId="0" borderId="10" xfId="58" applyNumberFormat="1" applyFont="1" applyFill="1" applyBorder="1">
      <alignment/>
      <protection/>
    </xf>
    <xf numFmtId="165" fontId="11" fillId="0" borderId="10" xfId="58" applyNumberFormat="1" applyFont="1" applyFill="1" applyBorder="1">
      <alignment/>
      <protection/>
    </xf>
    <xf numFmtId="3" fontId="11" fillId="0" borderId="10" xfId="58" applyNumberFormat="1" applyFont="1" applyFill="1" applyBorder="1">
      <alignment/>
      <protection/>
    </xf>
    <xf numFmtId="7" fontId="11" fillId="0" borderId="10" xfId="58" applyNumberFormat="1" applyFont="1" applyFill="1" applyBorder="1">
      <alignment/>
      <protection/>
    </xf>
    <xf numFmtId="2" fontId="11" fillId="0" borderId="10" xfId="58" applyNumberFormat="1" applyFont="1" applyFill="1" applyBorder="1">
      <alignment/>
      <protection/>
    </xf>
    <xf numFmtId="37" fontId="6" fillId="0" borderId="10" xfId="58" applyNumberFormat="1" applyFont="1" applyFill="1" applyBorder="1" applyAlignment="1">
      <alignment horizontal="center"/>
      <protection/>
    </xf>
    <xf numFmtId="165" fontId="6" fillId="0" borderId="10" xfId="58" applyNumberFormat="1" applyFont="1" applyFill="1" applyBorder="1" applyAlignment="1">
      <alignment horizontal="center"/>
      <protection/>
    </xf>
    <xf numFmtId="7" fontId="6" fillId="0" borderId="10" xfId="58" applyNumberFormat="1" applyFont="1" applyFill="1" applyBorder="1" applyAlignment="1">
      <alignment horizontal="center"/>
      <protection/>
    </xf>
    <xf numFmtId="7" fontId="15" fillId="0" borderId="10" xfId="58" applyNumberFormat="1" applyFont="1" applyFill="1" applyBorder="1" applyAlignment="1">
      <alignment horizontal="center"/>
      <protection/>
    </xf>
    <xf numFmtId="5" fontId="6" fillId="0" borderId="1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5" fontId="11" fillId="0" borderId="10" xfId="58" applyNumberFormat="1" applyFont="1" applyFill="1" applyBorder="1">
      <alignment/>
      <protection/>
    </xf>
    <xf numFmtId="7" fontId="6" fillId="0" borderId="10" xfId="58" applyNumberFormat="1" applyFont="1" applyFill="1" applyBorder="1">
      <alignment/>
      <protection/>
    </xf>
    <xf numFmtId="17" fontId="6" fillId="0" borderId="10" xfId="58" applyNumberFormat="1" applyFont="1" applyFill="1" applyBorder="1" applyAlignment="1" quotePrefix="1">
      <alignment horizontal="center"/>
      <protection/>
    </xf>
    <xf numFmtId="164" fontId="6" fillId="0" borderId="10" xfId="58" applyNumberFormat="1" applyFont="1" applyFill="1" applyBorder="1">
      <alignment/>
      <protection/>
    </xf>
    <xf numFmtId="164" fontId="6" fillId="0" borderId="10" xfId="58" applyNumberFormat="1" applyFont="1" applyFill="1" applyBorder="1" applyAlignment="1">
      <alignment horizontal="right"/>
      <protection/>
    </xf>
    <xf numFmtId="165" fontId="6" fillId="0" borderId="10" xfId="58" applyNumberFormat="1" applyFont="1" applyFill="1" applyBorder="1">
      <alignment/>
      <protection/>
    </xf>
    <xf numFmtId="165" fontId="12" fillId="0" borderId="10" xfId="58" applyNumberFormat="1" applyFont="1" applyFill="1" applyBorder="1">
      <alignment/>
      <protection/>
    </xf>
    <xf numFmtId="0" fontId="11" fillId="0" borderId="11" xfId="58" applyNumberFormat="1" applyFont="1" applyFill="1" applyBorder="1">
      <alignment/>
      <protection/>
    </xf>
    <xf numFmtId="0" fontId="13" fillId="0" borderId="11" xfId="58" applyNumberFormat="1" applyFont="1" applyFill="1" applyBorder="1">
      <alignment/>
      <protection/>
    </xf>
    <xf numFmtId="0" fontId="6" fillId="0" borderId="11" xfId="58" applyNumberFormat="1" applyFont="1" applyFill="1" applyBorder="1" applyAlignment="1">
      <alignment horizontal="left"/>
      <protection/>
    </xf>
    <xf numFmtId="0" fontId="11" fillId="0" borderId="11" xfId="58" applyNumberFormat="1" applyFont="1" applyFill="1" applyBorder="1" applyAlignment="1">
      <alignment horizontal="left"/>
      <protection/>
    </xf>
    <xf numFmtId="0" fontId="6" fillId="0" borderId="11" xfId="58" applyNumberFormat="1" applyFont="1" applyFill="1" applyBorder="1">
      <alignment/>
      <protection/>
    </xf>
    <xf numFmtId="0" fontId="6" fillId="0" borderId="11" xfId="58" applyNumberFormat="1" applyFont="1" applyFill="1" applyBorder="1" quotePrefix="1">
      <alignment/>
      <protection/>
    </xf>
    <xf numFmtId="17" fontId="6" fillId="0" borderId="11" xfId="58" applyNumberFormat="1" applyFont="1" applyFill="1" applyBorder="1" quotePrefix="1">
      <alignment/>
      <protection/>
    </xf>
    <xf numFmtId="0" fontId="12" fillId="0" borderId="11" xfId="58" applyNumberFormat="1" applyFont="1" applyFill="1" applyBorder="1">
      <alignment/>
      <protection/>
    </xf>
    <xf numFmtId="4" fontId="11" fillId="0" borderId="10" xfId="58" applyNumberFormat="1" applyFont="1" applyFill="1" applyBorder="1">
      <alignment/>
      <protection/>
    </xf>
    <xf numFmtId="4" fontId="7" fillId="2" borderId="10" xfId="0" applyNumberFormat="1" applyFont="1" applyFill="1" applyBorder="1" applyAlignment="1">
      <alignment/>
    </xf>
    <xf numFmtId="4" fontId="6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right"/>
      <protection/>
    </xf>
    <xf numFmtId="4" fontId="7" fillId="0" borderId="10" xfId="57" applyNumberFormat="1" applyFont="1" applyFill="1" applyBorder="1" applyAlignment="1">
      <alignment horizontal="right"/>
      <protection/>
    </xf>
    <xf numFmtId="4" fontId="8" fillId="0" borderId="10" xfId="57" applyNumberFormat="1" applyFont="1" applyFill="1" applyBorder="1" applyAlignment="1">
      <alignment horizontal="right"/>
      <protection/>
    </xf>
    <xf numFmtId="0" fontId="6" fillId="0" borderId="10" xfId="58" applyNumberFormat="1" applyFont="1" applyFill="1" applyBorder="1" quotePrefix="1">
      <alignment/>
      <protection/>
    </xf>
    <xf numFmtId="4" fontId="6" fillId="0" borderId="10" xfId="58" applyNumberFormat="1" applyFont="1" applyFill="1" applyBorder="1">
      <alignment/>
      <protection/>
    </xf>
    <xf numFmtId="4" fontId="7" fillId="2" borderId="0" xfId="0" applyNumberFormat="1" applyFont="1" applyFill="1" applyAlignment="1">
      <alignment/>
    </xf>
    <xf numFmtId="10" fontId="7" fillId="2" borderId="0" xfId="0" applyNumberFormat="1" applyFont="1" applyFill="1" applyAlignment="1">
      <alignment/>
    </xf>
    <xf numFmtId="37" fontId="12" fillId="0" borderId="10" xfId="58" applyNumberFormat="1" applyFont="1" applyFill="1" applyBorder="1">
      <alignment/>
      <protection/>
    </xf>
    <xf numFmtId="165" fontId="7" fillId="2" borderId="0" xfId="0" applyNumberFormat="1" applyFont="1" applyFill="1" applyAlignment="1">
      <alignment/>
    </xf>
    <xf numFmtId="7" fontId="8" fillId="0" borderId="10" xfId="57" applyNumberFormat="1" applyFont="1" applyFill="1" applyBorder="1" applyAlignment="1">
      <alignment horizontal="center"/>
      <protection/>
    </xf>
    <xf numFmtId="165" fontId="7" fillId="2" borderId="0" xfId="0" applyNumberFormat="1" applyFont="1" applyFill="1" applyAlignment="1">
      <alignment/>
    </xf>
    <xf numFmtId="0" fontId="33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/>
    </xf>
    <xf numFmtId="5" fontId="7" fillId="2" borderId="0" xfId="0" applyNumberFormat="1" applyFont="1" applyFill="1" applyAlignment="1">
      <alignment/>
    </xf>
    <xf numFmtId="0" fontId="6" fillId="23" borderId="10" xfId="58" applyNumberFormat="1" applyFont="1" applyFill="1" applyBorder="1" applyAlignment="1">
      <alignment horizontal="center"/>
      <protection/>
    </xf>
    <xf numFmtId="165" fontId="6" fillId="23" borderId="10" xfId="58" applyNumberFormat="1" applyFont="1" applyFill="1" applyBorder="1" applyAlignment="1">
      <alignment horizontal="center"/>
      <protection/>
    </xf>
    <xf numFmtId="164" fontId="6" fillId="23" borderId="10" xfId="58" applyNumberFormat="1" applyFont="1" applyFill="1" applyBorder="1">
      <alignment/>
      <protection/>
    </xf>
    <xf numFmtId="3" fontId="6" fillId="23" borderId="10" xfId="58" applyNumberFormat="1" applyFont="1" applyFill="1" applyBorder="1">
      <alignment/>
      <protection/>
    </xf>
    <xf numFmtId="165" fontId="6" fillId="23" borderId="10" xfId="58" applyNumberFormat="1" applyFont="1" applyFill="1" applyBorder="1">
      <alignment/>
      <protection/>
    </xf>
    <xf numFmtId="165" fontId="12" fillId="23" borderId="10" xfId="58" applyNumberFormat="1" applyFont="1" applyFill="1" applyBorder="1">
      <alignment/>
      <protection/>
    </xf>
    <xf numFmtId="39" fontId="6" fillId="23" borderId="10" xfId="58" applyNumberFormat="1" applyFont="1" applyFill="1" applyBorder="1">
      <alignment/>
      <protection/>
    </xf>
    <xf numFmtId="0" fontId="6" fillId="23" borderId="10" xfId="58" applyNumberFormat="1" applyFont="1" applyFill="1" applyBorder="1" applyAlignment="1">
      <alignment horizontal="right"/>
      <protection/>
    </xf>
    <xf numFmtId="4" fontId="6" fillId="23" borderId="10" xfId="58" applyNumberFormat="1" applyFont="1" applyFill="1" applyBorder="1">
      <alignment/>
      <protection/>
    </xf>
    <xf numFmtId="7" fontId="11" fillId="0" borderId="10" xfId="58" applyNumberFormat="1" applyFont="1" applyFill="1" applyBorder="1" applyAlignment="1">
      <alignment horizontal="center"/>
      <protection/>
    </xf>
    <xf numFmtId="0" fontId="6" fillId="0" borderId="10" xfId="58" applyNumberFormat="1" applyFont="1" applyFill="1" applyBorder="1" applyAlignment="1">
      <alignment horizontal="right"/>
      <protection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10" fontId="7" fillId="2" borderId="10" xfId="0" applyNumberFormat="1" applyFont="1" applyFill="1" applyBorder="1" applyAlignment="1">
      <alignment/>
    </xf>
    <xf numFmtId="0" fontId="33" fillId="2" borderId="0" xfId="0" applyNumberFormat="1" applyFont="1" applyFill="1" applyBorder="1" applyAlignment="1">
      <alignment/>
    </xf>
    <xf numFmtId="0" fontId="33" fillId="2" borderId="0" xfId="0" applyNumberFormat="1" applyFont="1" applyFill="1" applyAlignment="1">
      <alignment/>
    </xf>
    <xf numFmtId="165" fontId="12" fillId="0" borderId="12" xfId="58" applyNumberFormat="1" applyFont="1" applyFill="1" applyBorder="1">
      <alignment/>
      <protection/>
    </xf>
    <xf numFmtId="165" fontId="33" fillId="26" borderId="13" xfId="0" applyNumberFormat="1" applyFont="1" applyFill="1" applyBorder="1" applyAlignment="1">
      <alignment/>
    </xf>
    <xf numFmtId="0" fontId="33" fillId="2" borderId="14" xfId="0" applyNumberFormat="1" applyFont="1" applyFill="1" applyBorder="1" applyAlignment="1">
      <alignment/>
    </xf>
    <xf numFmtId="0" fontId="33" fillId="2" borderId="15" xfId="0" applyNumberFormat="1" applyFont="1" applyFill="1" applyBorder="1" applyAlignment="1">
      <alignment/>
    </xf>
    <xf numFmtId="0" fontId="33" fillId="2" borderId="16" xfId="0" applyNumberFormat="1" applyFont="1" applyFill="1" applyBorder="1" applyAlignment="1">
      <alignment/>
    </xf>
    <xf numFmtId="0" fontId="33" fillId="2" borderId="17" xfId="0" applyNumberFormat="1" applyFont="1" applyFill="1" applyBorder="1" applyAlignment="1">
      <alignment/>
    </xf>
    <xf numFmtId="0" fontId="33" fillId="2" borderId="18" xfId="0" applyNumberFormat="1" applyFont="1" applyFill="1" applyBorder="1" applyAlignment="1">
      <alignment/>
    </xf>
    <xf numFmtId="165" fontId="33" fillId="2" borderId="0" xfId="0" applyNumberFormat="1" applyFont="1" applyFill="1" applyBorder="1" applyAlignment="1">
      <alignment/>
    </xf>
    <xf numFmtId="3" fontId="33" fillId="2" borderId="0" xfId="0" applyNumberFormat="1" applyFont="1" applyFill="1" applyBorder="1" applyAlignment="1">
      <alignment/>
    </xf>
    <xf numFmtId="164" fontId="33" fillId="27" borderId="0" xfId="0" applyNumberFormat="1" applyFont="1" applyFill="1" applyBorder="1" applyAlignment="1">
      <alignment/>
    </xf>
    <xf numFmtId="164" fontId="33" fillId="2" borderId="0" xfId="0" applyNumberFormat="1" applyFont="1" applyFill="1" applyBorder="1" applyAlignment="1">
      <alignment/>
    </xf>
    <xf numFmtId="165" fontId="33" fillId="2" borderId="18" xfId="0" applyNumberFormat="1" applyFont="1" applyFill="1" applyBorder="1" applyAlignment="1">
      <alignment/>
    </xf>
    <xf numFmtId="180" fontId="33" fillId="2" borderId="18" xfId="0" applyNumberFormat="1" applyFon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0" fillId="2" borderId="20" xfId="0" applyNumberFormat="1" applyFill="1" applyBorder="1" applyAlignment="1">
      <alignment/>
    </xf>
    <xf numFmtId="0" fontId="0" fillId="2" borderId="21" xfId="0" applyNumberFormat="1" applyFill="1" applyBorder="1" applyAlignment="1">
      <alignment/>
    </xf>
    <xf numFmtId="165" fontId="34" fillId="26" borderId="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th year actual" xfId="57"/>
    <cellStyle name="Normal_Fifth Year Ad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zoomScalePageLayoutView="0" workbookViewId="0" topLeftCell="A15">
      <selection activeCell="I43" sqref="I43"/>
    </sheetView>
  </sheetViews>
  <sheetFormatPr defaultColWidth="8.88671875" defaultRowHeight="15"/>
  <cols>
    <col min="1" max="1" width="1.77734375" style="2" customWidth="1"/>
    <col min="2" max="2" width="12.5546875" style="3" customWidth="1"/>
    <col min="3" max="3" width="1.99609375" style="3" customWidth="1"/>
    <col min="4" max="8" width="8.88671875" style="3" customWidth="1"/>
    <col min="9" max="9" width="9.5546875" style="3" customWidth="1"/>
    <col min="10" max="10" width="1.99609375" style="3" customWidth="1"/>
    <col min="11" max="16384" width="8.88671875" style="3" customWidth="1"/>
  </cols>
  <sheetData>
    <row r="1" spans="2:10" ht="11.25">
      <c r="B1" s="52"/>
      <c r="C1" s="25"/>
      <c r="D1" s="25"/>
      <c r="E1" s="26"/>
      <c r="F1" s="27" t="s">
        <v>0</v>
      </c>
      <c r="G1" s="26"/>
      <c r="H1" s="25"/>
      <c r="I1" s="25"/>
      <c r="J1" s="25"/>
    </row>
    <row r="2" spans="2:10" ht="11.25">
      <c r="B2" s="52"/>
      <c r="C2" s="25"/>
      <c r="D2" s="28"/>
      <c r="E2" s="27"/>
      <c r="F2" s="29" t="s">
        <v>1</v>
      </c>
      <c r="G2" s="26"/>
      <c r="H2" s="25"/>
      <c r="I2" s="25"/>
      <c r="J2" s="25"/>
    </row>
    <row r="3" spans="2:10" ht="11.25">
      <c r="B3" s="52"/>
      <c r="C3" s="25"/>
      <c r="D3" s="28"/>
      <c r="E3" s="27"/>
      <c r="F3" s="27" t="s">
        <v>2</v>
      </c>
      <c r="G3" s="26"/>
      <c r="H3" s="25"/>
      <c r="I3" s="25"/>
      <c r="J3" s="25"/>
    </row>
    <row r="4" spans="2:10" ht="11.25">
      <c r="B4" s="59" t="s">
        <v>63</v>
      </c>
      <c r="C4" s="25"/>
      <c r="D4" s="28"/>
      <c r="E4" s="28"/>
      <c r="F4" s="28"/>
      <c r="G4" s="25"/>
      <c r="H4" s="25"/>
      <c r="I4" s="25"/>
      <c r="J4" s="25"/>
    </row>
    <row r="5" spans="2:10" ht="11.25">
      <c r="B5" s="52"/>
      <c r="C5" s="25"/>
      <c r="D5" s="25"/>
      <c r="E5" s="25"/>
      <c r="F5" s="25"/>
      <c r="G5" s="25"/>
      <c r="H5" s="25"/>
      <c r="I5" s="25"/>
      <c r="J5" s="25"/>
    </row>
    <row r="6" spans="2:10" ht="11.25">
      <c r="B6" s="53" t="s">
        <v>70</v>
      </c>
      <c r="C6" s="30"/>
      <c r="D6" s="30"/>
      <c r="E6" s="25"/>
      <c r="F6" s="25"/>
      <c r="G6" s="25"/>
      <c r="H6" s="25"/>
      <c r="I6" s="25"/>
      <c r="J6" s="25"/>
    </row>
    <row r="7" spans="2:10" ht="11.25">
      <c r="B7" s="52"/>
      <c r="C7" s="25"/>
      <c r="D7" s="25"/>
      <c r="E7" s="25"/>
      <c r="F7" s="25"/>
      <c r="G7" s="25"/>
      <c r="H7" s="25"/>
      <c r="I7" s="25"/>
      <c r="J7" s="25"/>
    </row>
    <row r="8" spans="2:10" ht="11.25">
      <c r="B8" s="54" t="s">
        <v>73</v>
      </c>
      <c r="C8" s="25"/>
      <c r="D8" s="25"/>
      <c r="E8" s="25"/>
      <c r="F8" s="25"/>
      <c r="G8" s="25"/>
      <c r="H8" s="25"/>
      <c r="I8" s="25"/>
      <c r="J8" s="25"/>
    </row>
    <row r="9" spans="2:10" ht="11.25">
      <c r="B9" s="54" t="s">
        <v>74</v>
      </c>
      <c r="C9" s="25"/>
      <c r="D9" s="25"/>
      <c r="E9" s="25"/>
      <c r="F9" s="25"/>
      <c r="G9" s="25"/>
      <c r="H9" s="25"/>
      <c r="I9" s="25"/>
      <c r="J9" s="25"/>
    </row>
    <row r="10" spans="2:10" ht="11.25">
      <c r="B10" s="55" t="s">
        <v>3</v>
      </c>
      <c r="C10" s="25"/>
      <c r="D10" s="25"/>
      <c r="E10" s="25"/>
      <c r="F10" s="25"/>
      <c r="G10" s="25"/>
      <c r="H10" s="25"/>
      <c r="I10" s="25"/>
      <c r="J10" s="25"/>
    </row>
    <row r="11" spans="2:10" ht="11.25">
      <c r="B11" s="52"/>
      <c r="C11" s="25"/>
      <c r="D11" s="27" t="s">
        <v>14</v>
      </c>
      <c r="E11" s="27" t="s">
        <v>15</v>
      </c>
      <c r="F11" s="27"/>
      <c r="G11" s="25"/>
      <c r="H11" s="25"/>
      <c r="I11" s="25"/>
      <c r="J11" s="25"/>
    </row>
    <row r="12" spans="2:10" ht="11.25"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5"/>
      <c r="I12" s="25"/>
      <c r="J12" s="25"/>
    </row>
    <row r="13" spans="2:10" ht="11.25">
      <c r="B13" s="57" t="s">
        <v>65</v>
      </c>
      <c r="C13" s="25"/>
      <c r="D13" s="33">
        <v>9853</v>
      </c>
      <c r="E13" s="33">
        <f>'1th year actual'!J47</f>
        <v>6796.870979999999</v>
      </c>
      <c r="F13" s="32"/>
      <c r="G13" s="25"/>
      <c r="H13" s="25"/>
      <c r="I13" s="25"/>
      <c r="J13" s="25"/>
    </row>
    <row r="14" spans="2:10" ht="11.25">
      <c r="B14" s="57" t="s">
        <v>59</v>
      </c>
      <c r="C14" s="25"/>
      <c r="D14" s="33">
        <v>9707</v>
      </c>
      <c r="E14" s="33">
        <f>'1th year actual'!J48</f>
        <v>20878.0561</v>
      </c>
      <c r="F14" s="34"/>
      <c r="G14" s="25"/>
      <c r="H14" s="35"/>
      <c r="I14" s="60"/>
      <c r="J14" s="60"/>
    </row>
    <row r="15" spans="2:10" ht="11.25">
      <c r="B15" s="58" t="s">
        <v>38</v>
      </c>
      <c r="C15" s="25"/>
      <c r="D15" s="33">
        <v>9332</v>
      </c>
      <c r="E15" s="33">
        <f>'1th year actual'!J49</f>
        <v>16413.3168</v>
      </c>
      <c r="F15" s="34"/>
      <c r="G15" s="31"/>
      <c r="H15" s="35"/>
      <c r="I15" s="60"/>
      <c r="J15" s="60"/>
    </row>
    <row r="16" spans="2:10" ht="11.25">
      <c r="B16" s="56" t="s">
        <v>17</v>
      </c>
      <c r="C16" s="25"/>
      <c r="D16" s="33">
        <v>9284</v>
      </c>
      <c r="E16" s="33">
        <f>'1th year actual'!J50</f>
        <v>16111.54012705</v>
      </c>
      <c r="F16" s="34"/>
      <c r="G16" s="25"/>
      <c r="H16" s="27"/>
      <c r="I16" s="28"/>
      <c r="J16" s="60"/>
    </row>
    <row r="17" spans="2:10" ht="11.25">
      <c r="B17" s="56" t="s">
        <v>18</v>
      </c>
      <c r="C17" s="25"/>
      <c r="D17" s="33">
        <v>9141</v>
      </c>
      <c r="E17" s="33">
        <f>'1th year actual'!J51</f>
        <v>19448.9686</v>
      </c>
      <c r="F17" s="34"/>
      <c r="G17" s="25"/>
      <c r="H17" s="27"/>
      <c r="I17" s="28"/>
      <c r="J17" s="60"/>
    </row>
    <row r="18" spans="2:10" ht="11.25">
      <c r="B18" s="57" t="s">
        <v>64</v>
      </c>
      <c r="C18" s="25"/>
      <c r="D18" s="33">
        <v>9088</v>
      </c>
      <c r="E18" s="33">
        <f>'1th year actual'!J52</f>
        <v>18003.142399999997</v>
      </c>
      <c r="F18" s="34"/>
      <c r="G18" s="25"/>
      <c r="H18" s="44"/>
      <c r="I18" s="36"/>
      <c r="J18" s="60"/>
    </row>
    <row r="19" spans="2:10" ht="11.25">
      <c r="B19" s="56" t="s">
        <v>19</v>
      </c>
      <c r="C19" s="25"/>
      <c r="D19" s="33">
        <v>9088</v>
      </c>
      <c r="E19" s="33">
        <f>'1th year actual'!J53</f>
        <v>17826.844800000003</v>
      </c>
      <c r="F19" s="34"/>
      <c r="G19" s="25"/>
      <c r="H19" s="44"/>
      <c r="I19" s="36"/>
      <c r="J19" s="60"/>
    </row>
    <row r="20" spans="2:10" ht="11.25">
      <c r="B20" s="56" t="s">
        <v>20</v>
      </c>
      <c r="C20" s="25"/>
      <c r="D20" s="33">
        <v>9072</v>
      </c>
      <c r="E20" s="33">
        <f>'1th year actual'!J54</f>
        <v>21565.7046</v>
      </c>
      <c r="F20" s="34"/>
      <c r="G20" s="25"/>
      <c r="H20" s="44"/>
      <c r="I20" s="36"/>
      <c r="J20" s="60"/>
    </row>
    <row r="21" spans="2:10" ht="11.25">
      <c r="B21" s="56" t="s">
        <v>32</v>
      </c>
      <c r="C21" s="25"/>
      <c r="D21" s="33">
        <v>9072</v>
      </c>
      <c r="E21" s="33">
        <f>'1th year actual'!J55</f>
        <v>19932.9934</v>
      </c>
      <c r="F21" s="34"/>
      <c r="G21" s="25"/>
      <c r="H21" s="44"/>
      <c r="I21" s="36"/>
      <c r="J21" s="60"/>
    </row>
    <row r="22" spans="2:10" ht="11.25">
      <c r="B22" s="56" t="s">
        <v>21</v>
      </c>
      <c r="C22" s="25"/>
      <c r="D22" s="33">
        <v>9466</v>
      </c>
      <c r="E22" s="33">
        <f>'1th year actual'!J56</f>
        <v>20977.0448</v>
      </c>
      <c r="F22" s="34"/>
      <c r="G22" s="25"/>
      <c r="H22" s="44"/>
      <c r="I22" s="36"/>
      <c r="J22" s="60"/>
    </row>
    <row r="23" spans="2:10" ht="11.25">
      <c r="B23" s="56" t="s">
        <v>22</v>
      </c>
      <c r="C23" s="25"/>
      <c r="D23" s="33">
        <v>9466</v>
      </c>
      <c r="E23" s="33">
        <f>'1th year actual'!J57</f>
        <v>18929.6509</v>
      </c>
      <c r="F23" s="34"/>
      <c r="G23" s="25"/>
      <c r="H23" s="44"/>
      <c r="I23" s="36"/>
      <c r="J23" s="60"/>
    </row>
    <row r="24" spans="2:10" ht="11.25">
      <c r="B24" s="56" t="s">
        <v>23</v>
      </c>
      <c r="C24" s="25"/>
      <c r="D24" s="33">
        <v>9815</v>
      </c>
      <c r="E24" s="33">
        <f>'1th year actual'!J58</f>
        <v>20451.344200000003</v>
      </c>
      <c r="F24" s="34"/>
      <c r="G24" s="31"/>
      <c r="H24" s="36"/>
      <c r="I24" s="60"/>
      <c r="J24" s="60"/>
    </row>
    <row r="25" spans="2:10" ht="11.25">
      <c r="B25" s="56" t="s">
        <v>24</v>
      </c>
      <c r="C25" s="25"/>
      <c r="D25" s="33">
        <v>9815</v>
      </c>
      <c r="E25" s="33">
        <f>'1th year actual'!J59</f>
        <v>22455.7144</v>
      </c>
      <c r="F25" s="34"/>
      <c r="G25" s="31"/>
      <c r="H25" s="44"/>
      <c r="I25" s="36"/>
      <c r="J25" s="60"/>
    </row>
    <row r="26" spans="2:10" ht="11.25">
      <c r="B26" s="56" t="s">
        <v>33</v>
      </c>
      <c r="C26" s="25"/>
      <c r="D26" s="33">
        <f>SUM(D13:D25)</f>
        <v>122199</v>
      </c>
      <c r="E26" s="33">
        <f>SUM(E13:E25)</f>
        <v>239791.19210705</v>
      </c>
      <c r="F26" s="31"/>
      <c r="G26" s="36"/>
      <c r="H26" s="36"/>
      <c r="I26" s="60"/>
      <c r="J26" s="32"/>
    </row>
    <row r="27" spans="2:10" ht="11.25">
      <c r="B27" s="52"/>
      <c r="C27" s="25"/>
      <c r="D27" s="31"/>
      <c r="E27" s="25"/>
      <c r="F27" s="25"/>
      <c r="G27" s="38" t="s">
        <v>3</v>
      </c>
      <c r="H27" s="32"/>
      <c r="I27" s="25"/>
      <c r="J27" s="25"/>
    </row>
    <row r="28" spans="2:10" ht="11.25">
      <c r="B28" s="56" t="s">
        <v>71</v>
      </c>
      <c r="C28" s="25"/>
      <c r="D28" s="25"/>
      <c r="E28" s="25"/>
      <c r="F28" s="25"/>
      <c r="G28" s="25"/>
      <c r="H28" s="25"/>
      <c r="I28" s="25"/>
      <c r="J28" s="25"/>
    </row>
    <row r="29" spans="2:10" ht="11.25">
      <c r="B29" s="52"/>
      <c r="C29" s="25"/>
      <c r="D29" s="25"/>
      <c r="E29" s="25"/>
      <c r="F29" s="25"/>
      <c r="G29" s="25"/>
      <c r="H29" s="36"/>
      <c r="I29" s="36"/>
      <c r="J29" s="25"/>
    </row>
    <row r="30" spans="2:10" ht="11.25">
      <c r="B30" s="56" t="s">
        <v>66</v>
      </c>
      <c r="C30" s="25"/>
      <c r="D30" s="25"/>
      <c r="E30" s="25"/>
      <c r="F30" s="39">
        <f>SUM(D13:D25)</f>
        <v>122199</v>
      </c>
      <c r="G30" s="25"/>
      <c r="H30" s="37"/>
      <c r="I30" s="25"/>
      <c r="J30" s="25" t="s">
        <v>3</v>
      </c>
    </row>
    <row r="31" spans="2:10" ht="11.25">
      <c r="B31" s="52"/>
      <c r="C31" s="25"/>
      <c r="D31" s="25"/>
      <c r="E31" s="25"/>
      <c r="F31" s="31"/>
      <c r="G31" s="25"/>
      <c r="H31" s="37"/>
      <c r="I31" s="25"/>
      <c r="J31" s="25"/>
    </row>
    <row r="32" spans="2:10" ht="11.25">
      <c r="B32" s="52"/>
      <c r="C32" s="25"/>
      <c r="D32" s="25"/>
      <c r="E32" s="25"/>
      <c r="F32" s="31"/>
      <c r="G32" s="25"/>
      <c r="H32" s="25"/>
      <c r="I32" s="25"/>
      <c r="J32" s="25"/>
    </row>
    <row r="33" spans="2:10" ht="11.25">
      <c r="B33" s="56" t="s">
        <v>34</v>
      </c>
      <c r="C33" s="25"/>
      <c r="D33" s="25"/>
      <c r="E33" s="66" t="s">
        <v>68</v>
      </c>
      <c r="F33" s="41">
        <f>1.15/2</f>
        <v>0.575</v>
      </c>
      <c r="G33" s="25"/>
      <c r="H33" s="25"/>
      <c r="I33" s="25"/>
      <c r="J33" s="25"/>
    </row>
    <row r="34" spans="2:10" ht="11.25">
      <c r="B34" s="56" t="s">
        <v>34</v>
      </c>
      <c r="C34" s="25"/>
      <c r="D34" s="25"/>
      <c r="E34" s="26" t="s">
        <v>69</v>
      </c>
      <c r="F34" s="41">
        <v>1.15</v>
      </c>
      <c r="G34" s="25"/>
      <c r="H34" s="25"/>
      <c r="I34" s="25"/>
      <c r="J34" s="25"/>
    </row>
    <row r="35" spans="2:10" ht="11.25">
      <c r="B35" s="52"/>
      <c r="C35" s="25"/>
      <c r="D35" s="25"/>
      <c r="E35" s="25"/>
      <c r="F35" s="31"/>
      <c r="G35" s="31"/>
      <c r="H35" s="25"/>
      <c r="I35" s="25"/>
      <c r="J35" s="25"/>
    </row>
    <row r="36" spans="2:10" ht="11.25">
      <c r="B36" s="52"/>
      <c r="C36" s="25"/>
      <c r="D36" s="25"/>
      <c r="E36" s="25"/>
      <c r="F36" s="42"/>
      <c r="G36" s="31"/>
      <c r="H36" s="25"/>
      <c r="I36" s="25"/>
      <c r="J36" s="25"/>
    </row>
    <row r="37" spans="2:10" ht="11.25">
      <c r="B37" s="56" t="s">
        <v>67</v>
      </c>
      <c r="C37" s="25"/>
      <c r="D37" s="25"/>
      <c r="E37" s="25"/>
      <c r="F37" s="25"/>
      <c r="G37" s="43"/>
      <c r="H37" s="67">
        <f>((D13*F33)+SUM(D14:D25)*F34)</f>
        <v>134863.375</v>
      </c>
      <c r="I37" s="25"/>
      <c r="J37" s="25"/>
    </row>
    <row r="38" spans="2:10" ht="11.25">
      <c r="B38" s="52"/>
      <c r="C38" s="25"/>
      <c r="D38" s="25"/>
      <c r="E38" s="25"/>
      <c r="F38" s="25"/>
      <c r="G38" s="31"/>
      <c r="H38" s="25"/>
      <c r="I38" s="25"/>
      <c r="J38" s="25"/>
    </row>
    <row r="39" spans="2:10" ht="11.25">
      <c r="B39" s="56" t="s">
        <v>25</v>
      </c>
      <c r="C39" s="25"/>
      <c r="D39" s="25"/>
      <c r="E39" s="25"/>
      <c r="F39" s="25"/>
      <c r="G39" s="43">
        <f>E26</f>
        <v>239791.19210705</v>
      </c>
      <c r="H39" s="25"/>
      <c r="I39" s="25"/>
      <c r="J39" s="25"/>
    </row>
    <row r="40" spans="2:10" ht="11.25">
      <c r="B40" s="56" t="s">
        <v>46</v>
      </c>
      <c r="C40" s="25"/>
      <c r="D40" s="25"/>
      <c r="E40" s="25"/>
      <c r="F40" s="25"/>
      <c r="G40" s="43">
        <f>G39*0.3</f>
        <v>71937.357632115</v>
      </c>
      <c r="H40" s="25"/>
      <c r="I40" s="25"/>
      <c r="J40" s="25"/>
    </row>
    <row r="41" spans="2:10" ht="11.25">
      <c r="B41" s="56" t="s">
        <v>47</v>
      </c>
      <c r="C41" s="25"/>
      <c r="D41" s="25"/>
      <c r="E41" s="25"/>
      <c r="F41" s="25"/>
      <c r="G41" s="43"/>
      <c r="H41" s="43">
        <f>G39-G40</f>
        <v>167853.83447493502</v>
      </c>
      <c r="I41" s="25"/>
      <c r="J41" s="25"/>
    </row>
    <row r="42" spans="2:10" ht="11.25">
      <c r="B42" s="52"/>
      <c r="C42" s="25"/>
      <c r="D42" s="25"/>
      <c r="E42" s="25"/>
      <c r="F42" s="25"/>
      <c r="G42" s="25"/>
      <c r="H42" s="25"/>
      <c r="I42" s="25"/>
      <c r="J42" s="25"/>
    </row>
    <row r="43" spans="2:10" ht="11.25">
      <c r="B43" s="56" t="s">
        <v>48</v>
      </c>
      <c r="C43" s="25"/>
      <c r="D43" s="25"/>
      <c r="E43" s="25"/>
      <c r="F43" s="25"/>
      <c r="G43" s="45"/>
      <c r="H43" s="43">
        <f>H41-H37</f>
        <v>32990.45947493502</v>
      </c>
      <c r="I43" s="26"/>
      <c r="J43" s="25"/>
    </row>
    <row r="44" spans="2:10" ht="11.25">
      <c r="B44" s="52"/>
      <c r="C44" s="25"/>
      <c r="D44" s="25"/>
      <c r="E44" s="25"/>
      <c r="F44" s="25"/>
      <c r="G44" s="25"/>
      <c r="H44" s="45"/>
      <c r="I44" s="25"/>
      <c r="J44" s="25"/>
    </row>
    <row r="45" spans="2:10" ht="11.25">
      <c r="B45" s="56" t="s">
        <v>35</v>
      </c>
      <c r="C45" s="26"/>
      <c r="D45" s="26"/>
      <c r="E45" s="26"/>
      <c r="F45" s="25"/>
      <c r="G45" s="25"/>
      <c r="H45" s="37"/>
      <c r="I45" s="25"/>
      <c r="J45" s="25"/>
    </row>
    <row r="46" spans="2:10" ht="11.25">
      <c r="B46" s="56"/>
      <c r="C46" s="26"/>
      <c r="D46" s="26"/>
      <c r="E46" s="26"/>
      <c r="F46" s="25"/>
      <c r="G46" s="25"/>
      <c r="H46" s="25"/>
      <c r="I46" s="25"/>
      <c r="J46" s="25"/>
    </row>
    <row r="47" spans="2:10" ht="11.25">
      <c r="B47" s="56" t="s">
        <v>36</v>
      </c>
      <c r="C47" s="26"/>
      <c r="D47" s="26"/>
      <c r="E47" s="26"/>
      <c r="F47" s="25"/>
      <c r="G47" s="43">
        <f>H43</f>
        <v>32990.45947493502</v>
      </c>
      <c r="H47" s="45"/>
      <c r="I47" s="37"/>
      <c r="J47" s="25"/>
    </row>
    <row r="48" spans="2:10" ht="11.25">
      <c r="B48" s="56" t="s">
        <v>55</v>
      </c>
      <c r="C48" s="26"/>
      <c r="D48" s="26"/>
      <c r="E48" s="26"/>
      <c r="F48" s="25"/>
      <c r="G48" s="33">
        <f>SUM(D14:D25)</f>
        <v>112346</v>
      </c>
      <c r="H48" s="31"/>
      <c r="I48" s="31"/>
      <c r="J48" s="25"/>
    </row>
    <row r="49" spans="2:10" ht="11.25">
      <c r="B49" s="56" t="s">
        <v>37</v>
      </c>
      <c r="C49" s="26"/>
      <c r="D49" s="26"/>
      <c r="E49" s="26"/>
      <c r="F49" s="25"/>
      <c r="G49" s="46">
        <f>G47/G48</f>
        <v>0.29365050357765315</v>
      </c>
      <c r="H49" s="46"/>
      <c r="I49" s="37"/>
      <c r="J49" s="25"/>
    </row>
    <row r="50" spans="2:10" ht="11.25">
      <c r="B50" s="56"/>
      <c r="C50" s="26"/>
      <c r="D50" s="26"/>
      <c r="E50" s="26"/>
      <c r="F50" s="25"/>
      <c r="G50" s="25"/>
      <c r="H50" s="25"/>
      <c r="I50" s="25"/>
      <c r="J50" s="25"/>
    </row>
    <row r="51" spans="2:10" ht="11.25">
      <c r="B51" s="56"/>
      <c r="C51" s="26"/>
      <c r="D51" s="26"/>
      <c r="E51" s="26"/>
      <c r="F51" s="25"/>
      <c r="G51" s="25"/>
      <c r="H51" s="25"/>
      <c r="I51" s="27" t="s">
        <v>53</v>
      </c>
      <c r="J51" s="27"/>
    </row>
    <row r="52" spans="2:10" ht="11.25">
      <c r="B52" s="56" t="s">
        <v>49</v>
      </c>
      <c r="C52" s="26"/>
      <c r="D52" s="26"/>
      <c r="E52" s="26"/>
      <c r="F52" s="47"/>
      <c r="G52" s="47"/>
      <c r="H52" s="27" t="s">
        <v>58</v>
      </c>
      <c r="I52" s="40" t="s">
        <v>54</v>
      </c>
      <c r="J52" s="40"/>
    </row>
    <row r="53" spans="2:10" ht="11.25">
      <c r="B53" s="56" t="s">
        <v>56</v>
      </c>
      <c r="C53" s="26"/>
      <c r="D53" s="26"/>
      <c r="E53" s="26"/>
      <c r="F53" s="48"/>
      <c r="G53" s="49"/>
      <c r="H53" s="48">
        <f>SUM(E14:E25)</f>
        <v>232994.32112705</v>
      </c>
      <c r="I53" s="48">
        <f>H53*0.7</f>
        <v>163096.024788935</v>
      </c>
      <c r="J53" s="48"/>
    </row>
    <row r="54" spans="2:10" ht="11.25">
      <c r="B54" s="56" t="s">
        <v>57</v>
      </c>
      <c r="C54" s="26"/>
      <c r="D54" s="26"/>
      <c r="E54" s="26"/>
      <c r="F54" s="44"/>
      <c r="G54" s="44"/>
      <c r="H54" s="44">
        <f>SUM(D14:D25)</f>
        <v>112346</v>
      </c>
      <c r="I54" s="44">
        <f>H54</f>
        <v>112346</v>
      </c>
      <c r="J54" s="44"/>
    </row>
    <row r="55" spans="2:10" ht="11.25">
      <c r="B55" s="52"/>
      <c r="C55" s="25"/>
      <c r="D55" s="25"/>
      <c r="E55" s="25"/>
      <c r="F55" s="26"/>
      <c r="G55" s="26"/>
      <c r="H55" s="26"/>
      <c r="I55" s="50"/>
      <c r="J55" s="50"/>
    </row>
    <row r="56" spans="2:10" ht="11.25">
      <c r="B56" s="52"/>
      <c r="C56" s="25"/>
      <c r="D56" s="25"/>
      <c r="E56" s="26" t="s">
        <v>50</v>
      </c>
      <c r="F56" s="26"/>
      <c r="G56" s="26"/>
      <c r="H56" s="50">
        <f>H53/H54</f>
        <v>2.0738995703189254</v>
      </c>
      <c r="I56" s="50">
        <f>I53/I54</f>
        <v>1.4517296992232478</v>
      </c>
      <c r="J56" s="50"/>
    </row>
    <row r="57" spans="2:10" ht="11.25">
      <c r="B57" s="52"/>
      <c r="C57" s="25"/>
      <c r="D57" s="25"/>
      <c r="E57" s="26" t="s">
        <v>51</v>
      </c>
      <c r="F57" s="26"/>
      <c r="G57" s="26"/>
      <c r="H57" s="50">
        <f>G49</f>
        <v>0.29365050357765315</v>
      </c>
      <c r="I57" s="50">
        <f>G49</f>
        <v>0.29365050357765315</v>
      </c>
      <c r="J57" s="50"/>
    </row>
    <row r="58" spans="2:10" ht="11.25">
      <c r="B58" s="52"/>
      <c r="C58" s="25"/>
      <c r="D58" s="25"/>
      <c r="E58" s="25"/>
      <c r="F58" s="26" t="s">
        <v>52</v>
      </c>
      <c r="G58" s="26"/>
      <c r="H58" s="50">
        <f>H56+H57</f>
        <v>2.3675500738965787</v>
      </c>
      <c r="I58" s="51">
        <f>SUM(I56:I57)</f>
        <v>1.745380202800901</v>
      </c>
      <c r="J58" s="51"/>
    </row>
    <row r="59" spans="2:10" ht="11.25">
      <c r="B59" s="52"/>
      <c r="C59" s="25"/>
      <c r="D59" s="25"/>
      <c r="E59" s="25"/>
      <c r="F59" s="26"/>
      <c r="G59" s="26"/>
      <c r="H59" s="26"/>
      <c r="I59" s="50"/>
      <c r="J59" s="50"/>
    </row>
  </sheetData>
  <sheetProtection/>
  <printOptions/>
  <pageMargins left="0.75" right="0.75" top="1" bottom="1" header="0.5" footer="0.5"/>
  <pageSetup horizontalDpi="300" verticalDpi="300" orientation="portrait" scale="9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selection activeCell="A9" sqref="A9:IV24"/>
    </sheetView>
  </sheetViews>
  <sheetFormatPr defaultColWidth="8.88671875" defaultRowHeight="15"/>
  <cols>
    <col min="1" max="1" width="12.4453125" style="3" customWidth="1"/>
    <col min="2" max="4" width="8.88671875" style="3" customWidth="1"/>
    <col min="5" max="5" width="9.4453125" style="3" customWidth="1"/>
    <col min="6" max="16384" width="8.88671875" style="3" customWidth="1"/>
  </cols>
  <sheetData>
    <row r="1" spans="1:11" ht="11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1.2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2"/>
    </row>
    <row r="3" spans="1:11" ht="11.2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  <c r="K3" s="2"/>
    </row>
    <row r="4" spans="1:11" ht="11.2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  <c r="K4" s="2"/>
    </row>
    <row r="5" spans="1:11" ht="11.25">
      <c r="A5" s="16" t="s">
        <v>63</v>
      </c>
      <c r="B5" s="4"/>
      <c r="C5" s="4"/>
      <c r="D5" s="5"/>
      <c r="E5" s="5" t="s">
        <v>62</v>
      </c>
      <c r="F5" s="4"/>
      <c r="G5" s="4"/>
      <c r="H5" s="4"/>
      <c r="I5" s="4"/>
      <c r="J5" s="4"/>
      <c r="K5" s="2"/>
    </row>
    <row r="6" spans="1:11" ht="11.25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1.2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  <c r="K7" s="2"/>
    </row>
    <row r="8" spans="1:11" ht="11.25">
      <c r="A8" s="4"/>
      <c r="B8" s="4"/>
      <c r="C8" s="4"/>
      <c r="D8" s="4"/>
      <c r="E8" s="4"/>
      <c r="F8" s="4"/>
      <c r="G8" s="4" t="s">
        <v>3</v>
      </c>
      <c r="H8" s="5" t="s">
        <v>43</v>
      </c>
      <c r="I8" s="5" t="s">
        <v>3</v>
      </c>
      <c r="J8" s="4"/>
      <c r="K8" s="2"/>
    </row>
    <row r="9" spans="1:11" ht="11.25">
      <c r="A9" s="4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44</v>
      </c>
      <c r="I9" s="5" t="s">
        <v>45</v>
      </c>
      <c r="J9" s="5" t="s">
        <v>28</v>
      </c>
      <c r="K9" s="2"/>
    </row>
    <row r="10" spans="1:11" ht="11.2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2"/>
    </row>
    <row r="11" spans="1:11" ht="11.25">
      <c r="A11" s="15" t="s">
        <v>60</v>
      </c>
      <c r="B11" s="21">
        <v>9.625</v>
      </c>
      <c r="C11" s="21">
        <v>10.545</v>
      </c>
      <c r="D11" s="21">
        <v>27.135</v>
      </c>
      <c r="E11" s="21">
        <v>0.486</v>
      </c>
      <c r="F11" s="21">
        <v>1.295</v>
      </c>
      <c r="G11" s="21">
        <v>2.543</v>
      </c>
      <c r="H11" s="21">
        <v>1.658</v>
      </c>
      <c r="I11" s="21">
        <v>5.296</v>
      </c>
      <c r="J11" s="63">
        <f aca="true" t="shared" si="0" ref="J11:J23">SUM(B11:I11)</f>
        <v>58.583000000000006</v>
      </c>
      <c r="K11" s="2"/>
    </row>
    <row r="12" spans="1:11" ht="11.25">
      <c r="A12" s="10" t="s">
        <v>59</v>
      </c>
      <c r="B12" s="62">
        <v>30.62</v>
      </c>
      <c r="C12" s="62">
        <v>33.55</v>
      </c>
      <c r="D12" s="62">
        <v>86.33</v>
      </c>
      <c r="E12" s="62">
        <v>1.55</v>
      </c>
      <c r="F12" s="62">
        <v>4.12</v>
      </c>
      <c r="G12" s="62">
        <v>8.09</v>
      </c>
      <c r="H12" s="62">
        <v>5.27</v>
      </c>
      <c r="I12" s="62">
        <v>16.85</v>
      </c>
      <c r="J12" s="63">
        <f t="shared" si="0"/>
        <v>186.38000000000002</v>
      </c>
      <c r="K12" s="2"/>
    </row>
    <row r="13" spans="1:11" ht="11.25">
      <c r="A13" s="1" t="s">
        <v>26</v>
      </c>
      <c r="B13" s="62">
        <v>26.4</v>
      </c>
      <c r="C13" s="62">
        <v>28.92</v>
      </c>
      <c r="D13" s="62">
        <v>74.42</v>
      </c>
      <c r="E13" s="62">
        <v>1.33</v>
      </c>
      <c r="F13" s="62">
        <v>3.55</v>
      </c>
      <c r="G13" s="62">
        <v>6.97</v>
      </c>
      <c r="H13" s="62">
        <v>4.55</v>
      </c>
      <c r="I13" s="62">
        <v>14.52</v>
      </c>
      <c r="J13" s="63">
        <f t="shared" si="0"/>
        <v>160.66000000000005</v>
      </c>
      <c r="K13" s="2"/>
    </row>
    <row r="14" spans="1:11" ht="11.25">
      <c r="A14" s="1" t="s">
        <v>17</v>
      </c>
      <c r="B14" s="62">
        <v>25.01</v>
      </c>
      <c r="C14" s="62">
        <v>27.4</v>
      </c>
      <c r="D14" s="62">
        <v>70.51</v>
      </c>
      <c r="E14" s="62">
        <v>1.262705</v>
      </c>
      <c r="F14" s="62">
        <v>3.36</v>
      </c>
      <c r="G14" s="62">
        <v>6.61</v>
      </c>
      <c r="H14" s="62">
        <v>4.31</v>
      </c>
      <c r="I14" s="62">
        <v>13.76</v>
      </c>
      <c r="J14" s="63">
        <f t="shared" si="0"/>
        <v>152.222705</v>
      </c>
      <c r="K14" s="2"/>
    </row>
    <row r="15" spans="1:11" ht="11.25">
      <c r="A15" s="1" t="s">
        <v>18</v>
      </c>
      <c r="B15" s="62">
        <v>29.46</v>
      </c>
      <c r="C15" s="62">
        <v>32.27</v>
      </c>
      <c r="D15" s="62">
        <v>83.04</v>
      </c>
      <c r="E15" s="62">
        <v>1.49</v>
      </c>
      <c r="F15" s="62">
        <v>3.96</v>
      </c>
      <c r="G15" s="62">
        <v>7.78</v>
      </c>
      <c r="H15" s="62">
        <v>5.07</v>
      </c>
      <c r="I15" s="62">
        <v>16.21</v>
      </c>
      <c r="J15" s="63">
        <f t="shared" si="0"/>
        <v>179.28000000000003</v>
      </c>
      <c r="K15" s="11" t="s">
        <v>3</v>
      </c>
    </row>
    <row r="16" spans="1:11" ht="11.25">
      <c r="A16" s="12" t="s">
        <v>61</v>
      </c>
      <c r="B16" s="21">
        <v>27.26</v>
      </c>
      <c r="C16" s="21">
        <v>29.86</v>
      </c>
      <c r="D16" s="21">
        <v>76.85</v>
      </c>
      <c r="E16" s="21">
        <v>1.38</v>
      </c>
      <c r="F16" s="21">
        <v>3.67</v>
      </c>
      <c r="G16" s="21">
        <v>7.2</v>
      </c>
      <c r="H16" s="21">
        <v>4.7</v>
      </c>
      <c r="I16" s="21">
        <v>15</v>
      </c>
      <c r="J16" s="64">
        <f t="shared" si="0"/>
        <v>165.91999999999996</v>
      </c>
      <c r="K16" s="2" t="s">
        <v>3</v>
      </c>
    </row>
    <row r="17" spans="1:11" ht="11.25">
      <c r="A17" s="4" t="s">
        <v>19</v>
      </c>
      <c r="B17" s="21">
        <f>22.26</f>
        <v>22.26</v>
      </c>
      <c r="C17" s="21">
        <v>24.38</v>
      </c>
      <c r="D17" s="21">
        <v>62.75</v>
      </c>
      <c r="E17" s="21">
        <v>1.12</v>
      </c>
      <c r="F17" s="21">
        <v>2.99</v>
      </c>
      <c r="G17" s="21">
        <v>5.88</v>
      </c>
      <c r="H17" s="21">
        <v>3.83</v>
      </c>
      <c r="I17" s="21">
        <v>12.25</v>
      </c>
      <c r="J17" s="64">
        <f t="shared" si="0"/>
        <v>135.45999999999998</v>
      </c>
      <c r="K17" s="2"/>
    </row>
    <row r="18" spans="1:11" ht="11.25">
      <c r="A18" s="15" t="s">
        <v>42</v>
      </c>
      <c r="B18" s="21">
        <v>24.69</v>
      </c>
      <c r="C18" s="21">
        <v>27.05</v>
      </c>
      <c r="D18" s="21">
        <v>69.61</v>
      </c>
      <c r="E18" s="21">
        <v>1.25</v>
      </c>
      <c r="F18" s="21">
        <v>3.32</v>
      </c>
      <c r="G18" s="21">
        <v>6.52</v>
      </c>
      <c r="H18" s="21">
        <v>4.25</v>
      </c>
      <c r="I18" s="21">
        <v>13.58</v>
      </c>
      <c r="J18" s="64">
        <f t="shared" si="0"/>
        <v>150.27</v>
      </c>
      <c r="K18" s="2"/>
    </row>
    <row r="19" spans="1:11" ht="11.25">
      <c r="A19" s="4" t="s">
        <v>32</v>
      </c>
      <c r="B19" s="62">
        <v>23.6</v>
      </c>
      <c r="C19" s="21">
        <v>25.85</v>
      </c>
      <c r="D19" s="21">
        <v>66.52</v>
      </c>
      <c r="E19" s="21">
        <v>1.19</v>
      </c>
      <c r="F19" s="21">
        <v>3.17</v>
      </c>
      <c r="G19" s="21">
        <v>6.23</v>
      </c>
      <c r="H19" s="21">
        <v>4.06</v>
      </c>
      <c r="I19" s="21">
        <v>12.98</v>
      </c>
      <c r="J19" s="64">
        <f t="shared" si="0"/>
        <v>143.6</v>
      </c>
      <c r="K19" s="2"/>
    </row>
    <row r="20" spans="1:11" ht="11.25">
      <c r="A20" s="4" t="s">
        <v>21</v>
      </c>
      <c r="B20" s="21">
        <v>24.69</v>
      </c>
      <c r="C20" s="21">
        <v>27.05</v>
      </c>
      <c r="D20" s="21">
        <v>69.6</v>
      </c>
      <c r="E20" s="21">
        <v>1.25</v>
      </c>
      <c r="F20" s="21">
        <v>3.32</v>
      </c>
      <c r="G20" s="21">
        <v>6.52</v>
      </c>
      <c r="H20" s="21">
        <v>4.25</v>
      </c>
      <c r="I20" s="21">
        <v>13.58</v>
      </c>
      <c r="J20" s="64">
        <f t="shared" si="0"/>
        <v>150.26000000000002</v>
      </c>
      <c r="K20" s="2"/>
    </row>
    <row r="21" spans="1:11" ht="11.25">
      <c r="A21" s="4" t="s">
        <v>22</v>
      </c>
      <c r="B21" s="21">
        <v>25.72</v>
      </c>
      <c r="C21" s="21">
        <v>28.18</v>
      </c>
      <c r="D21" s="21">
        <v>72.52</v>
      </c>
      <c r="E21" s="21">
        <v>1.3</v>
      </c>
      <c r="F21" s="21">
        <v>3.46</v>
      </c>
      <c r="G21" s="21">
        <v>6.8</v>
      </c>
      <c r="H21" s="21">
        <v>4.43</v>
      </c>
      <c r="I21" s="21">
        <v>14.15</v>
      </c>
      <c r="J21" s="64">
        <f t="shared" si="0"/>
        <v>156.56</v>
      </c>
      <c r="K21" s="2" t="s">
        <v>3</v>
      </c>
    </row>
    <row r="22" spans="1:11" ht="11.25">
      <c r="A22" s="4" t="s">
        <v>23</v>
      </c>
      <c r="B22" s="21">
        <v>26.93</v>
      </c>
      <c r="C22" s="21">
        <v>29.5</v>
      </c>
      <c r="D22" s="21">
        <v>75.92</v>
      </c>
      <c r="E22" s="21">
        <v>1.36</v>
      </c>
      <c r="F22" s="21">
        <v>3.62</v>
      </c>
      <c r="G22" s="21">
        <v>7.11</v>
      </c>
      <c r="H22" s="21">
        <v>4.64</v>
      </c>
      <c r="I22" s="21">
        <v>14.82</v>
      </c>
      <c r="J22" s="64">
        <f t="shared" si="0"/>
        <v>163.9</v>
      </c>
      <c r="K22" s="2"/>
    </row>
    <row r="23" spans="1:11" ht="11.25">
      <c r="A23" s="1" t="s">
        <v>24</v>
      </c>
      <c r="B23" s="62">
        <v>27.17</v>
      </c>
      <c r="C23" s="62">
        <v>29.77</v>
      </c>
      <c r="D23" s="62">
        <v>76.6</v>
      </c>
      <c r="E23" s="62">
        <v>1.37</v>
      </c>
      <c r="F23" s="62">
        <v>3.65</v>
      </c>
      <c r="G23" s="62">
        <v>7.18</v>
      </c>
      <c r="H23" s="62">
        <v>4.68</v>
      </c>
      <c r="I23" s="62">
        <v>14.95</v>
      </c>
      <c r="J23" s="63">
        <f t="shared" si="0"/>
        <v>165.37</v>
      </c>
      <c r="K23" s="2"/>
    </row>
    <row r="24" spans="1:11" ht="11.25">
      <c r="A24" s="16" t="s">
        <v>11</v>
      </c>
      <c r="B24" s="22">
        <f>SUM(B11:B23)</f>
        <v>323.435</v>
      </c>
      <c r="C24" s="22">
        <f>SUM(C11:C23)</f>
        <v>354.325</v>
      </c>
      <c r="D24" s="22">
        <f aca="true" t="shared" si="1" ref="D24:J24">SUM(D11:D23)</f>
        <v>911.805</v>
      </c>
      <c r="E24" s="22">
        <f t="shared" si="1"/>
        <v>16.338705</v>
      </c>
      <c r="F24" s="22">
        <f t="shared" si="1"/>
        <v>43.485</v>
      </c>
      <c r="G24" s="22">
        <f t="shared" si="1"/>
        <v>85.43299999999999</v>
      </c>
      <c r="H24" s="22">
        <f t="shared" si="1"/>
        <v>55.698</v>
      </c>
      <c r="I24" s="22">
        <f t="shared" si="1"/>
        <v>177.946</v>
      </c>
      <c r="J24" s="65">
        <f t="shared" si="1"/>
        <v>1968.465705</v>
      </c>
      <c r="K24" s="17"/>
    </row>
    <row r="25" spans="1:11" ht="11.25">
      <c r="A25" s="4"/>
      <c r="B25" s="13"/>
      <c r="C25" s="13"/>
      <c r="D25" s="13"/>
      <c r="E25" s="13"/>
      <c r="F25" s="13"/>
      <c r="G25" s="13"/>
      <c r="H25" s="13"/>
      <c r="I25" s="13"/>
      <c r="J25" s="5"/>
      <c r="K25" s="2"/>
    </row>
    <row r="26" spans="1:11" ht="11.25">
      <c r="A26" s="4" t="s">
        <v>39</v>
      </c>
      <c r="B26" s="18">
        <f>B24/$J$24</f>
        <v>0.16430817117029733</v>
      </c>
      <c r="C26" s="18">
        <f aca="true" t="shared" si="2" ref="C26:I26">C24/$J$24</f>
        <v>0.18000059594637438</v>
      </c>
      <c r="D26" s="18">
        <f t="shared" si="2"/>
        <v>0.46320593632084633</v>
      </c>
      <c r="E26" s="18">
        <f t="shared" si="2"/>
        <v>0.00830022334577579</v>
      </c>
      <c r="F26" s="18">
        <f t="shared" si="2"/>
        <v>0.02209080904460055</v>
      </c>
      <c r="G26" s="18">
        <f t="shared" si="2"/>
        <v>0.04340080692439597</v>
      </c>
      <c r="H26" s="18">
        <f t="shared" si="2"/>
        <v>0.028295133544122376</v>
      </c>
      <c r="I26" s="18">
        <f t="shared" si="2"/>
        <v>0.0903983237035872</v>
      </c>
      <c r="J26" s="14"/>
      <c r="K26" s="2"/>
    </row>
    <row r="27" spans="1:11" ht="11.25">
      <c r="A27" s="4"/>
      <c r="B27" s="5"/>
      <c r="C27" s="5"/>
      <c r="D27" s="5"/>
      <c r="E27" s="5"/>
      <c r="F27" s="5"/>
      <c r="G27" s="5"/>
      <c r="H27" s="5"/>
      <c r="I27" s="5"/>
      <c r="J27" s="21"/>
      <c r="K27" s="2"/>
    </row>
    <row r="28" spans="1:11" ht="11.25">
      <c r="A28" s="4" t="s">
        <v>29</v>
      </c>
      <c r="B28" s="5" t="s">
        <v>3</v>
      </c>
      <c r="C28" s="5"/>
      <c r="D28" s="5"/>
      <c r="E28" s="5"/>
      <c r="F28" s="13"/>
      <c r="G28" s="5"/>
      <c r="H28" s="5"/>
      <c r="I28" s="5"/>
      <c r="J28" s="5"/>
      <c r="K28" s="2"/>
    </row>
    <row r="29" spans="1:11" ht="11.25">
      <c r="A29" s="4"/>
      <c r="B29" s="19" t="s">
        <v>40</v>
      </c>
      <c r="C29" s="19"/>
      <c r="D29" s="19"/>
      <c r="E29" s="19"/>
      <c r="F29" s="19"/>
      <c r="G29" s="19"/>
      <c r="H29" s="19"/>
      <c r="I29" s="19"/>
      <c r="J29" s="19"/>
      <c r="K29" s="2"/>
    </row>
    <row r="30" spans="1:11" ht="11.25">
      <c r="A30" s="4"/>
      <c r="B30" s="19" t="s">
        <v>41</v>
      </c>
      <c r="C30" s="19"/>
      <c r="D30" s="19"/>
      <c r="E30" s="19"/>
      <c r="F30" s="19"/>
      <c r="G30" s="19"/>
      <c r="H30" s="19"/>
      <c r="I30" s="19"/>
      <c r="J30" s="19"/>
      <c r="K30" s="2"/>
    </row>
    <row r="31" spans="1:11" ht="11.25">
      <c r="A31" s="15" t="s">
        <v>60</v>
      </c>
      <c r="B31" s="19">
        <f>90-25</f>
        <v>65</v>
      </c>
      <c r="C31" s="19">
        <v>102.82</v>
      </c>
      <c r="D31" s="19">
        <v>130.29</v>
      </c>
      <c r="E31" s="19">
        <v>1007.68</v>
      </c>
      <c r="F31" s="19">
        <v>83.96</v>
      </c>
      <c r="G31" s="19">
        <v>360.03</v>
      </c>
      <c r="H31" s="19">
        <v>370</v>
      </c>
      <c r="I31" s="19">
        <v>108.74</v>
      </c>
      <c r="J31" s="19"/>
      <c r="K31" s="2"/>
    </row>
    <row r="32" spans="1:11" ht="11.25">
      <c r="A32" s="15" t="s">
        <v>59</v>
      </c>
      <c r="B32" s="20">
        <f>100-25</f>
        <v>75</v>
      </c>
      <c r="C32" s="20">
        <v>102.93</v>
      </c>
      <c r="D32" s="20">
        <v>115.37</v>
      </c>
      <c r="E32" s="20">
        <v>1085.61</v>
      </c>
      <c r="F32" s="20">
        <v>97.8</v>
      </c>
      <c r="G32" s="20">
        <v>360</v>
      </c>
      <c r="H32" s="20">
        <v>380</v>
      </c>
      <c r="I32" s="20">
        <v>108.74</v>
      </c>
      <c r="J32" s="19"/>
      <c r="K32" s="2"/>
    </row>
    <row r="33" spans="1:11" ht="11.25">
      <c r="A33" s="4" t="s">
        <v>26</v>
      </c>
      <c r="B33" s="20">
        <f>92.01-25</f>
        <v>67.01</v>
      </c>
      <c r="C33" s="20">
        <v>97.5</v>
      </c>
      <c r="D33" s="20">
        <v>104.86</v>
      </c>
      <c r="E33" s="20">
        <v>1100.46</v>
      </c>
      <c r="F33" s="20">
        <v>80.08</v>
      </c>
      <c r="G33" s="20">
        <v>315.43</v>
      </c>
      <c r="H33" s="20">
        <v>363.37</v>
      </c>
      <c r="I33" s="20">
        <v>108.74</v>
      </c>
      <c r="J33" s="19"/>
      <c r="K33" s="2"/>
    </row>
    <row r="34" spans="1:11" ht="11.25">
      <c r="A34" s="4" t="s">
        <v>17</v>
      </c>
      <c r="B34" s="20">
        <f>101-25</f>
        <v>76</v>
      </c>
      <c r="C34" s="20">
        <v>98.18</v>
      </c>
      <c r="D34" s="20">
        <v>111.97</v>
      </c>
      <c r="E34" s="20">
        <v>1140.01</v>
      </c>
      <c r="F34" s="20">
        <v>58.02</v>
      </c>
      <c r="G34" s="20">
        <v>312.43</v>
      </c>
      <c r="H34" s="20">
        <v>330</v>
      </c>
      <c r="I34" s="20">
        <v>108.74</v>
      </c>
      <c r="J34" s="19"/>
      <c r="K34" s="2"/>
    </row>
    <row r="35" spans="1:11" ht="11.25">
      <c r="A35" s="4" t="s">
        <v>18</v>
      </c>
      <c r="B35" s="20">
        <v>65</v>
      </c>
      <c r="C35" s="20">
        <v>96.03</v>
      </c>
      <c r="D35" s="20">
        <v>114.5</v>
      </c>
      <c r="E35" s="20">
        <v>1203.63</v>
      </c>
      <c r="F35" s="20">
        <v>84.66</v>
      </c>
      <c r="G35" s="20">
        <v>359.91</v>
      </c>
      <c r="H35" s="20">
        <v>347.34</v>
      </c>
      <c r="I35" s="20">
        <v>108.74</v>
      </c>
      <c r="J35" s="19"/>
      <c r="K35" s="2"/>
    </row>
    <row r="36" spans="1:11" ht="11.25">
      <c r="A36" s="12" t="s">
        <v>61</v>
      </c>
      <c r="B36" s="20">
        <f>90-25</f>
        <v>65</v>
      </c>
      <c r="C36" s="19">
        <v>96.03</v>
      </c>
      <c r="D36" s="19">
        <v>114.5</v>
      </c>
      <c r="E36" s="19">
        <v>1203.63</v>
      </c>
      <c r="F36" s="19">
        <v>84.66</v>
      </c>
      <c r="G36" s="19">
        <v>359.91</v>
      </c>
      <c r="H36" s="19">
        <v>347.34</v>
      </c>
      <c r="I36" s="20">
        <v>108.74</v>
      </c>
      <c r="J36" s="19"/>
      <c r="K36" s="2"/>
    </row>
    <row r="37" spans="1:11" ht="11.25">
      <c r="A37" s="4" t="s">
        <v>19</v>
      </c>
      <c r="B37" s="19">
        <f>110-25</f>
        <v>85</v>
      </c>
      <c r="C37" s="19">
        <v>101.35</v>
      </c>
      <c r="D37" s="19">
        <v>146.2</v>
      </c>
      <c r="E37" s="19">
        <v>1235.1</v>
      </c>
      <c r="F37" s="19">
        <v>84.82</v>
      </c>
      <c r="G37" s="19">
        <v>413.92</v>
      </c>
      <c r="H37" s="19">
        <v>404.98</v>
      </c>
      <c r="I37" s="20">
        <v>108.74</v>
      </c>
      <c r="J37" s="19"/>
      <c r="K37" s="2"/>
    </row>
    <row r="38" spans="1:11" ht="11.25">
      <c r="A38" s="15" t="s">
        <v>42</v>
      </c>
      <c r="B38" s="19">
        <f>105.68-25</f>
        <v>80.68</v>
      </c>
      <c r="C38" s="19">
        <v>104.43</v>
      </c>
      <c r="D38" s="19">
        <v>166.65</v>
      </c>
      <c r="E38" s="19">
        <v>1230.26</v>
      </c>
      <c r="F38" s="19">
        <v>142.27</v>
      </c>
      <c r="G38" s="19">
        <v>452.56</v>
      </c>
      <c r="H38" s="19">
        <v>405</v>
      </c>
      <c r="I38" s="20">
        <v>112.94</v>
      </c>
      <c r="J38" s="19"/>
      <c r="K38" s="2"/>
    </row>
    <row r="39" spans="1:11" ht="11.25">
      <c r="A39" s="4" t="s">
        <v>32</v>
      </c>
      <c r="B39" s="19">
        <v>80</v>
      </c>
      <c r="C39" s="19">
        <v>101.97</v>
      </c>
      <c r="D39" s="19">
        <v>150.37</v>
      </c>
      <c r="E39" s="19">
        <v>1491.53</v>
      </c>
      <c r="F39" s="19">
        <v>156.26</v>
      </c>
      <c r="G39" s="19">
        <v>451.68</v>
      </c>
      <c r="H39" s="19">
        <v>440.44</v>
      </c>
      <c r="I39" s="19">
        <v>112.94</v>
      </c>
      <c r="J39" s="19"/>
      <c r="K39" s="2"/>
    </row>
    <row r="40" spans="1:11" ht="11.25">
      <c r="A40" s="4" t="s">
        <v>21</v>
      </c>
      <c r="B40" s="19">
        <f>87-25</f>
        <v>62</v>
      </c>
      <c r="C40" s="19">
        <v>107.75</v>
      </c>
      <c r="D40" s="19">
        <v>150.17</v>
      </c>
      <c r="E40" s="19">
        <v>1476.02</v>
      </c>
      <c r="F40" s="19">
        <v>151.79</v>
      </c>
      <c r="G40" s="19">
        <v>492.51</v>
      </c>
      <c r="H40" s="19">
        <v>483.15</v>
      </c>
      <c r="I40" s="19">
        <v>112.94</v>
      </c>
      <c r="J40" s="19"/>
      <c r="K40" s="2"/>
    </row>
    <row r="41" spans="1:11" ht="11.25">
      <c r="A41" s="4" t="s">
        <v>22</v>
      </c>
      <c r="B41" s="19">
        <f>90-25</f>
        <v>65</v>
      </c>
      <c r="C41" s="19">
        <v>90.85</v>
      </c>
      <c r="D41" s="19">
        <v>125.17</v>
      </c>
      <c r="E41" s="19">
        <v>1350.3</v>
      </c>
      <c r="F41" s="19">
        <v>132.22</v>
      </c>
      <c r="G41" s="19">
        <v>423.34</v>
      </c>
      <c r="H41" s="19">
        <v>480.11</v>
      </c>
      <c r="I41" s="19">
        <v>112.94</v>
      </c>
      <c r="J41" s="19"/>
      <c r="K41" s="2"/>
    </row>
    <row r="42" spans="1:11" ht="11.25">
      <c r="A42" s="4" t="s">
        <v>23</v>
      </c>
      <c r="B42" s="19">
        <f>92-25</f>
        <v>67</v>
      </c>
      <c r="C42" s="19">
        <v>93.55</v>
      </c>
      <c r="D42" s="19">
        <v>132.08</v>
      </c>
      <c r="E42" s="19">
        <v>1243.71</v>
      </c>
      <c r="F42" s="19">
        <v>129.47</v>
      </c>
      <c r="G42" s="19">
        <v>456.54</v>
      </c>
      <c r="H42" s="19">
        <v>458.5</v>
      </c>
      <c r="I42" s="19">
        <v>112.94</v>
      </c>
      <c r="J42" s="19"/>
      <c r="K42" s="2"/>
    </row>
    <row r="43" spans="1:11" ht="11.25">
      <c r="A43" s="4" t="s">
        <v>24</v>
      </c>
      <c r="B43" s="19">
        <f>109-25</f>
        <v>84</v>
      </c>
      <c r="C43" s="19">
        <v>95.69</v>
      </c>
      <c r="D43" s="19">
        <v>149.65</v>
      </c>
      <c r="E43" s="19">
        <v>1323.34</v>
      </c>
      <c r="F43" s="19">
        <v>138.37</v>
      </c>
      <c r="G43" s="19">
        <v>486.41</v>
      </c>
      <c r="H43" s="19">
        <v>371.7</v>
      </c>
      <c r="I43" s="19">
        <v>112.94</v>
      </c>
      <c r="J43" s="19"/>
      <c r="K43" s="2"/>
    </row>
    <row r="44" spans="1:11" ht="11.25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2"/>
    </row>
    <row r="45" spans="1:11" ht="11.25">
      <c r="A45" s="4" t="s">
        <v>12</v>
      </c>
      <c r="B45" s="19"/>
      <c r="C45" s="19" t="s">
        <v>3</v>
      </c>
      <c r="D45" s="19"/>
      <c r="E45" s="19"/>
      <c r="F45" s="19"/>
      <c r="G45" s="4" t="s">
        <v>3</v>
      </c>
      <c r="H45" s="5" t="s">
        <v>43</v>
      </c>
      <c r="I45" s="5" t="s">
        <v>3</v>
      </c>
      <c r="J45" s="19"/>
      <c r="K45" s="2"/>
    </row>
    <row r="46" spans="1:11" ht="11.25">
      <c r="A46" s="4"/>
      <c r="B46" s="5" t="s">
        <v>5</v>
      </c>
      <c r="C46" s="5" t="s">
        <v>6</v>
      </c>
      <c r="D46" s="5" t="s">
        <v>7</v>
      </c>
      <c r="E46" s="5" t="s">
        <v>8</v>
      </c>
      <c r="F46" s="5" t="s">
        <v>9</v>
      </c>
      <c r="G46" s="5" t="s">
        <v>10</v>
      </c>
      <c r="H46" s="5" t="s">
        <v>44</v>
      </c>
      <c r="I46" s="5" t="s">
        <v>45</v>
      </c>
      <c r="J46" s="5" t="s">
        <v>28</v>
      </c>
      <c r="K46" s="2"/>
    </row>
    <row r="47" spans="1:11" ht="11.25">
      <c r="A47" s="15" t="s">
        <v>60</v>
      </c>
      <c r="B47" s="21">
        <f>B11*B31</f>
        <v>625.625</v>
      </c>
      <c r="C47" s="21">
        <f aca="true" t="shared" si="3" ref="C47:H57">+C11*C31</f>
        <v>1084.2368999999999</v>
      </c>
      <c r="D47" s="21">
        <f t="shared" si="3"/>
        <v>3535.41915</v>
      </c>
      <c r="E47" s="21">
        <f t="shared" si="3"/>
        <v>489.73247999999995</v>
      </c>
      <c r="F47" s="21">
        <f t="shared" si="3"/>
        <v>108.72819999999999</v>
      </c>
      <c r="G47" s="21">
        <f t="shared" si="3"/>
        <v>915.55629</v>
      </c>
      <c r="H47" s="21">
        <f t="shared" si="3"/>
        <v>613.4599999999999</v>
      </c>
      <c r="I47" s="21">
        <f>+I11*-I31</f>
        <v>-575.88704</v>
      </c>
      <c r="J47" s="21">
        <f>SUM(B47:I47)</f>
        <v>6796.870979999999</v>
      </c>
      <c r="K47" s="2"/>
    </row>
    <row r="48" spans="1:11" ht="11.25">
      <c r="A48" s="15" t="s">
        <v>59</v>
      </c>
      <c r="B48" s="21">
        <f aca="true" t="shared" si="4" ref="B48:B59">B12*B32</f>
        <v>2296.5</v>
      </c>
      <c r="C48" s="21">
        <f t="shared" si="3"/>
        <v>3453.3015</v>
      </c>
      <c r="D48" s="21">
        <f t="shared" si="3"/>
        <v>9959.892100000001</v>
      </c>
      <c r="E48" s="21">
        <f t="shared" si="3"/>
        <v>1682.6954999999998</v>
      </c>
      <c r="F48" s="21">
        <f t="shared" si="3"/>
        <v>402.936</v>
      </c>
      <c r="G48" s="21">
        <f t="shared" si="3"/>
        <v>2912.4</v>
      </c>
      <c r="H48" s="21">
        <f t="shared" si="3"/>
        <v>2002.6</v>
      </c>
      <c r="I48" s="21">
        <f aca="true" t="shared" si="5" ref="I48:I59">+I12*-I32</f>
        <v>-1832.269</v>
      </c>
      <c r="J48" s="21">
        <f aca="true" t="shared" si="6" ref="J48:J59">SUM(B48:I48)</f>
        <v>20878.0561</v>
      </c>
      <c r="K48" s="2"/>
    </row>
    <row r="49" spans="1:11" ht="11.25">
      <c r="A49" s="4" t="s">
        <v>26</v>
      </c>
      <c r="B49" s="21">
        <f t="shared" si="4"/>
        <v>1769.064</v>
      </c>
      <c r="C49" s="21">
        <f t="shared" si="3"/>
        <v>2819.7000000000003</v>
      </c>
      <c r="D49" s="21">
        <f t="shared" si="3"/>
        <v>7803.6812</v>
      </c>
      <c r="E49" s="21">
        <f t="shared" si="3"/>
        <v>1463.6118000000001</v>
      </c>
      <c r="F49" s="21">
        <f t="shared" si="3"/>
        <v>284.284</v>
      </c>
      <c r="G49" s="21">
        <f t="shared" si="3"/>
        <v>2198.5471</v>
      </c>
      <c r="H49" s="21">
        <f t="shared" si="3"/>
        <v>1653.3335</v>
      </c>
      <c r="I49" s="21">
        <f t="shared" si="5"/>
        <v>-1578.9047999999998</v>
      </c>
      <c r="J49" s="21">
        <f t="shared" si="6"/>
        <v>16413.3168</v>
      </c>
      <c r="K49" s="61"/>
    </row>
    <row r="50" spans="1:11" ht="11.25">
      <c r="A50" s="4" t="s">
        <v>17</v>
      </c>
      <c r="B50" s="21">
        <f t="shared" si="4"/>
        <v>1900.7600000000002</v>
      </c>
      <c r="C50" s="21">
        <f t="shared" si="3"/>
        <v>2690.132</v>
      </c>
      <c r="D50" s="21">
        <f t="shared" si="3"/>
        <v>7895.0047</v>
      </c>
      <c r="E50" s="21">
        <f t="shared" si="3"/>
        <v>1439.49632705</v>
      </c>
      <c r="F50" s="21">
        <f t="shared" si="3"/>
        <v>194.9472</v>
      </c>
      <c r="G50" s="21">
        <f t="shared" si="3"/>
        <v>2065.1623</v>
      </c>
      <c r="H50" s="21">
        <f t="shared" si="3"/>
        <v>1422.3</v>
      </c>
      <c r="I50" s="21">
        <f t="shared" si="5"/>
        <v>-1496.2623999999998</v>
      </c>
      <c r="J50" s="21">
        <f t="shared" si="6"/>
        <v>16111.54012705</v>
      </c>
      <c r="K50" s="2"/>
    </row>
    <row r="51" spans="1:11" ht="11.25">
      <c r="A51" s="4" t="s">
        <v>18</v>
      </c>
      <c r="B51" s="21">
        <f t="shared" si="4"/>
        <v>1914.9</v>
      </c>
      <c r="C51" s="21">
        <f t="shared" si="3"/>
        <v>3098.8881</v>
      </c>
      <c r="D51" s="21">
        <f t="shared" si="3"/>
        <v>9508.08</v>
      </c>
      <c r="E51" s="21">
        <f t="shared" si="3"/>
        <v>1793.4087000000002</v>
      </c>
      <c r="F51" s="21">
        <f t="shared" si="3"/>
        <v>335.2536</v>
      </c>
      <c r="G51" s="21">
        <f t="shared" si="3"/>
        <v>2800.0998000000004</v>
      </c>
      <c r="H51" s="21">
        <f t="shared" si="3"/>
        <v>1761.0138</v>
      </c>
      <c r="I51" s="21">
        <f t="shared" si="5"/>
        <v>-1762.6754</v>
      </c>
      <c r="J51" s="21">
        <f t="shared" si="6"/>
        <v>19448.9686</v>
      </c>
      <c r="K51" s="61"/>
    </row>
    <row r="52" spans="1:11" ht="11.25">
      <c r="A52" s="12" t="s">
        <v>61</v>
      </c>
      <c r="B52" s="21">
        <f t="shared" si="4"/>
        <v>1771.9</v>
      </c>
      <c r="C52" s="21">
        <f t="shared" si="3"/>
        <v>2867.4558</v>
      </c>
      <c r="D52" s="21">
        <f t="shared" si="3"/>
        <v>8799.324999999999</v>
      </c>
      <c r="E52" s="21">
        <f t="shared" si="3"/>
        <v>1661.0094</v>
      </c>
      <c r="F52" s="21">
        <f t="shared" si="3"/>
        <v>310.7022</v>
      </c>
      <c r="G52" s="21">
        <f t="shared" si="3"/>
        <v>2591.3520000000003</v>
      </c>
      <c r="H52" s="21">
        <f t="shared" si="3"/>
        <v>1632.498</v>
      </c>
      <c r="I52" s="21">
        <f t="shared" si="5"/>
        <v>-1631.1</v>
      </c>
      <c r="J52" s="21">
        <f t="shared" si="6"/>
        <v>18003.142399999997</v>
      </c>
      <c r="K52" s="61"/>
    </row>
    <row r="53" spans="1:11" ht="11.25">
      <c r="A53" s="4" t="s">
        <v>19</v>
      </c>
      <c r="B53" s="21">
        <f t="shared" si="4"/>
        <v>1892.1000000000001</v>
      </c>
      <c r="C53" s="21">
        <f t="shared" si="3"/>
        <v>2470.9129999999996</v>
      </c>
      <c r="D53" s="21">
        <f t="shared" si="3"/>
        <v>9174.05</v>
      </c>
      <c r="E53" s="21">
        <f t="shared" si="3"/>
        <v>1383.3120000000001</v>
      </c>
      <c r="F53" s="21">
        <f t="shared" si="3"/>
        <v>253.6118</v>
      </c>
      <c r="G53" s="21">
        <f t="shared" si="3"/>
        <v>2433.8496</v>
      </c>
      <c r="H53" s="21">
        <f t="shared" si="3"/>
        <v>1551.0734</v>
      </c>
      <c r="I53" s="21">
        <f t="shared" si="5"/>
        <v>-1332.0649999999998</v>
      </c>
      <c r="J53" s="21">
        <f t="shared" si="6"/>
        <v>17826.844800000003</v>
      </c>
      <c r="K53" s="2"/>
    </row>
    <row r="54" spans="1:11" ht="11.25">
      <c r="A54" s="15" t="s">
        <v>42</v>
      </c>
      <c r="B54" s="21">
        <f t="shared" si="4"/>
        <v>1991.9892000000002</v>
      </c>
      <c r="C54" s="21">
        <f t="shared" si="3"/>
        <v>2824.8315000000002</v>
      </c>
      <c r="D54" s="21">
        <f t="shared" si="3"/>
        <v>11600.5065</v>
      </c>
      <c r="E54" s="21">
        <f t="shared" si="3"/>
        <v>1537.825</v>
      </c>
      <c r="F54" s="21">
        <f t="shared" si="3"/>
        <v>472.3364</v>
      </c>
      <c r="G54" s="21">
        <f t="shared" si="3"/>
        <v>2950.6911999999998</v>
      </c>
      <c r="H54" s="21">
        <f t="shared" si="3"/>
        <v>1721.25</v>
      </c>
      <c r="I54" s="21">
        <f t="shared" si="5"/>
        <v>-1533.7252</v>
      </c>
      <c r="J54" s="21">
        <f t="shared" si="6"/>
        <v>21565.7046</v>
      </c>
      <c r="K54" s="2"/>
    </row>
    <row r="55" spans="1:11" ht="11.25">
      <c r="A55" s="4" t="s">
        <v>32</v>
      </c>
      <c r="B55" s="21">
        <f t="shared" si="4"/>
        <v>1888</v>
      </c>
      <c r="C55" s="21">
        <f t="shared" si="3"/>
        <v>2635.9245</v>
      </c>
      <c r="D55" s="21">
        <f t="shared" si="3"/>
        <v>10002.6124</v>
      </c>
      <c r="E55" s="21">
        <f t="shared" si="3"/>
        <v>1774.9207</v>
      </c>
      <c r="F55" s="21">
        <f t="shared" si="3"/>
        <v>495.34419999999994</v>
      </c>
      <c r="G55" s="21">
        <f t="shared" si="3"/>
        <v>2813.9664000000002</v>
      </c>
      <c r="H55" s="21">
        <f t="shared" si="3"/>
        <v>1788.1863999999998</v>
      </c>
      <c r="I55" s="21">
        <f t="shared" si="5"/>
        <v>-1465.9612</v>
      </c>
      <c r="J55" s="21">
        <f t="shared" si="6"/>
        <v>19932.9934</v>
      </c>
      <c r="K55" s="2"/>
    </row>
    <row r="56" spans="1:11" ht="11.25">
      <c r="A56" s="4" t="s">
        <v>21</v>
      </c>
      <c r="B56" s="21">
        <f t="shared" si="4"/>
        <v>1530.78</v>
      </c>
      <c r="C56" s="21">
        <f t="shared" si="3"/>
        <v>2914.6375000000003</v>
      </c>
      <c r="D56" s="21">
        <f t="shared" si="3"/>
        <v>10451.831999999999</v>
      </c>
      <c r="E56" s="21">
        <f t="shared" si="3"/>
        <v>1845.025</v>
      </c>
      <c r="F56" s="21">
        <f t="shared" si="3"/>
        <v>503.9428</v>
      </c>
      <c r="G56" s="21">
        <f t="shared" si="3"/>
        <v>3211.1652</v>
      </c>
      <c r="H56" s="21">
        <f t="shared" si="3"/>
        <v>2053.3875</v>
      </c>
      <c r="I56" s="21">
        <f t="shared" si="5"/>
        <v>-1533.7252</v>
      </c>
      <c r="J56" s="21">
        <f t="shared" si="6"/>
        <v>20977.0448</v>
      </c>
      <c r="K56" s="2"/>
    </row>
    <row r="57" spans="1:11" ht="11.25">
      <c r="A57" s="4" t="s">
        <v>22</v>
      </c>
      <c r="B57" s="21">
        <f t="shared" si="4"/>
        <v>1671.8</v>
      </c>
      <c r="C57" s="21">
        <f t="shared" si="3"/>
        <v>2560.153</v>
      </c>
      <c r="D57" s="21">
        <f t="shared" si="3"/>
        <v>9077.3284</v>
      </c>
      <c r="E57" s="21">
        <f t="shared" si="3"/>
        <v>1755.39</v>
      </c>
      <c r="F57" s="21">
        <f t="shared" si="3"/>
        <v>457.4812</v>
      </c>
      <c r="G57" s="21">
        <f t="shared" si="3"/>
        <v>2878.7119999999995</v>
      </c>
      <c r="H57" s="21">
        <f t="shared" si="3"/>
        <v>2126.8873</v>
      </c>
      <c r="I57" s="21">
        <f t="shared" si="5"/>
        <v>-1598.101</v>
      </c>
      <c r="J57" s="21">
        <f t="shared" si="6"/>
        <v>18929.6509</v>
      </c>
      <c r="K57" s="2"/>
    </row>
    <row r="58" spans="1:11" ht="11.25">
      <c r="A58" s="4" t="s">
        <v>23</v>
      </c>
      <c r="B58" s="21">
        <f t="shared" si="4"/>
        <v>1804.31</v>
      </c>
      <c r="C58" s="21">
        <f aca="true" t="shared" si="7" ref="C58:H58">+C22*C42</f>
        <v>2759.725</v>
      </c>
      <c r="D58" s="21">
        <f t="shared" si="7"/>
        <v>10027.513600000002</v>
      </c>
      <c r="E58" s="21">
        <f t="shared" si="7"/>
        <v>1691.4456000000002</v>
      </c>
      <c r="F58" s="21">
        <f t="shared" si="7"/>
        <v>468.6814</v>
      </c>
      <c r="G58" s="21">
        <f t="shared" si="7"/>
        <v>3245.9994</v>
      </c>
      <c r="H58" s="21">
        <f t="shared" si="7"/>
        <v>2127.44</v>
      </c>
      <c r="I58" s="21">
        <f t="shared" si="5"/>
        <v>-1673.7708</v>
      </c>
      <c r="J58" s="21">
        <f t="shared" si="6"/>
        <v>20451.344200000003</v>
      </c>
      <c r="K58" s="2"/>
    </row>
    <row r="59" spans="1:11" ht="11.25">
      <c r="A59" s="4" t="s">
        <v>24</v>
      </c>
      <c r="B59" s="21">
        <f t="shared" si="4"/>
        <v>2282.28</v>
      </c>
      <c r="C59" s="21">
        <f aca="true" t="shared" si="8" ref="C59:H59">+C23*C43</f>
        <v>2848.6913</v>
      </c>
      <c r="D59" s="21">
        <f t="shared" si="8"/>
        <v>11463.189999999999</v>
      </c>
      <c r="E59" s="21">
        <f t="shared" si="8"/>
        <v>1812.9758</v>
      </c>
      <c r="F59" s="21">
        <f t="shared" si="8"/>
        <v>505.0505</v>
      </c>
      <c r="G59" s="21">
        <f t="shared" si="8"/>
        <v>3492.4238</v>
      </c>
      <c r="H59" s="21">
        <f t="shared" si="8"/>
        <v>1739.5559999999998</v>
      </c>
      <c r="I59" s="21">
        <f t="shared" si="5"/>
        <v>-1688.453</v>
      </c>
      <c r="J59" s="21">
        <f t="shared" si="6"/>
        <v>22455.7144</v>
      </c>
      <c r="K59" s="2"/>
    </row>
    <row r="60" spans="1:11" ht="11.25">
      <c r="A60" s="16" t="s">
        <v>30</v>
      </c>
      <c r="B60" s="22">
        <f>SUM(B47:B59)</f>
        <v>23340.0082</v>
      </c>
      <c r="C60" s="22">
        <f aca="true" t="shared" si="9" ref="C60:J60">SUM(C47:C59)</f>
        <v>35028.5901</v>
      </c>
      <c r="D60" s="22">
        <f t="shared" si="9"/>
        <v>119298.43505</v>
      </c>
      <c r="E60" s="22">
        <f t="shared" si="9"/>
        <v>20330.84830705</v>
      </c>
      <c r="F60" s="22">
        <f t="shared" si="9"/>
        <v>4793.2995</v>
      </c>
      <c r="G60" s="22">
        <f t="shared" si="9"/>
        <v>34509.92509</v>
      </c>
      <c r="H60" s="22">
        <f t="shared" si="9"/>
        <v>22192.985899999996</v>
      </c>
      <c r="I60" s="22">
        <f t="shared" si="9"/>
        <v>-19702.900040000004</v>
      </c>
      <c r="J60" s="22">
        <f t="shared" si="9"/>
        <v>239791.19210705</v>
      </c>
      <c r="K60" s="17"/>
    </row>
    <row r="61" spans="1:11" ht="11.25">
      <c r="A61" s="4"/>
      <c r="B61" s="21"/>
      <c r="C61" s="21"/>
      <c r="D61" s="21"/>
      <c r="E61" s="21"/>
      <c r="F61" s="21"/>
      <c r="G61" s="21"/>
      <c r="H61" s="21"/>
      <c r="I61" s="21"/>
      <c r="J61" s="21"/>
      <c r="K61" s="2"/>
    </row>
    <row r="62" spans="1:11" ht="11.25">
      <c r="A62" s="4" t="s">
        <v>72</v>
      </c>
      <c r="B62" s="21"/>
      <c r="C62" s="21"/>
      <c r="D62" s="21"/>
      <c r="E62" s="21"/>
      <c r="F62" s="21"/>
      <c r="G62" s="21"/>
      <c r="H62" s="21"/>
      <c r="I62" s="21"/>
      <c r="J62" s="21"/>
      <c r="K62" s="2"/>
    </row>
    <row r="63" spans="1:11" ht="11.25">
      <c r="A63" s="4"/>
      <c r="B63" s="21"/>
      <c r="C63" s="21"/>
      <c r="D63" s="21"/>
      <c r="E63" s="21"/>
      <c r="F63" s="21"/>
      <c r="G63" s="21"/>
      <c r="H63" s="21"/>
      <c r="I63" s="21"/>
      <c r="J63" s="21" t="s">
        <v>3</v>
      </c>
      <c r="K63" s="2"/>
    </row>
    <row r="64" spans="1:11" ht="11.25">
      <c r="A64" s="23"/>
      <c r="B64" s="24"/>
      <c r="C64" s="24"/>
      <c r="D64" s="24"/>
      <c r="E64" s="24"/>
      <c r="F64" s="24"/>
      <c r="G64" s="24"/>
      <c r="H64" s="24"/>
      <c r="I64" s="24"/>
      <c r="J64" s="24" t="s">
        <v>3</v>
      </c>
      <c r="K6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1">
      <selection activeCell="B35" sqref="B35"/>
    </sheetView>
  </sheetViews>
  <sheetFormatPr defaultColWidth="8.88671875" defaultRowHeight="15"/>
  <cols>
    <col min="1" max="1" width="3.5546875" style="3" customWidth="1"/>
    <col min="2" max="2" width="9.99609375" style="3" customWidth="1"/>
    <col min="3" max="3" width="0.9921875" style="3" customWidth="1"/>
    <col min="4" max="4" width="11.6640625" style="3" customWidth="1"/>
    <col min="5" max="8" width="8.88671875" style="3" customWidth="1"/>
    <col min="9" max="9" width="10.10546875" style="3" customWidth="1"/>
    <col min="10" max="16384" width="8.88671875" style="3" customWidth="1"/>
  </cols>
  <sheetData>
    <row r="1" spans="1:9" ht="11.2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1.2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1.2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1.2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1.25">
      <c r="A5" s="2"/>
      <c r="B5" s="52"/>
      <c r="C5" s="25"/>
      <c r="D5" s="25"/>
      <c r="E5" s="25"/>
      <c r="F5" s="25"/>
      <c r="G5" s="25"/>
      <c r="H5" s="25"/>
      <c r="I5" s="25"/>
    </row>
    <row r="6" spans="1:9" ht="11.25">
      <c r="A6" s="2"/>
      <c r="B6" s="53" t="s">
        <v>78</v>
      </c>
      <c r="C6" s="30"/>
      <c r="D6" s="30"/>
      <c r="E6" s="25"/>
      <c r="F6" s="25"/>
      <c r="G6" s="25"/>
      <c r="H6" s="25"/>
      <c r="I6" s="25"/>
    </row>
    <row r="7" spans="1:9" ht="11.25">
      <c r="A7" s="2"/>
      <c r="B7" s="52"/>
      <c r="C7" s="25"/>
      <c r="D7" s="25"/>
      <c r="E7" s="25"/>
      <c r="F7" s="25"/>
      <c r="G7" s="25"/>
      <c r="H7" s="25"/>
      <c r="I7" s="25"/>
    </row>
    <row r="8" spans="1:9" ht="11.2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11.25">
      <c r="A9" s="2"/>
      <c r="B9" s="54" t="s">
        <v>79</v>
      </c>
      <c r="C9" s="25"/>
      <c r="D9" s="25"/>
      <c r="E9" s="25"/>
      <c r="F9" s="25"/>
      <c r="G9" s="25"/>
      <c r="H9" s="25"/>
      <c r="I9" s="25"/>
    </row>
    <row r="10" spans="1:9" ht="11.2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1.2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</row>
    <row r="12" spans="1:9" ht="11.2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</row>
    <row r="13" spans="1:9" ht="11.25">
      <c r="A13" s="2"/>
      <c r="B13" s="57" t="s">
        <v>59</v>
      </c>
      <c r="C13" s="25"/>
      <c r="D13" s="33">
        <v>9656</v>
      </c>
      <c r="E13" s="33">
        <f>'2nd year actual'!J45</f>
        <v>18608.5479</v>
      </c>
      <c r="F13" s="34"/>
      <c r="G13" s="25"/>
      <c r="H13" s="44"/>
      <c r="I13" s="36"/>
    </row>
    <row r="14" spans="1:9" ht="11.25">
      <c r="A14" s="2"/>
      <c r="B14" s="58" t="s">
        <v>38</v>
      </c>
      <c r="C14" s="25"/>
      <c r="D14" s="33">
        <v>9602</v>
      </c>
      <c r="E14" s="33">
        <f>'2nd year actual'!J46</f>
        <v>20025.562700000002</v>
      </c>
      <c r="F14" s="34"/>
      <c r="G14" s="31"/>
      <c r="H14" s="44"/>
      <c r="I14" s="36"/>
    </row>
    <row r="15" spans="1:9" ht="11.25">
      <c r="A15" s="2"/>
      <c r="B15" s="56" t="s">
        <v>17</v>
      </c>
      <c r="C15" s="25"/>
      <c r="D15" s="33">
        <v>9178</v>
      </c>
      <c r="E15" s="33">
        <f>'2nd year actual'!J47</f>
        <v>18012.3028</v>
      </c>
      <c r="F15" s="34"/>
      <c r="G15" s="25"/>
      <c r="H15" s="44"/>
      <c r="I15" s="36"/>
    </row>
    <row r="16" spans="1:9" ht="11.25">
      <c r="A16" s="2"/>
      <c r="B16" s="56" t="s">
        <v>18</v>
      </c>
      <c r="C16" s="25"/>
      <c r="D16" s="33">
        <v>9315</v>
      </c>
      <c r="E16" s="33">
        <f>'2nd year actual'!J48</f>
        <v>30484.732099999997</v>
      </c>
      <c r="F16" s="34"/>
      <c r="G16" s="25"/>
      <c r="H16" s="44"/>
      <c r="I16" s="36"/>
    </row>
    <row r="17" spans="1:9" ht="11.25">
      <c r="A17" s="2"/>
      <c r="B17" s="57" t="s">
        <v>85</v>
      </c>
      <c r="C17" s="25"/>
      <c r="D17" s="33">
        <v>9000</v>
      </c>
      <c r="E17" s="33">
        <f>'2nd year actual'!J49</f>
        <v>23636.2779</v>
      </c>
      <c r="F17" s="34"/>
      <c r="G17" s="25"/>
      <c r="H17" s="44"/>
      <c r="I17" s="36"/>
    </row>
    <row r="18" spans="1:9" ht="11.25">
      <c r="A18" s="2"/>
      <c r="B18" s="56" t="s">
        <v>19</v>
      </c>
      <c r="C18" s="25"/>
      <c r="D18" s="33">
        <v>8418</v>
      </c>
      <c r="E18" s="33">
        <f>'2nd year actual'!J50</f>
        <v>18922.303</v>
      </c>
      <c r="F18" s="34"/>
      <c r="G18" s="25"/>
      <c r="H18" s="44"/>
      <c r="I18" s="36"/>
    </row>
    <row r="19" spans="1:9" ht="11.25">
      <c r="A19" s="2"/>
      <c r="B19" s="56" t="s">
        <v>20</v>
      </c>
      <c r="C19" s="25"/>
      <c r="D19" s="33">
        <v>9237</v>
      </c>
      <c r="E19" s="33">
        <f>'2nd year actual'!J51</f>
        <v>24681.4744</v>
      </c>
      <c r="F19" s="34"/>
      <c r="G19" s="25"/>
      <c r="H19" s="44"/>
      <c r="I19" s="36"/>
    </row>
    <row r="20" spans="1:9" ht="11.25">
      <c r="A20" s="2"/>
      <c r="B20" s="56" t="s">
        <v>32</v>
      </c>
      <c r="C20" s="25"/>
      <c r="D20" s="33">
        <v>9286</v>
      </c>
      <c r="E20" s="33">
        <f>'2nd year actual'!J52</f>
        <v>23069.71709999999</v>
      </c>
      <c r="F20" s="34"/>
      <c r="G20" s="25"/>
      <c r="H20" s="35"/>
      <c r="I20" s="60"/>
    </row>
    <row r="21" spans="1:9" ht="11.25">
      <c r="A21" s="2"/>
      <c r="B21" s="56" t="s">
        <v>21</v>
      </c>
      <c r="C21" s="25"/>
      <c r="D21" s="33">
        <v>9438</v>
      </c>
      <c r="E21" s="33">
        <f>'2nd year actual'!J53</f>
        <v>23544.9227</v>
      </c>
      <c r="F21" s="34"/>
      <c r="G21" s="25"/>
      <c r="H21" s="35"/>
      <c r="I21" s="60"/>
    </row>
    <row r="22" spans="1:9" ht="11.25">
      <c r="A22" s="2"/>
      <c r="B22" s="56" t="s">
        <v>22</v>
      </c>
      <c r="C22" s="25"/>
      <c r="D22" s="33">
        <v>9464</v>
      </c>
      <c r="E22" s="33">
        <f>'2nd year actual'!J54</f>
        <v>25907.8205</v>
      </c>
      <c r="F22" s="34"/>
      <c r="G22" s="25"/>
      <c r="H22" s="35"/>
      <c r="I22" s="60"/>
    </row>
    <row r="23" spans="1:9" ht="11.25">
      <c r="A23" s="2"/>
      <c r="B23" s="56" t="s">
        <v>23</v>
      </c>
      <c r="C23" s="25"/>
      <c r="D23" s="33">
        <v>9799</v>
      </c>
      <c r="E23" s="33">
        <f>'2nd year actual'!J55</f>
        <v>26927.269300000004</v>
      </c>
      <c r="F23" s="34"/>
      <c r="G23" s="36"/>
      <c r="H23" s="36"/>
      <c r="I23" s="60"/>
    </row>
    <row r="24" spans="1:9" ht="11.25">
      <c r="A24" s="2"/>
      <c r="B24" s="56" t="s">
        <v>24</v>
      </c>
      <c r="C24" s="25"/>
      <c r="D24" s="33">
        <v>9798</v>
      </c>
      <c r="E24" s="33">
        <f>'2nd year actual'!J56</f>
        <v>29212.760099999996</v>
      </c>
      <c r="F24" s="34"/>
      <c r="G24" s="36"/>
      <c r="H24" s="36"/>
      <c r="I24" s="60"/>
    </row>
    <row r="25" spans="1:9" ht="11.25">
      <c r="A25" s="2"/>
      <c r="B25" s="56" t="s">
        <v>33</v>
      </c>
      <c r="C25" s="25"/>
      <c r="D25" s="33">
        <f>SUM(D13:D24)</f>
        <v>112191</v>
      </c>
      <c r="E25" s="33">
        <f>SUM(E13:E24)</f>
        <v>283033.69049999997</v>
      </c>
      <c r="F25" s="25"/>
      <c r="G25" s="36"/>
      <c r="H25" s="36"/>
      <c r="I25" s="60"/>
    </row>
    <row r="26" spans="1:9" ht="11.25">
      <c r="A26" s="2"/>
      <c r="B26" s="52"/>
      <c r="C26" s="25"/>
      <c r="D26" s="31"/>
      <c r="E26" s="25"/>
      <c r="F26" s="25"/>
      <c r="G26" s="38"/>
      <c r="H26" s="32"/>
      <c r="I26" s="25"/>
    </row>
    <row r="27" spans="1:9" ht="11.25">
      <c r="A27" s="2"/>
      <c r="B27" s="56" t="s">
        <v>80</v>
      </c>
      <c r="C27" s="25"/>
      <c r="D27" s="25"/>
      <c r="E27" s="25"/>
      <c r="F27" s="39"/>
      <c r="G27" s="25"/>
      <c r="H27" s="37"/>
      <c r="I27" s="60"/>
    </row>
    <row r="28" spans="1:9" ht="11.2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1.25">
      <c r="A29" s="2"/>
      <c r="B29" s="56" t="s">
        <v>34</v>
      </c>
      <c r="C29" s="25"/>
      <c r="D29" s="25"/>
      <c r="E29" s="26" t="s">
        <v>81</v>
      </c>
      <c r="F29" s="41">
        <v>1.15</v>
      </c>
      <c r="G29" s="25"/>
      <c r="H29" s="25"/>
      <c r="I29" s="25"/>
    </row>
    <row r="30" spans="1:9" ht="11.25">
      <c r="A30" s="2"/>
      <c r="B30" s="56" t="s">
        <v>34</v>
      </c>
      <c r="C30" s="25"/>
      <c r="D30" s="25"/>
      <c r="E30" s="26" t="s">
        <v>82</v>
      </c>
      <c r="F30" s="41">
        <v>1.45</v>
      </c>
      <c r="G30" s="25"/>
      <c r="H30" s="25"/>
      <c r="I30" s="25"/>
    </row>
    <row r="31" spans="1:9" ht="11.2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11.25">
      <c r="A32" s="2"/>
      <c r="B32" s="56" t="s">
        <v>83</v>
      </c>
      <c r="C32" s="25"/>
      <c r="D32" s="25"/>
      <c r="E32" s="25"/>
      <c r="F32" s="25"/>
      <c r="G32" s="43"/>
      <c r="H32" s="48">
        <f>(D13+D14)*F29+SUM(D15:D24)*F30</f>
        <v>156899.55</v>
      </c>
      <c r="I32" s="25"/>
    </row>
    <row r="33" spans="1:9" ht="11.2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1.25">
      <c r="A34" s="2"/>
      <c r="B34" s="56" t="s">
        <v>25</v>
      </c>
      <c r="C34" s="25"/>
      <c r="D34" s="25"/>
      <c r="E34" s="25"/>
      <c r="F34" s="25"/>
      <c r="G34" s="43">
        <f>E25</f>
        <v>283033.69049999997</v>
      </c>
      <c r="H34" s="25"/>
      <c r="I34" s="25"/>
    </row>
    <row r="35" spans="1:9" ht="11.25">
      <c r="A35" s="2"/>
      <c r="B35" s="56" t="s">
        <v>92</v>
      </c>
      <c r="C35" s="25"/>
      <c r="D35" s="25"/>
      <c r="E35" s="25"/>
      <c r="F35" s="25"/>
      <c r="G35" s="43">
        <f>G34*0.2</f>
        <v>56606.738099999995</v>
      </c>
      <c r="H35" s="25"/>
      <c r="I35" s="25"/>
    </row>
    <row r="36" spans="1:9" ht="11.25">
      <c r="A36" s="2"/>
      <c r="B36" s="56" t="s">
        <v>47</v>
      </c>
      <c r="C36" s="25"/>
      <c r="D36" s="25"/>
      <c r="E36" s="25"/>
      <c r="F36" s="25"/>
      <c r="G36" s="43"/>
      <c r="H36" s="43">
        <f>G34-G35</f>
        <v>226426.95239999998</v>
      </c>
      <c r="I36" s="25"/>
    </row>
    <row r="37" spans="1:9" ht="11.25">
      <c r="A37" s="2"/>
      <c r="B37" s="52"/>
      <c r="C37" s="25"/>
      <c r="D37" s="25"/>
      <c r="E37" s="25"/>
      <c r="F37" s="25"/>
      <c r="G37" s="25"/>
      <c r="H37" s="25"/>
      <c r="I37" s="25"/>
    </row>
    <row r="38" spans="1:9" ht="11.25">
      <c r="A38" s="2"/>
      <c r="B38" s="56" t="s">
        <v>48</v>
      </c>
      <c r="C38" s="25"/>
      <c r="D38" s="25"/>
      <c r="E38" s="25"/>
      <c r="F38" s="25"/>
      <c r="G38" s="45"/>
      <c r="H38" s="43">
        <f>H36-H32</f>
        <v>69527.40239999999</v>
      </c>
      <c r="I38" s="26"/>
    </row>
    <row r="39" spans="1:9" ht="11.25">
      <c r="A39" s="2"/>
      <c r="B39" s="52"/>
      <c r="C39" s="25"/>
      <c r="D39" s="25"/>
      <c r="E39" s="25"/>
      <c r="F39" s="25"/>
      <c r="G39" s="25"/>
      <c r="H39" s="45"/>
      <c r="I39" s="25"/>
    </row>
    <row r="40" spans="1:9" ht="11.25">
      <c r="A40" s="2"/>
      <c r="B40" s="56" t="s">
        <v>35</v>
      </c>
      <c r="C40" s="26"/>
      <c r="D40" s="26"/>
      <c r="E40" s="26"/>
      <c r="F40" s="25"/>
      <c r="G40" s="25"/>
      <c r="H40" s="37"/>
      <c r="I40" s="25"/>
    </row>
    <row r="41" spans="1:9" ht="11.25">
      <c r="A41" s="2"/>
      <c r="B41" s="56"/>
      <c r="C41" s="26"/>
      <c r="D41" s="26"/>
      <c r="E41" s="26"/>
      <c r="F41" s="25"/>
      <c r="G41" s="25"/>
      <c r="H41" s="25"/>
      <c r="I41" s="25"/>
    </row>
    <row r="42" spans="1:9" ht="11.25">
      <c r="A42" s="2"/>
      <c r="B42" s="56" t="s">
        <v>36</v>
      </c>
      <c r="C42" s="26"/>
      <c r="D42" s="26"/>
      <c r="E42" s="26"/>
      <c r="F42" s="25"/>
      <c r="G42" s="43">
        <f>H38</f>
        <v>69527.40239999999</v>
      </c>
      <c r="H42" s="45"/>
      <c r="I42" s="37"/>
    </row>
    <row r="43" spans="1:9" ht="11.25">
      <c r="A43" s="2"/>
      <c r="B43" s="56" t="s">
        <v>55</v>
      </c>
      <c r="C43" s="26"/>
      <c r="D43" s="26"/>
      <c r="E43" s="26"/>
      <c r="F43" s="25"/>
      <c r="G43" s="33">
        <f>SUM(D13:D24)</f>
        <v>112191</v>
      </c>
      <c r="H43" s="31"/>
      <c r="I43" s="31"/>
    </row>
    <row r="44" spans="1:9" ht="11.25">
      <c r="A44" s="2"/>
      <c r="B44" s="56" t="s">
        <v>37</v>
      </c>
      <c r="C44" s="26"/>
      <c r="D44" s="26"/>
      <c r="E44" s="26"/>
      <c r="F44" s="25"/>
      <c r="G44" s="46">
        <f>G42/G43</f>
        <v>0.6197235286252907</v>
      </c>
      <c r="H44" s="46"/>
      <c r="I44" s="37"/>
    </row>
    <row r="45" spans="1:9" ht="11.25">
      <c r="A45" s="2"/>
      <c r="B45" s="56"/>
      <c r="C45" s="26"/>
      <c r="D45" s="26"/>
      <c r="E45" s="26"/>
      <c r="F45" s="25"/>
      <c r="G45" s="25"/>
      <c r="H45" s="25"/>
      <c r="I45" s="25"/>
    </row>
    <row r="46" spans="1:9" ht="11.25">
      <c r="A46" s="2"/>
      <c r="B46" s="56"/>
      <c r="C46" s="26"/>
      <c r="D46" s="26"/>
      <c r="E46" s="26"/>
      <c r="F46" s="25"/>
      <c r="G46" s="25"/>
      <c r="H46" s="25"/>
      <c r="I46" s="27" t="s">
        <v>53</v>
      </c>
    </row>
    <row r="47" spans="1:9" ht="11.2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40" t="s">
        <v>54</v>
      </c>
    </row>
    <row r="48" spans="1:9" ht="11.25">
      <c r="A48" s="2"/>
      <c r="B48" s="56" t="s">
        <v>56</v>
      </c>
      <c r="C48" s="26"/>
      <c r="D48" s="26"/>
      <c r="E48" s="26"/>
      <c r="F48" s="48"/>
      <c r="G48" s="49"/>
      <c r="H48" s="48">
        <f>SUM(E13:E24)</f>
        <v>283033.69049999997</v>
      </c>
      <c r="I48" s="48">
        <f>H48*0.7</f>
        <v>198123.58334999997</v>
      </c>
    </row>
    <row r="49" spans="1:9" ht="11.25">
      <c r="A49" s="2"/>
      <c r="B49" s="56" t="s">
        <v>57</v>
      </c>
      <c r="C49" s="26"/>
      <c r="D49" s="26"/>
      <c r="E49" s="26"/>
      <c r="F49" s="44"/>
      <c r="G49" s="44"/>
      <c r="H49" s="44">
        <f>SUM(D13:D24)</f>
        <v>112191</v>
      </c>
      <c r="I49" s="44">
        <f>H49</f>
        <v>112191</v>
      </c>
    </row>
    <row r="50" spans="1:9" ht="11.25">
      <c r="A50" s="2"/>
      <c r="B50" s="52"/>
      <c r="C50" s="25"/>
      <c r="D50" s="25"/>
      <c r="E50" s="25"/>
      <c r="F50" s="26"/>
      <c r="G50" s="26"/>
      <c r="H50" s="26"/>
      <c r="I50" s="50"/>
    </row>
    <row r="51" spans="1:9" ht="11.2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2.5227842741396365</v>
      </c>
      <c r="I51" s="50">
        <f>I48/I49</f>
        <v>1.7659489918977456</v>
      </c>
    </row>
    <row r="52" spans="1:9" ht="11.25">
      <c r="A52" s="2"/>
      <c r="B52" s="52"/>
      <c r="C52" s="25"/>
      <c r="D52" s="25"/>
      <c r="E52" s="26" t="s">
        <v>51</v>
      </c>
      <c r="F52" s="26"/>
      <c r="G52" s="26"/>
      <c r="H52" s="50">
        <f>G44</f>
        <v>0.6197235286252907</v>
      </c>
      <c r="I52" s="50">
        <f>G44</f>
        <v>0.6197235286252907</v>
      </c>
    </row>
    <row r="53" spans="1:10" ht="11.2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3.142507802764927</v>
      </c>
      <c r="I53" s="51">
        <f>SUM(I51:I52)</f>
        <v>2.3856725205230362</v>
      </c>
      <c r="J53" s="3" t="s">
        <v>94</v>
      </c>
    </row>
    <row r="54" spans="1:10" ht="11.25">
      <c r="A54" s="2"/>
      <c r="B54" s="52"/>
      <c r="C54" s="25"/>
      <c r="D54" s="25"/>
      <c r="E54" s="25"/>
      <c r="F54" s="26"/>
      <c r="G54" s="26"/>
      <c r="H54" s="26"/>
      <c r="I54" s="50"/>
      <c r="J54" s="3" t="s">
        <v>93</v>
      </c>
    </row>
    <row r="57" ht="11.25">
      <c r="H57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7" sqref="A27:A28"/>
    </sheetView>
  </sheetViews>
  <sheetFormatPr defaultColWidth="8.88671875" defaultRowHeight="15"/>
  <cols>
    <col min="1" max="1" width="10.5546875" style="3" customWidth="1"/>
    <col min="2" max="16384" width="8.88671875" style="3" customWidth="1"/>
  </cols>
  <sheetData>
    <row r="1" spans="1:10" ht="11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1.2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1.2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1.25">
      <c r="A5" s="16" t="s">
        <v>63</v>
      </c>
      <c r="B5" s="4"/>
      <c r="C5" s="4"/>
      <c r="D5" s="5"/>
      <c r="E5" s="5" t="s">
        <v>75</v>
      </c>
      <c r="F5" s="4"/>
      <c r="G5" s="4"/>
      <c r="H5" s="4"/>
      <c r="I5" s="4"/>
      <c r="J5" s="4"/>
    </row>
    <row r="6" spans="1:10" ht="11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1.25">
      <c r="A8" s="4"/>
      <c r="B8" s="4"/>
      <c r="C8" s="4"/>
      <c r="D8" s="4"/>
      <c r="E8" s="4"/>
      <c r="F8" s="4"/>
      <c r="G8" s="4" t="s">
        <v>3</v>
      </c>
      <c r="H8" s="5" t="s">
        <v>43</v>
      </c>
      <c r="I8" s="5" t="s">
        <v>3</v>
      </c>
      <c r="J8" s="4"/>
    </row>
    <row r="9" spans="1:10" ht="11.25">
      <c r="A9" s="4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44</v>
      </c>
      <c r="I9" s="5" t="s">
        <v>45</v>
      </c>
      <c r="J9" s="5" t="s">
        <v>28</v>
      </c>
    </row>
    <row r="10" spans="1:10" ht="11.2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2" ht="11.25">
      <c r="A11" s="10" t="s">
        <v>84</v>
      </c>
      <c r="B11" s="62">
        <v>26.95</v>
      </c>
      <c r="C11" s="62">
        <v>29.53</v>
      </c>
      <c r="D11" s="62">
        <v>75.99</v>
      </c>
      <c r="E11" s="62">
        <v>1.36</v>
      </c>
      <c r="F11" s="62">
        <v>3.63</v>
      </c>
      <c r="G11" s="62">
        <v>7.12</v>
      </c>
      <c r="H11" s="62">
        <v>4.64</v>
      </c>
      <c r="I11" s="62">
        <v>14.83</v>
      </c>
      <c r="J11" s="63">
        <f aca="true" t="shared" si="0" ref="J11:J22">SUM(B11:I11)</f>
        <v>164.05</v>
      </c>
      <c r="K11" s="68"/>
      <c r="L11" s="68"/>
    </row>
    <row r="12" spans="1:11" ht="11.25">
      <c r="A12" s="1" t="s">
        <v>26</v>
      </c>
      <c r="B12" s="62">
        <v>25.82</v>
      </c>
      <c r="C12" s="62">
        <v>28.29</v>
      </c>
      <c r="D12" s="62">
        <v>72.8</v>
      </c>
      <c r="E12" s="62">
        <v>1.3</v>
      </c>
      <c r="F12" s="62">
        <v>3.47</v>
      </c>
      <c r="G12" s="62">
        <v>6.82</v>
      </c>
      <c r="H12" s="62">
        <v>4.45</v>
      </c>
      <c r="I12" s="62">
        <v>14.21</v>
      </c>
      <c r="J12" s="63">
        <f t="shared" si="0"/>
        <v>157.16</v>
      </c>
      <c r="K12" s="68"/>
    </row>
    <row r="13" spans="1:11" ht="11.25">
      <c r="A13" s="1" t="s">
        <v>17</v>
      </c>
      <c r="B13" s="62">
        <v>21.83</v>
      </c>
      <c r="C13" s="62">
        <v>23.92</v>
      </c>
      <c r="D13" s="62">
        <v>61.55</v>
      </c>
      <c r="E13" s="62">
        <v>1.1</v>
      </c>
      <c r="F13" s="62">
        <v>2.94</v>
      </c>
      <c r="G13" s="62">
        <v>5.77</v>
      </c>
      <c r="H13" s="62">
        <v>3.76</v>
      </c>
      <c r="I13" s="62">
        <v>12.01</v>
      </c>
      <c r="J13" s="63">
        <f t="shared" si="0"/>
        <v>132.88</v>
      </c>
      <c r="K13" s="68"/>
    </row>
    <row r="14" spans="1:11" ht="11.25">
      <c r="A14" s="1" t="s">
        <v>18</v>
      </c>
      <c r="B14" s="62">
        <v>34.05</v>
      </c>
      <c r="C14" s="62">
        <v>37.3</v>
      </c>
      <c r="D14" s="62">
        <v>95.98</v>
      </c>
      <c r="E14" s="62">
        <v>1.72</v>
      </c>
      <c r="F14" s="62">
        <v>4.58</v>
      </c>
      <c r="G14" s="62">
        <v>8.99</v>
      </c>
      <c r="H14" s="62">
        <v>5.86</v>
      </c>
      <c r="I14" s="62">
        <v>18.73</v>
      </c>
      <c r="J14" s="63">
        <f t="shared" si="0"/>
        <v>207.21</v>
      </c>
      <c r="K14" s="68"/>
    </row>
    <row r="15" spans="1:11" ht="11.25">
      <c r="A15" s="12" t="s">
        <v>76</v>
      </c>
      <c r="B15" s="21">
        <v>26.98</v>
      </c>
      <c r="C15" s="21">
        <v>29.55</v>
      </c>
      <c r="D15" s="21">
        <v>76.05</v>
      </c>
      <c r="E15" s="21">
        <v>1.36</v>
      </c>
      <c r="F15" s="21">
        <v>3.63</v>
      </c>
      <c r="G15" s="21">
        <v>7.13</v>
      </c>
      <c r="H15" s="21">
        <v>4.65</v>
      </c>
      <c r="I15" s="21">
        <v>14.84</v>
      </c>
      <c r="J15" s="64">
        <f t="shared" si="0"/>
        <v>164.19</v>
      </c>
      <c r="K15" s="68"/>
    </row>
    <row r="16" spans="1:11" ht="11.25">
      <c r="A16" s="4" t="s">
        <v>19</v>
      </c>
      <c r="B16" s="21">
        <v>20.94</v>
      </c>
      <c r="C16" s="21">
        <v>22.94</v>
      </c>
      <c r="D16" s="21">
        <v>59.04</v>
      </c>
      <c r="E16" s="21">
        <v>1.06</v>
      </c>
      <c r="F16" s="21">
        <v>2.82</v>
      </c>
      <c r="G16" s="21">
        <v>5.53</v>
      </c>
      <c r="H16" s="21">
        <v>3.61</v>
      </c>
      <c r="I16" s="21">
        <v>11.52</v>
      </c>
      <c r="J16" s="64">
        <f t="shared" si="0"/>
        <v>127.46</v>
      </c>
      <c r="K16" s="68"/>
    </row>
    <row r="17" spans="1:10" ht="11.25">
      <c r="A17" s="15" t="s">
        <v>42</v>
      </c>
      <c r="B17" s="21">
        <v>26.68</v>
      </c>
      <c r="C17" s="21">
        <v>29.23</v>
      </c>
      <c r="D17" s="21">
        <v>75.21</v>
      </c>
      <c r="E17" s="21">
        <v>1.35</v>
      </c>
      <c r="F17" s="21">
        <v>3.59</v>
      </c>
      <c r="G17" s="21">
        <v>7.05</v>
      </c>
      <c r="H17" s="21">
        <v>4.6</v>
      </c>
      <c r="I17" s="21">
        <v>14.68</v>
      </c>
      <c r="J17" s="64">
        <f t="shared" si="0"/>
        <v>162.39000000000001</v>
      </c>
    </row>
    <row r="18" spans="1:11" ht="11.25">
      <c r="A18" s="4" t="s">
        <v>32</v>
      </c>
      <c r="B18" s="62">
        <v>24.74</v>
      </c>
      <c r="C18" s="21">
        <v>27.1</v>
      </c>
      <c r="D18" s="21">
        <v>69.74</v>
      </c>
      <c r="E18" s="21">
        <v>1.25</v>
      </c>
      <c r="F18" s="21">
        <v>3.33</v>
      </c>
      <c r="G18" s="21">
        <v>6.53</v>
      </c>
      <c r="H18" s="21">
        <v>4.26</v>
      </c>
      <c r="I18" s="21">
        <v>13.61</v>
      </c>
      <c r="J18" s="64">
        <f t="shared" si="0"/>
        <v>150.56</v>
      </c>
      <c r="K18" s="68"/>
    </row>
    <row r="19" spans="1:10" ht="11.25">
      <c r="A19" s="4" t="s">
        <v>21</v>
      </c>
      <c r="B19" s="21">
        <v>25.13</v>
      </c>
      <c r="C19" s="21">
        <v>27.53</v>
      </c>
      <c r="D19" s="21">
        <v>70.85</v>
      </c>
      <c r="E19" s="21">
        <v>1.27</v>
      </c>
      <c r="F19" s="21">
        <v>3.38</v>
      </c>
      <c r="G19" s="21">
        <v>6.64</v>
      </c>
      <c r="H19" s="21">
        <v>4.33</v>
      </c>
      <c r="I19" s="21">
        <v>13.83</v>
      </c>
      <c r="J19" s="64">
        <f t="shared" si="0"/>
        <v>152.96</v>
      </c>
    </row>
    <row r="20" spans="1:10" ht="11.25">
      <c r="A20" s="4" t="s">
        <v>22</v>
      </c>
      <c r="B20" s="21">
        <v>26.42</v>
      </c>
      <c r="C20" s="21">
        <v>28.94</v>
      </c>
      <c r="D20" s="21">
        <v>74.47</v>
      </c>
      <c r="E20" s="21">
        <v>1.33</v>
      </c>
      <c r="F20" s="21">
        <v>3.55</v>
      </c>
      <c r="G20" s="21">
        <v>6.98</v>
      </c>
      <c r="H20" s="21">
        <v>4.55</v>
      </c>
      <c r="I20" s="21">
        <v>14.53</v>
      </c>
      <c r="J20" s="64">
        <f t="shared" si="0"/>
        <v>160.77</v>
      </c>
    </row>
    <row r="21" spans="1:10" ht="11.25">
      <c r="A21" s="4" t="s">
        <v>23</v>
      </c>
      <c r="B21" s="21">
        <v>26.9</v>
      </c>
      <c r="C21" s="21">
        <v>29.47</v>
      </c>
      <c r="D21" s="21">
        <v>75.83</v>
      </c>
      <c r="E21" s="21">
        <v>1.36</v>
      </c>
      <c r="F21" s="21">
        <v>3.62</v>
      </c>
      <c r="G21" s="21">
        <v>7.11</v>
      </c>
      <c r="H21" s="21">
        <v>4.63</v>
      </c>
      <c r="I21" s="21">
        <v>14.8</v>
      </c>
      <c r="J21" s="64">
        <f t="shared" si="0"/>
        <v>163.72000000000003</v>
      </c>
    </row>
    <row r="22" spans="1:10" ht="11.25">
      <c r="A22" s="1" t="s">
        <v>24</v>
      </c>
      <c r="B22" s="62">
        <v>29.61</v>
      </c>
      <c r="C22" s="62">
        <v>32.44</v>
      </c>
      <c r="D22" s="62">
        <v>83.49</v>
      </c>
      <c r="E22" s="62">
        <v>1.5</v>
      </c>
      <c r="F22" s="62">
        <v>3.98</v>
      </c>
      <c r="G22" s="62">
        <v>7.82</v>
      </c>
      <c r="H22" s="62">
        <v>5.1</v>
      </c>
      <c r="I22" s="62">
        <v>16.29</v>
      </c>
      <c r="J22" s="63">
        <f t="shared" si="0"/>
        <v>180.22999999999996</v>
      </c>
    </row>
    <row r="23" spans="1:10" ht="11.25">
      <c r="A23" s="16" t="s">
        <v>11</v>
      </c>
      <c r="B23" s="22">
        <f aca="true" t="shared" si="1" ref="B23:J23">SUM(B11:B22)</f>
        <v>316.05</v>
      </c>
      <c r="C23" s="22">
        <f t="shared" si="1"/>
        <v>346.23999999999995</v>
      </c>
      <c r="D23" s="22">
        <f t="shared" si="1"/>
        <v>891.0000000000001</v>
      </c>
      <c r="E23" s="22">
        <f t="shared" si="1"/>
        <v>15.959999999999999</v>
      </c>
      <c r="F23" s="22">
        <f t="shared" si="1"/>
        <v>42.519999999999996</v>
      </c>
      <c r="G23" s="22">
        <f t="shared" si="1"/>
        <v>83.49000000000001</v>
      </c>
      <c r="H23" s="22">
        <f t="shared" si="1"/>
        <v>54.44</v>
      </c>
      <c r="I23" s="22">
        <f t="shared" si="1"/>
        <v>173.88</v>
      </c>
      <c r="J23" s="65">
        <f t="shared" si="1"/>
        <v>1923.5800000000002</v>
      </c>
    </row>
    <row r="24" spans="1:10" ht="11.25">
      <c r="A24" s="4"/>
      <c r="B24" s="13"/>
      <c r="C24" s="13"/>
      <c r="D24" s="13"/>
      <c r="E24" s="13"/>
      <c r="F24" s="13"/>
      <c r="G24" s="13"/>
      <c r="H24" s="13"/>
      <c r="I24" s="13"/>
      <c r="J24" s="5"/>
    </row>
    <row r="25" spans="1:10" ht="11.25">
      <c r="A25" s="4" t="s">
        <v>39</v>
      </c>
      <c r="B25" s="18">
        <f>B23/$J$23</f>
        <v>0.16430301833040475</v>
      </c>
      <c r="C25" s="18">
        <f aca="true" t="shared" si="2" ref="C25:I25">C23/$J$23</f>
        <v>0.17999771259838424</v>
      </c>
      <c r="D25" s="18">
        <f t="shared" si="2"/>
        <v>0.46319882718680794</v>
      </c>
      <c r="E25" s="18">
        <f t="shared" si="2"/>
        <v>0.008297029497083561</v>
      </c>
      <c r="F25" s="18">
        <f t="shared" si="2"/>
        <v>0.022104617432079764</v>
      </c>
      <c r="G25" s="18">
        <f t="shared" si="2"/>
        <v>0.04340344565861571</v>
      </c>
      <c r="H25" s="18">
        <f t="shared" si="2"/>
        <v>0.028301396354713602</v>
      </c>
      <c r="I25" s="18">
        <f t="shared" si="2"/>
        <v>0.09039395294191038</v>
      </c>
      <c r="J25" s="14"/>
    </row>
    <row r="26" spans="1:10" ht="11.2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1.2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5"/>
    </row>
    <row r="28" spans="1:10" ht="11.25">
      <c r="A28" s="16" t="s">
        <v>86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1.25">
      <c r="A29" s="4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1.25">
      <c r="A30" s="15" t="s">
        <v>77</v>
      </c>
      <c r="B30" s="20">
        <v>80</v>
      </c>
      <c r="C30" s="20">
        <v>89.92</v>
      </c>
      <c r="D30" s="20">
        <v>127.87</v>
      </c>
      <c r="E30" s="20">
        <v>1147.82</v>
      </c>
      <c r="F30" s="20">
        <v>125</v>
      </c>
      <c r="G30" s="20">
        <v>339.99</v>
      </c>
      <c r="H30" s="20">
        <v>284.43</v>
      </c>
      <c r="I30" s="19">
        <v>112.94</v>
      </c>
      <c r="J30" s="19"/>
    </row>
    <row r="31" spans="1:10" ht="11.25">
      <c r="A31" s="4" t="s">
        <v>26</v>
      </c>
      <c r="B31" s="20">
        <v>100.8</v>
      </c>
      <c r="C31" s="20">
        <v>99.4</v>
      </c>
      <c r="D31" s="20">
        <v>141.27</v>
      </c>
      <c r="E31" s="20">
        <v>1100.66</v>
      </c>
      <c r="F31" s="20">
        <v>112.61</v>
      </c>
      <c r="G31" s="20">
        <v>407.72</v>
      </c>
      <c r="H31" s="20">
        <v>298.66</v>
      </c>
      <c r="I31" s="19">
        <v>112.94</v>
      </c>
      <c r="J31" s="19"/>
    </row>
    <row r="32" spans="1:10" ht="11.25">
      <c r="A32" s="4" t="s">
        <v>17</v>
      </c>
      <c r="B32" s="20">
        <v>108</v>
      </c>
      <c r="C32" s="20">
        <v>104.97</v>
      </c>
      <c r="D32" s="20">
        <v>142.06</v>
      </c>
      <c r="E32" s="20">
        <v>1221.13</v>
      </c>
      <c r="F32" s="20">
        <v>114.28</v>
      </c>
      <c r="G32" s="20">
        <v>470.98</v>
      </c>
      <c r="H32" s="20">
        <v>361.6</v>
      </c>
      <c r="I32" s="19">
        <v>112.94</v>
      </c>
      <c r="J32" s="19"/>
    </row>
    <row r="33" spans="1:10" ht="11.25">
      <c r="A33" s="4" t="s">
        <v>18</v>
      </c>
      <c r="B33" s="20">
        <v>126.01</v>
      </c>
      <c r="C33" s="20">
        <v>112.1</v>
      </c>
      <c r="D33" s="20">
        <v>156.34</v>
      </c>
      <c r="E33" s="20">
        <v>1281.3</v>
      </c>
      <c r="F33" s="20">
        <v>144.64</v>
      </c>
      <c r="G33" s="20">
        <v>461.26</v>
      </c>
      <c r="H33" s="20">
        <v>360</v>
      </c>
      <c r="I33" s="19">
        <v>112.94</v>
      </c>
      <c r="J33" s="19"/>
    </row>
    <row r="34" spans="1:10" ht="11.25">
      <c r="A34" s="12" t="s">
        <v>76</v>
      </c>
      <c r="B34" s="20">
        <v>121.6</v>
      </c>
      <c r="C34" s="19">
        <v>113.27</v>
      </c>
      <c r="D34" s="19">
        <v>145.02</v>
      </c>
      <c r="E34" s="19">
        <v>1387.8</v>
      </c>
      <c r="F34" s="19">
        <v>171.43</v>
      </c>
      <c r="G34" s="19">
        <v>479.97</v>
      </c>
      <c r="H34" s="19">
        <v>370.7</v>
      </c>
      <c r="I34" s="19">
        <v>112.94</v>
      </c>
      <c r="J34" s="19"/>
    </row>
    <row r="35" spans="1:10" ht="11.25">
      <c r="A35" s="4" t="s">
        <v>19</v>
      </c>
      <c r="B35" s="19">
        <v>108</v>
      </c>
      <c r="C35" s="19">
        <v>118.01</v>
      </c>
      <c r="D35" s="19">
        <v>145.37</v>
      </c>
      <c r="E35" s="19">
        <v>1419.81</v>
      </c>
      <c r="F35" s="19">
        <v>176.44</v>
      </c>
      <c r="G35" s="19">
        <v>598.94</v>
      </c>
      <c r="H35" s="19">
        <v>376</v>
      </c>
      <c r="I35" s="19">
        <v>112.94</v>
      </c>
      <c r="J35" s="19"/>
    </row>
    <row r="36" spans="1:10" ht="11.25">
      <c r="A36" s="15" t="s">
        <v>42</v>
      </c>
      <c r="B36" s="19">
        <v>127.2</v>
      </c>
      <c r="C36" s="19">
        <v>125.02</v>
      </c>
      <c r="D36" s="19">
        <v>150.24</v>
      </c>
      <c r="E36" s="19">
        <v>1455.66</v>
      </c>
      <c r="F36" s="19">
        <v>182.14</v>
      </c>
      <c r="G36" s="19">
        <v>524.9</v>
      </c>
      <c r="H36" s="19">
        <v>396.57</v>
      </c>
      <c r="I36" s="20">
        <v>123.29</v>
      </c>
      <c r="J36" s="19"/>
    </row>
    <row r="37" spans="1:10" ht="11.25">
      <c r="A37" s="4" t="s">
        <v>32</v>
      </c>
      <c r="B37" s="19">
        <v>127.2</v>
      </c>
      <c r="C37" s="19">
        <v>124.72</v>
      </c>
      <c r="D37" s="19">
        <v>150.51</v>
      </c>
      <c r="E37" s="19">
        <v>1528.6</v>
      </c>
      <c r="F37" s="19">
        <v>178.16</v>
      </c>
      <c r="G37" s="19">
        <v>521.06</v>
      </c>
      <c r="H37" s="19">
        <v>426.7</v>
      </c>
      <c r="I37" s="19">
        <v>123.29</v>
      </c>
      <c r="J37" s="19"/>
    </row>
    <row r="38" spans="1:10" ht="11.25">
      <c r="A38" s="4" t="s">
        <v>21</v>
      </c>
      <c r="B38" s="19">
        <v>126.4</v>
      </c>
      <c r="C38" s="19">
        <v>123.74</v>
      </c>
      <c r="D38" s="19">
        <v>147.77</v>
      </c>
      <c r="E38" s="19">
        <v>1595.81</v>
      </c>
      <c r="F38" s="19">
        <v>160.71</v>
      </c>
      <c r="G38" s="19">
        <v>558.64</v>
      </c>
      <c r="H38" s="19">
        <v>443.02</v>
      </c>
      <c r="I38" s="19">
        <v>123.29</v>
      </c>
      <c r="J38" s="19"/>
    </row>
    <row r="39" spans="1:10" ht="11.25">
      <c r="A39" s="4" t="s">
        <v>22</v>
      </c>
      <c r="B39" s="19">
        <v>136</v>
      </c>
      <c r="C39" s="19">
        <v>132.03</v>
      </c>
      <c r="D39" s="19">
        <v>153.11</v>
      </c>
      <c r="E39" s="19">
        <v>1480.38</v>
      </c>
      <c r="F39" s="19">
        <v>185.71</v>
      </c>
      <c r="G39" s="19">
        <v>604.08</v>
      </c>
      <c r="H39" s="19">
        <v>448</v>
      </c>
      <c r="I39" s="19">
        <v>123.29</v>
      </c>
      <c r="J39" s="19"/>
    </row>
    <row r="40" spans="1:10" ht="11.25">
      <c r="A40" s="4" t="s">
        <v>23</v>
      </c>
      <c r="B40" s="19">
        <v>136</v>
      </c>
      <c r="C40" s="19">
        <v>139.81</v>
      </c>
      <c r="D40" s="19">
        <v>163.51</v>
      </c>
      <c r="E40" s="19">
        <v>1493.42</v>
      </c>
      <c r="F40" s="19">
        <v>185.71</v>
      </c>
      <c r="G40" s="19">
        <v>575.69</v>
      </c>
      <c r="H40" s="19">
        <v>384</v>
      </c>
      <c r="I40" s="19">
        <v>123.29</v>
      </c>
      <c r="J40" s="19"/>
    </row>
    <row r="41" spans="1:10" ht="11.25">
      <c r="A41" s="4" t="s">
        <v>24</v>
      </c>
      <c r="B41" s="19">
        <v>137.6</v>
      </c>
      <c r="C41" s="19">
        <v>140.43</v>
      </c>
      <c r="D41" s="19">
        <v>161.54</v>
      </c>
      <c r="E41" s="19">
        <v>1475.52</v>
      </c>
      <c r="F41" s="19">
        <v>192</v>
      </c>
      <c r="G41" s="19">
        <v>553.92</v>
      </c>
      <c r="H41" s="19">
        <v>352</v>
      </c>
      <c r="I41" s="19">
        <v>123.29</v>
      </c>
      <c r="J41" s="19"/>
    </row>
    <row r="42" spans="1:10" ht="11.2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1.25">
      <c r="A43" s="4" t="s">
        <v>12</v>
      </c>
      <c r="B43" s="19"/>
      <c r="C43" s="19"/>
      <c r="D43" s="19"/>
      <c r="E43" s="19"/>
      <c r="F43" s="19"/>
      <c r="G43" s="4" t="s">
        <v>3</v>
      </c>
      <c r="H43" s="5" t="s">
        <v>43</v>
      </c>
      <c r="I43" s="5" t="s">
        <v>3</v>
      </c>
      <c r="J43" s="19"/>
    </row>
    <row r="44" spans="1:10" ht="11.25">
      <c r="A44" s="4"/>
      <c r="B44" s="5" t="s">
        <v>5</v>
      </c>
      <c r="C44" s="5" t="s">
        <v>6</v>
      </c>
      <c r="D44" s="5" t="s">
        <v>7</v>
      </c>
      <c r="E44" s="5" t="s">
        <v>8</v>
      </c>
      <c r="F44" s="5" t="s">
        <v>9</v>
      </c>
      <c r="G44" s="5" t="s">
        <v>10</v>
      </c>
      <c r="H44" s="5" t="s">
        <v>44</v>
      </c>
      <c r="I44" s="5" t="s">
        <v>45</v>
      </c>
      <c r="J44" s="5" t="s">
        <v>28</v>
      </c>
    </row>
    <row r="45" spans="1:10" ht="11.25">
      <c r="A45" s="15" t="s">
        <v>84</v>
      </c>
      <c r="B45" s="21">
        <f aca="true" t="shared" si="3" ref="B45:B56">B11*B30</f>
        <v>2156</v>
      </c>
      <c r="C45" s="21">
        <f aca="true" t="shared" si="4" ref="C45:H56">+C11*C30</f>
        <v>2655.3376000000003</v>
      </c>
      <c r="D45" s="21">
        <f t="shared" si="4"/>
        <v>9716.8413</v>
      </c>
      <c r="E45" s="21">
        <f t="shared" si="4"/>
        <v>1561.0352</v>
      </c>
      <c r="F45" s="21">
        <f t="shared" si="4"/>
        <v>453.75</v>
      </c>
      <c r="G45" s="21">
        <f t="shared" si="4"/>
        <v>2420.7288000000003</v>
      </c>
      <c r="H45" s="21">
        <f t="shared" si="4"/>
        <v>1319.7551999999998</v>
      </c>
      <c r="I45" s="21">
        <f aca="true" t="shared" si="5" ref="I45:I56">+I11*-I30</f>
        <v>-1674.9002</v>
      </c>
      <c r="J45" s="21">
        <f aca="true" t="shared" si="6" ref="J45:J56">SUM(B45:I45)</f>
        <v>18608.5479</v>
      </c>
    </row>
    <row r="46" spans="1:10" ht="11.25">
      <c r="A46" s="4" t="s">
        <v>26</v>
      </c>
      <c r="B46" s="21">
        <f t="shared" si="3"/>
        <v>2602.656</v>
      </c>
      <c r="C46" s="21">
        <f t="shared" si="4"/>
        <v>2812.0260000000003</v>
      </c>
      <c r="D46" s="21">
        <f t="shared" si="4"/>
        <v>10284.456</v>
      </c>
      <c r="E46" s="21">
        <f t="shared" si="4"/>
        <v>1430.8580000000002</v>
      </c>
      <c r="F46" s="21">
        <f t="shared" si="4"/>
        <v>390.7567</v>
      </c>
      <c r="G46" s="21">
        <f t="shared" si="4"/>
        <v>2780.6504000000004</v>
      </c>
      <c r="H46" s="21">
        <f t="shared" si="4"/>
        <v>1329.0370000000003</v>
      </c>
      <c r="I46" s="21">
        <f t="shared" si="5"/>
        <v>-1604.8774</v>
      </c>
      <c r="J46" s="21">
        <f t="shared" si="6"/>
        <v>20025.562700000002</v>
      </c>
    </row>
    <row r="47" spans="1:10" ht="11.25">
      <c r="A47" s="4" t="s">
        <v>17</v>
      </c>
      <c r="B47" s="21">
        <f t="shared" si="3"/>
        <v>2357.64</v>
      </c>
      <c r="C47" s="21">
        <f t="shared" si="4"/>
        <v>2510.8824</v>
      </c>
      <c r="D47" s="21">
        <f t="shared" si="4"/>
        <v>8743.793</v>
      </c>
      <c r="E47" s="21">
        <f t="shared" si="4"/>
        <v>1343.2430000000002</v>
      </c>
      <c r="F47" s="21">
        <f t="shared" si="4"/>
        <v>335.9832</v>
      </c>
      <c r="G47" s="21">
        <f t="shared" si="4"/>
        <v>2717.5546</v>
      </c>
      <c r="H47" s="21">
        <f t="shared" si="4"/>
        <v>1359.616</v>
      </c>
      <c r="I47" s="21">
        <f t="shared" si="5"/>
        <v>-1356.4094</v>
      </c>
      <c r="J47" s="21">
        <f t="shared" si="6"/>
        <v>18012.3028</v>
      </c>
    </row>
    <row r="48" spans="1:10" ht="11.25">
      <c r="A48" s="4" t="s">
        <v>18</v>
      </c>
      <c r="B48" s="21">
        <f t="shared" si="3"/>
        <v>4290.6404999999995</v>
      </c>
      <c r="C48" s="21">
        <f t="shared" si="4"/>
        <v>4181.329999999999</v>
      </c>
      <c r="D48" s="21">
        <f t="shared" si="4"/>
        <v>15005.513200000001</v>
      </c>
      <c r="E48" s="21">
        <f t="shared" si="4"/>
        <v>2203.836</v>
      </c>
      <c r="F48" s="21">
        <f t="shared" si="4"/>
        <v>662.4512</v>
      </c>
      <c r="G48" s="21">
        <f t="shared" si="4"/>
        <v>4146.7274</v>
      </c>
      <c r="H48" s="21">
        <f t="shared" si="4"/>
        <v>2109.6</v>
      </c>
      <c r="I48" s="21">
        <f t="shared" si="5"/>
        <v>-2115.3662</v>
      </c>
      <c r="J48" s="21">
        <f t="shared" si="6"/>
        <v>30484.732099999997</v>
      </c>
    </row>
    <row r="49" spans="1:10" ht="11.25">
      <c r="A49" s="12" t="s">
        <v>76</v>
      </c>
      <c r="B49" s="21">
        <f t="shared" si="3"/>
        <v>3280.768</v>
      </c>
      <c r="C49" s="21">
        <f t="shared" si="4"/>
        <v>3347.1285</v>
      </c>
      <c r="D49" s="21">
        <f t="shared" si="4"/>
        <v>11028.771</v>
      </c>
      <c r="E49" s="21">
        <f t="shared" si="4"/>
        <v>1887.4080000000001</v>
      </c>
      <c r="F49" s="21">
        <f t="shared" si="4"/>
        <v>622.2909</v>
      </c>
      <c r="G49" s="21">
        <f t="shared" si="4"/>
        <v>3422.1861000000004</v>
      </c>
      <c r="H49" s="21">
        <f t="shared" si="4"/>
        <v>1723.755</v>
      </c>
      <c r="I49" s="21">
        <f t="shared" si="5"/>
        <v>-1676.0295999999998</v>
      </c>
      <c r="J49" s="21">
        <f t="shared" si="6"/>
        <v>23636.2779</v>
      </c>
    </row>
    <row r="50" spans="1:10" ht="11.25">
      <c r="A50" s="4" t="s">
        <v>19</v>
      </c>
      <c r="B50" s="21">
        <f t="shared" si="3"/>
        <v>2261.52</v>
      </c>
      <c r="C50" s="21">
        <f t="shared" si="4"/>
        <v>2707.1494000000002</v>
      </c>
      <c r="D50" s="21">
        <f t="shared" si="4"/>
        <v>8582.6448</v>
      </c>
      <c r="E50" s="21">
        <f t="shared" si="4"/>
        <v>1504.9986000000001</v>
      </c>
      <c r="F50" s="21">
        <f t="shared" si="4"/>
        <v>497.5608</v>
      </c>
      <c r="G50" s="21">
        <f t="shared" si="4"/>
        <v>3312.1382000000003</v>
      </c>
      <c r="H50" s="21">
        <f t="shared" si="4"/>
        <v>1357.36</v>
      </c>
      <c r="I50" s="21">
        <f t="shared" si="5"/>
        <v>-1301.0688</v>
      </c>
      <c r="J50" s="21">
        <f t="shared" si="6"/>
        <v>18922.303</v>
      </c>
    </row>
    <row r="51" spans="1:10" ht="11.25">
      <c r="A51" s="15" t="s">
        <v>42</v>
      </c>
      <c r="B51" s="21">
        <f t="shared" si="3"/>
        <v>3393.696</v>
      </c>
      <c r="C51" s="21">
        <f t="shared" si="4"/>
        <v>3654.3346</v>
      </c>
      <c r="D51" s="21">
        <f t="shared" si="4"/>
        <v>11299.5504</v>
      </c>
      <c r="E51" s="21">
        <f t="shared" si="4"/>
        <v>1965.1410000000003</v>
      </c>
      <c r="F51" s="21">
        <f t="shared" si="4"/>
        <v>653.8825999999999</v>
      </c>
      <c r="G51" s="21">
        <f t="shared" si="4"/>
        <v>3700.5449999999996</v>
      </c>
      <c r="H51" s="21">
        <f t="shared" si="4"/>
        <v>1824.2219999999998</v>
      </c>
      <c r="I51" s="21">
        <f t="shared" si="5"/>
        <v>-1809.8972</v>
      </c>
      <c r="J51" s="21">
        <f t="shared" si="6"/>
        <v>24681.4744</v>
      </c>
    </row>
    <row r="52" spans="1:10" ht="11.25">
      <c r="A52" s="4" t="s">
        <v>32</v>
      </c>
      <c r="B52" s="21">
        <f t="shared" si="3"/>
        <v>3146.928</v>
      </c>
      <c r="C52" s="21">
        <f t="shared" si="4"/>
        <v>3379.9120000000003</v>
      </c>
      <c r="D52" s="21">
        <f t="shared" si="4"/>
        <v>10496.567399999998</v>
      </c>
      <c r="E52" s="21">
        <f t="shared" si="4"/>
        <v>1910.75</v>
      </c>
      <c r="F52" s="21">
        <f t="shared" si="4"/>
        <v>593.2728</v>
      </c>
      <c r="G52" s="21">
        <f t="shared" si="4"/>
        <v>3402.5218</v>
      </c>
      <c r="H52" s="21">
        <f t="shared" si="4"/>
        <v>1817.742</v>
      </c>
      <c r="I52" s="21">
        <f t="shared" si="5"/>
        <v>-1677.9769000000001</v>
      </c>
      <c r="J52" s="21">
        <f t="shared" si="6"/>
        <v>23069.71709999999</v>
      </c>
    </row>
    <row r="53" spans="1:10" ht="11.25">
      <c r="A53" s="4" t="s">
        <v>21</v>
      </c>
      <c r="B53" s="21">
        <f t="shared" si="3"/>
        <v>3176.4320000000002</v>
      </c>
      <c r="C53" s="21">
        <f t="shared" si="4"/>
        <v>3406.5622</v>
      </c>
      <c r="D53" s="21">
        <f t="shared" si="4"/>
        <v>10469.5045</v>
      </c>
      <c r="E53" s="21">
        <f t="shared" si="4"/>
        <v>2026.6787</v>
      </c>
      <c r="F53" s="21">
        <f t="shared" si="4"/>
        <v>543.1998</v>
      </c>
      <c r="G53" s="21">
        <f t="shared" si="4"/>
        <v>3709.3695999999995</v>
      </c>
      <c r="H53" s="21">
        <f t="shared" si="4"/>
        <v>1918.2766</v>
      </c>
      <c r="I53" s="21">
        <f t="shared" si="5"/>
        <v>-1705.1007000000002</v>
      </c>
      <c r="J53" s="21">
        <f t="shared" si="6"/>
        <v>23544.9227</v>
      </c>
    </row>
    <row r="54" spans="1:10" ht="11.25">
      <c r="A54" s="4" t="s">
        <v>22</v>
      </c>
      <c r="B54" s="21">
        <f t="shared" si="3"/>
        <v>3593.1200000000003</v>
      </c>
      <c r="C54" s="21">
        <f t="shared" si="4"/>
        <v>3820.9482000000003</v>
      </c>
      <c r="D54" s="21">
        <f t="shared" si="4"/>
        <v>11402.101700000001</v>
      </c>
      <c r="E54" s="21">
        <f t="shared" si="4"/>
        <v>1968.9054000000003</v>
      </c>
      <c r="F54" s="21">
        <f t="shared" si="4"/>
        <v>659.2705</v>
      </c>
      <c r="G54" s="21">
        <f t="shared" si="4"/>
        <v>4216.478400000001</v>
      </c>
      <c r="H54" s="21">
        <f t="shared" si="4"/>
        <v>2038.3999999999999</v>
      </c>
      <c r="I54" s="21">
        <f t="shared" si="5"/>
        <v>-1791.4037</v>
      </c>
      <c r="J54" s="21">
        <f t="shared" si="6"/>
        <v>25907.8205</v>
      </c>
    </row>
    <row r="55" spans="1:10" ht="11.25">
      <c r="A55" s="4" t="s">
        <v>23</v>
      </c>
      <c r="B55" s="21">
        <f t="shared" si="3"/>
        <v>3658.3999999999996</v>
      </c>
      <c r="C55" s="21">
        <f t="shared" si="4"/>
        <v>4120.2007</v>
      </c>
      <c r="D55" s="21">
        <f t="shared" si="4"/>
        <v>12398.9633</v>
      </c>
      <c r="E55" s="21">
        <f t="shared" si="4"/>
        <v>2031.0512000000003</v>
      </c>
      <c r="F55" s="21">
        <f t="shared" si="4"/>
        <v>672.2702</v>
      </c>
      <c r="G55" s="21">
        <f t="shared" si="4"/>
        <v>4093.1559000000007</v>
      </c>
      <c r="H55" s="21">
        <f t="shared" si="4"/>
        <v>1777.92</v>
      </c>
      <c r="I55" s="21">
        <f t="shared" si="5"/>
        <v>-1824.6920000000002</v>
      </c>
      <c r="J55" s="21">
        <f t="shared" si="6"/>
        <v>26927.269300000004</v>
      </c>
    </row>
    <row r="56" spans="1:10" ht="11.25">
      <c r="A56" s="4" t="s">
        <v>24</v>
      </c>
      <c r="B56" s="21">
        <f t="shared" si="3"/>
        <v>4074.336</v>
      </c>
      <c r="C56" s="21">
        <f t="shared" si="4"/>
        <v>4555.5491999999995</v>
      </c>
      <c r="D56" s="21">
        <f t="shared" si="4"/>
        <v>13486.974599999998</v>
      </c>
      <c r="E56" s="21">
        <f t="shared" si="4"/>
        <v>2213.2799999999997</v>
      </c>
      <c r="F56" s="21">
        <f t="shared" si="4"/>
        <v>764.16</v>
      </c>
      <c r="G56" s="21">
        <f t="shared" si="4"/>
        <v>4331.654399999999</v>
      </c>
      <c r="H56" s="21">
        <f t="shared" si="4"/>
        <v>1795.1999999999998</v>
      </c>
      <c r="I56" s="21">
        <f t="shared" si="5"/>
        <v>-2008.3941</v>
      </c>
      <c r="J56" s="21">
        <f t="shared" si="6"/>
        <v>29212.760099999996</v>
      </c>
    </row>
    <row r="57" spans="1:10" ht="11.25">
      <c r="A57" s="16" t="s">
        <v>30</v>
      </c>
      <c r="B57" s="22">
        <f aca="true" t="shared" si="7" ref="B57:J57">SUM(B45:B56)</f>
        <v>37992.1365</v>
      </c>
      <c r="C57" s="22">
        <f t="shared" si="7"/>
        <v>41151.3608</v>
      </c>
      <c r="D57" s="22">
        <f t="shared" si="7"/>
        <v>132915.6812</v>
      </c>
      <c r="E57" s="22">
        <f t="shared" si="7"/>
        <v>22047.185100000002</v>
      </c>
      <c r="F57" s="22">
        <f t="shared" si="7"/>
        <v>6848.8487</v>
      </c>
      <c r="G57" s="22">
        <f t="shared" si="7"/>
        <v>42253.7106</v>
      </c>
      <c r="H57" s="22">
        <f t="shared" si="7"/>
        <v>20370.8838</v>
      </c>
      <c r="I57" s="22">
        <f t="shared" si="7"/>
        <v>-20546.1162</v>
      </c>
      <c r="J57" s="22">
        <f t="shared" si="7"/>
        <v>283033.69049999997</v>
      </c>
    </row>
    <row r="58" spans="1:10" ht="11.2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1.25">
      <c r="A59" s="4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1.25">
      <c r="A60" s="4"/>
      <c r="B60" s="21"/>
      <c r="C60" s="21"/>
      <c r="D60" s="21"/>
      <c r="E60" s="21"/>
      <c r="F60" s="21"/>
      <c r="G60" s="21"/>
      <c r="H60" s="21"/>
      <c r="I60" s="21"/>
      <c r="J60" s="21" t="s">
        <v>3</v>
      </c>
    </row>
    <row r="61" spans="1:10" ht="11.25">
      <c r="A61" s="23"/>
      <c r="B61" s="24"/>
      <c r="C61" s="24"/>
      <c r="D61" s="24"/>
      <c r="E61" s="24"/>
      <c r="F61" s="24"/>
      <c r="G61" s="24"/>
      <c r="H61" s="24"/>
      <c r="I61" s="24"/>
      <c r="J61" s="2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4">
      <selection activeCell="G44" sqref="G44"/>
    </sheetView>
  </sheetViews>
  <sheetFormatPr defaultColWidth="8.88671875" defaultRowHeight="15"/>
  <cols>
    <col min="1" max="1" width="1.99609375" style="0" customWidth="1"/>
    <col min="9" max="9" width="10.21484375" style="0" customWidth="1"/>
  </cols>
  <sheetData>
    <row r="1" spans="1:10" ht="15">
      <c r="A1" s="2"/>
      <c r="B1" s="52"/>
      <c r="C1" s="25"/>
      <c r="D1" s="25"/>
      <c r="E1" s="26"/>
      <c r="F1" s="27" t="s">
        <v>0</v>
      </c>
      <c r="G1" s="26"/>
      <c r="H1" s="25"/>
      <c r="I1" s="25"/>
      <c r="J1" s="3"/>
    </row>
    <row r="2" spans="1:10" ht="15">
      <c r="A2" s="2"/>
      <c r="B2" s="52"/>
      <c r="C2" s="25"/>
      <c r="D2" s="28"/>
      <c r="E2" s="27"/>
      <c r="F2" s="29" t="s">
        <v>1</v>
      </c>
      <c r="G2" s="26"/>
      <c r="H2" s="25"/>
      <c r="I2" s="25"/>
      <c r="J2" s="3"/>
    </row>
    <row r="3" spans="1:10" ht="15">
      <c r="A3" s="2"/>
      <c r="B3" s="52"/>
      <c r="C3" s="25"/>
      <c r="D3" s="28"/>
      <c r="E3" s="27"/>
      <c r="F3" s="27" t="s">
        <v>2</v>
      </c>
      <c r="G3" s="26"/>
      <c r="H3" s="25"/>
      <c r="I3" s="25"/>
      <c r="J3" s="3"/>
    </row>
    <row r="4" spans="1:10" ht="15">
      <c r="A4" s="2"/>
      <c r="B4" s="59" t="s">
        <v>63</v>
      </c>
      <c r="C4" s="25"/>
      <c r="D4" s="28"/>
      <c r="E4" s="28"/>
      <c r="F4" s="28"/>
      <c r="G4" s="25"/>
      <c r="H4" s="25"/>
      <c r="I4" s="25"/>
      <c r="J4" s="3"/>
    </row>
    <row r="5" spans="1:10" ht="15">
      <c r="A5" s="2"/>
      <c r="B5" s="52"/>
      <c r="C5" s="25"/>
      <c r="D5" s="25"/>
      <c r="E5" s="25"/>
      <c r="F5" s="25"/>
      <c r="G5" s="25"/>
      <c r="H5" s="25"/>
      <c r="I5" s="25"/>
      <c r="J5" s="3"/>
    </row>
    <row r="6" spans="1:10" ht="15">
      <c r="A6" s="2"/>
      <c r="B6" s="53" t="s">
        <v>78</v>
      </c>
      <c r="C6" s="30"/>
      <c r="D6" s="30"/>
      <c r="E6" s="25"/>
      <c r="F6" s="25"/>
      <c r="G6" s="25"/>
      <c r="H6" s="25"/>
      <c r="I6" s="25"/>
      <c r="J6" s="3"/>
    </row>
    <row r="7" spans="1:10" ht="15">
      <c r="A7" s="2"/>
      <c r="B7" s="52"/>
      <c r="C7" s="25"/>
      <c r="D7" s="25"/>
      <c r="E7" s="25"/>
      <c r="F7" s="25"/>
      <c r="G7" s="25"/>
      <c r="H7" s="25"/>
      <c r="I7" s="25"/>
      <c r="J7" s="3"/>
    </row>
    <row r="8" spans="1:10" ht="15">
      <c r="A8" s="2"/>
      <c r="B8" s="54" t="s">
        <v>73</v>
      </c>
      <c r="C8" s="25"/>
      <c r="D8" s="25"/>
      <c r="E8" s="26" t="s">
        <v>100</v>
      </c>
      <c r="F8" s="25"/>
      <c r="G8" s="25"/>
      <c r="H8" s="25"/>
      <c r="I8" s="25"/>
      <c r="J8" s="3"/>
    </row>
    <row r="9" spans="1:10" ht="15">
      <c r="A9" s="2"/>
      <c r="B9" s="54" t="s">
        <v>96</v>
      </c>
      <c r="C9" s="25"/>
      <c r="D9" s="25"/>
      <c r="E9" s="25"/>
      <c r="F9" s="25"/>
      <c r="G9" s="25"/>
      <c r="H9" s="25"/>
      <c r="I9" s="25"/>
      <c r="J9" s="3"/>
    </row>
    <row r="10" spans="1:10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  <c r="J10" s="3"/>
    </row>
    <row r="11" spans="1:10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  <c r="J11" s="3"/>
    </row>
    <row r="12" spans="1:10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  <c r="J12" s="3"/>
    </row>
    <row r="13" spans="1:10" ht="15">
      <c r="A13" s="2"/>
      <c r="B13" s="57" t="s">
        <v>59</v>
      </c>
      <c r="C13" s="25"/>
      <c r="D13" s="33">
        <v>9652</v>
      </c>
      <c r="E13" s="33">
        <f>'3rd yard actual'!J45</f>
        <v>35851.931999999986</v>
      </c>
      <c r="F13" s="34"/>
      <c r="G13" s="25"/>
      <c r="H13" s="44"/>
      <c r="I13" s="36"/>
      <c r="J13" s="3"/>
    </row>
    <row r="14" spans="1:10" ht="15">
      <c r="A14" s="2"/>
      <c r="B14" s="58" t="s">
        <v>38</v>
      </c>
      <c r="C14" s="25"/>
      <c r="D14" s="33">
        <v>9586</v>
      </c>
      <c r="E14" s="33">
        <f>'3rd yard actual'!J46</f>
        <v>29486.582399999996</v>
      </c>
      <c r="F14" s="34"/>
      <c r="G14" s="31"/>
      <c r="H14" s="44"/>
      <c r="I14" s="36"/>
      <c r="J14" s="3"/>
    </row>
    <row r="15" spans="1:10" ht="15">
      <c r="A15" s="2"/>
      <c r="B15" s="56" t="s">
        <v>17</v>
      </c>
      <c r="C15" s="25"/>
      <c r="D15" s="33">
        <v>9097</v>
      </c>
      <c r="E15" s="33">
        <f>'3rd yard actual'!J47</f>
        <v>24307.4139</v>
      </c>
      <c r="F15" s="34"/>
      <c r="G15" s="25"/>
      <c r="H15" s="44"/>
      <c r="I15" s="36"/>
      <c r="J15" s="3"/>
    </row>
    <row r="16" spans="1:10" ht="15">
      <c r="A16" s="2"/>
      <c r="B16" s="56" t="s">
        <v>18</v>
      </c>
      <c r="C16" s="25"/>
      <c r="D16" s="33">
        <v>9091</v>
      </c>
      <c r="E16" s="33">
        <f>'3rd yard actual'!J48</f>
        <v>27495.466899999996</v>
      </c>
      <c r="F16" s="34"/>
      <c r="G16" s="25"/>
      <c r="H16" s="44"/>
      <c r="I16" s="36"/>
      <c r="J16" s="3"/>
    </row>
    <row r="17" spans="1:10" ht="15">
      <c r="A17" s="2"/>
      <c r="B17" s="57" t="s">
        <v>95</v>
      </c>
      <c r="C17" s="25"/>
      <c r="D17" s="33">
        <v>9064</v>
      </c>
      <c r="E17" s="33">
        <f>'3rd yard actual'!J49</f>
        <v>22297.3888</v>
      </c>
      <c r="F17" s="34"/>
      <c r="G17" s="25"/>
      <c r="H17" s="44"/>
      <c r="I17" s="36"/>
      <c r="J17" s="3"/>
    </row>
    <row r="18" spans="1:10" ht="15">
      <c r="A18" s="2"/>
      <c r="B18" s="56" t="s">
        <v>19</v>
      </c>
      <c r="C18" s="25"/>
      <c r="D18" s="33">
        <v>9073</v>
      </c>
      <c r="E18" s="33">
        <f>'3rd yard actual'!J50</f>
        <v>29820.6038</v>
      </c>
      <c r="F18" s="83"/>
      <c r="G18" s="84" t="s">
        <v>11</v>
      </c>
      <c r="H18" s="80">
        <f>'3rd yard actual'!J23</f>
        <v>1989.185</v>
      </c>
      <c r="I18" s="36"/>
      <c r="J18" s="3"/>
    </row>
    <row r="19" spans="1:10" ht="15">
      <c r="A19" s="2"/>
      <c r="B19" s="56" t="s">
        <v>20</v>
      </c>
      <c r="C19" s="25"/>
      <c r="D19" s="33">
        <v>9117</v>
      </c>
      <c r="E19" s="33">
        <f>'3rd yard actual'!J51</f>
        <v>25953.8103</v>
      </c>
      <c r="F19" s="83"/>
      <c r="G19" s="84" t="s">
        <v>102</v>
      </c>
      <c r="H19" s="80">
        <f>-'3rd yard actual'!I23</f>
        <v>-179.835</v>
      </c>
      <c r="I19" s="36"/>
      <c r="J19" s="3"/>
    </row>
    <row r="20" spans="1:10" ht="15">
      <c r="A20" s="2"/>
      <c r="B20" s="56" t="s">
        <v>32</v>
      </c>
      <c r="C20" s="25"/>
      <c r="D20" s="33">
        <v>9094</v>
      </c>
      <c r="E20" s="33">
        <f>'3rd yard actual'!J52</f>
        <v>23426.22469999999</v>
      </c>
      <c r="F20" s="83"/>
      <c r="G20" s="84" t="s">
        <v>104</v>
      </c>
      <c r="H20" s="80">
        <f>SUM(H18:H19)</f>
        <v>1809.35</v>
      </c>
      <c r="I20" s="36"/>
      <c r="J20" s="3"/>
    </row>
    <row r="21" spans="1:10" ht="15">
      <c r="A21" s="2"/>
      <c r="B21" s="56" t="s">
        <v>21</v>
      </c>
      <c r="C21" s="25"/>
      <c r="D21" s="33">
        <v>9499</v>
      </c>
      <c r="E21" s="33">
        <f>'3rd yard actual'!J53</f>
        <v>26176.9476</v>
      </c>
      <c r="F21" s="83"/>
      <c r="G21" s="84" t="s">
        <v>103</v>
      </c>
      <c r="H21" s="80">
        <f>H20*2000</f>
        <v>3618700</v>
      </c>
      <c r="I21" s="60"/>
      <c r="J21" s="3"/>
    </row>
    <row r="22" spans="1:10" ht="15">
      <c r="A22" s="2"/>
      <c r="B22" s="56" t="s">
        <v>22</v>
      </c>
      <c r="C22" s="25"/>
      <c r="D22" s="33">
        <v>9436</v>
      </c>
      <c r="E22" s="33">
        <f>'3rd yard actual'!J54</f>
        <v>22364.106500000005</v>
      </c>
      <c r="F22" s="83"/>
      <c r="G22" s="84" t="s">
        <v>13</v>
      </c>
      <c r="H22" s="80">
        <f>D25</f>
        <v>112212</v>
      </c>
      <c r="I22" s="60"/>
      <c r="J22" s="3"/>
    </row>
    <row r="23" spans="1:10" ht="15">
      <c r="A23" s="2"/>
      <c r="B23" s="56" t="s">
        <v>23</v>
      </c>
      <c r="C23" s="25"/>
      <c r="D23" s="33">
        <v>9923</v>
      </c>
      <c r="E23" s="33">
        <f>'3rd yard actual'!J55</f>
        <v>22659.715</v>
      </c>
      <c r="F23" s="83"/>
      <c r="G23" s="84" t="s">
        <v>105</v>
      </c>
      <c r="H23" s="85">
        <f>H21/H22</f>
        <v>32.2487790967098</v>
      </c>
      <c r="I23" s="60"/>
      <c r="J23" s="3"/>
    </row>
    <row r="24" spans="1:10" ht="15">
      <c r="A24" s="2"/>
      <c r="B24" s="56" t="s">
        <v>24</v>
      </c>
      <c r="C24" s="25"/>
      <c r="D24" s="33">
        <v>9580</v>
      </c>
      <c r="E24" s="33">
        <f>'3rd yard actual'!J56</f>
        <v>23849.67095</v>
      </c>
      <c r="F24" s="34"/>
      <c r="G24" s="36"/>
      <c r="H24" s="36"/>
      <c r="I24" s="60"/>
      <c r="J24" s="3"/>
    </row>
    <row r="25" spans="1:10" ht="15">
      <c r="A25" s="2"/>
      <c r="B25" s="56" t="s">
        <v>33</v>
      </c>
      <c r="C25" s="25"/>
      <c r="D25" s="70">
        <f>SUM(D13:D24)</f>
        <v>112212</v>
      </c>
      <c r="E25" s="70">
        <f>SUM(E13:E24)</f>
        <v>313689.86285000003</v>
      </c>
      <c r="F25" s="25"/>
      <c r="G25" s="36"/>
      <c r="H25" s="60"/>
      <c r="I25" s="60"/>
      <c r="J25" s="3"/>
    </row>
    <row r="26" spans="1:10" ht="15">
      <c r="A26" s="2"/>
      <c r="B26" s="52"/>
      <c r="C26" s="25"/>
      <c r="D26" s="31"/>
      <c r="E26" s="25"/>
      <c r="F26" s="25"/>
      <c r="G26" s="38"/>
      <c r="H26" s="32"/>
      <c r="I26" s="25"/>
      <c r="J26" s="3"/>
    </row>
    <row r="27" spans="1:10" ht="15">
      <c r="A27" s="2"/>
      <c r="B27" s="56" t="s">
        <v>98</v>
      </c>
      <c r="C27" s="25"/>
      <c r="D27" s="25"/>
      <c r="E27" s="25"/>
      <c r="F27" s="39"/>
      <c r="G27" s="25"/>
      <c r="H27" s="37"/>
      <c r="I27" s="60"/>
      <c r="J27" s="3"/>
    </row>
    <row r="28" spans="1:10" ht="15">
      <c r="A28" s="2"/>
      <c r="B28" s="52"/>
      <c r="C28" s="25"/>
      <c r="D28" s="25"/>
      <c r="E28" s="25"/>
      <c r="F28" s="31"/>
      <c r="G28" s="25"/>
      <c r="H28" s="25"/>
      <c r="I28" s="25"/>
      <c r="J28" s="3"/>
    </row>
    <row r="29" spans="1:10" ht="15">
      <c r="A29" s="2"/>
      <c r="B29" s="56" t="s">
        <v>34</v>
      </c>
      <c r="C29" s="25"/>
      <c r="D29" s="25"/>
      <c r="E29" s="26" t="s">
        <v>91</v>
      </c>
      <c r="F29" s="41">
        <v>1.45</v>
      </c>
      <c r="G29" s="25"/>
      <c r="H29" s="25"/>
      <c r="I29" s="25"/>
      <c r="J29" s="3"/>
    </row>
    <row r="30" spans="1:10" ht="15">
      <c r="A30" s="2"/>
      <c r="B30" s="56" t="s">
        <v>34</v>
      </c>
      <c r="C30" s="25"/>
      <c r="D30" s="25"/>
      <c r="E30" s="26" t="s">
        <v>106</v>
      </c>
      <c r="F30" s="41">
        <v>1.77</v>
      </c>
      <c r="G30" s="25"/>
      <c r="H30" s="25"/>
      <c r="I30" s="25"/>
      <c r="J30" s="3"/>
    </row>
    <row r="31" spans="1:10" ht="15">
      <c r="A31" s="2"/>
      <c r="B31" s="52"/>
      <c r="C31" s="25"/>
      <c r="D31" s="25"/>
      <c r="E31" s="25"/>
      <c r="F31" s="31"/>
      <c r="G31" s="31"/>
      <c r="H31" s="25"/>
      <c r="I31" s="25"/>
      <c r="J31" s="3"/>
    </row>
    <row r="32" spans="1:10" ht="15">
      <c r="A32" s="2"/>
      <c r="B32" s="56" t="s">
        <v>97</v>
      </c>
      <c r="C32" s="25"/>
      <c r="D32" s="25"/>
      <c r="E32" s="25"/>
      <c r="F32" s="25"/>
      <c r="G32" s="43"/>
      <c r="H32" s="48">
        <f>(D13+D14)*F29+SUM(D15:D24)*F30</f>
        <v>192459.08000000002</v>
      </c>
      <c r="I32" s="25"/>
      <c r="J32" s="3"/>
    </row>
    <row r="33" spans="1:10" ht="15">
      <c r="A33" s="2"/>
      <c r="B33" s="52"/>
      <c r="C33" s="25"/>
      <c r="D33" s="25"/>
      <c r="E33" s="25"/>
      <c r="F33" s="25"/>
      <c r="G33" s="31"/>
      <c r="H33" s="25"/>
      <c r="I33" s="25"/>
      <c r="J33" s="3"/>
    </row>
    <row r="34" spans="1:10" ht="15">
      <c r="A34" s="2"/>
      <c r="B34" s="56" t="s">
        <v>25</v>
      </c>
      <c r="C34" s="25"/>
      <c r="D34" s="25"/>
      <c r="E34" s="25"/>
      <c r="F34" s="25"/>
      <c r="G34" s="43">
        <f>E25</f>
        <v>313689.86285000003</v>
      </c>
      <c r="H34" s="25"/>
      <c r="I34" s="25"/>
      <c r="J34" s="3"/>
    </row>
    <row r="35" spans="1:10" ht="15">
      <c r="A35" s="2"/>
      <c r="B35" s="56" t="s">
        <v>46</v>
      </c>
      <c r="C35" s="25"/>
      <c r="D35" s="25"/>
      <c r="E35" s="25"/>
      <c r="F35" s="25"/>
      <c r="G35" s="43">
        <f>G34*0.3</f>
        <v>94106.958855</v>
      </c>
      <c r="H35" s="37"/>
      <c r="I35" s="25"/>
      <c r="J35" s="3"/>
    </row>
    <row r="36" spans="1:10" ht="15">
      <c r="A36" s="2"/>
      <c r="B36" s="56" t="s">
        <v>47</v>
      </c>
      <c r="C36" s="25"/>
      <c r="D36" s="25"/>
      <c r="E36" s="25"/>
      <c r="F36" s="25"/>
      <c r="G36" s="43"/>
      <c r="H36" s="43">
        <f>G34-G35</f>
        <v>219582.90399500003</v>
      </c>
      <c r="I36" s="25"/>
      <c r="J36" s="76"/>
    </row>
    <row r="37" spans="1:10" ht="15">
      <c r="A37" s="2"/>
      <c r="B37" s="52"/>
      <c r="C37" s="25"/>
      <c r="D37" s="25"/>
      <c r="E37" s="25"/>
      <c r="F37" s="25"/>
      <c r="G37" s="25"/>
      <c r="H37" s="25"/>
      <c r="I37" s="25"/>
      <c r="J37" s="3"/>
    </row>
    <row r="38" spans="1:10" ht="15">
      <c r="A38" s="2"/>
      <c r="B38" s="56" t="s">
        <v>48</v>
      </c>
      <c r="C38" s="25"/>
      <c r="D38" s="25"/>
      <c r="E38" s="25"/>
      <c r="F38" s="25"/>
      <c r="G38" s="45"/>
      <c r="H38" s="43">
        <f>H36-H32</f>
        <v>27123.823995000013</v>
      </c>
      <c r="I38" s="26"/>
      <c r="J38" s="3"/>
    </row>
    <row r="39" spans="1:10" ht="15">
      <c r="A39" s="2"/>
      <c r="B39" s="52"/>
      <c r="C39" s="25"/>
      <c r="D39" s="25"/>
      <c r="E39" s="25"/>
      <c r="F39" s="25"/>
      <c r="G39" s="25"/>
      <c r="H39" s="45"/>
      <c r="I39" s="25"/>
      <c r="J39" s="3"/>
    </row>
    <row r="40" spans="1:10" ht="15">
      <c r="A40" s="2"/>
      <c r="B40" s="56" t="s">
        <v>35</v>
      </c>
      <c r="C40" s="26"/>
      <c r="D40" s="26"/>
      <c r="E40" s="26"/>
      <c r="F40" s="25"/>
      <c r="G40" s="25"/>
      <c r="H40" s="37"/>
      <c r="I40" s="25"/>
      <c r="J40" s="3"/>
    </row>
    <row r="41" spans="1:10" ht="15">
      <c r="A41" s="2"/>
      <c r="B41" s="56"/>
      <c r="C41" s="26"/>
      <c r="D41" s="26"/>
      <c r="E41" s="26"/>
      <c r="F41" s="25"/>
      <c r="G41" s="25"/>
      <c r="H41" s="25"/>
      <c r="I41" s="25"/>
      <c r="J41" s="3"/>
    </row>
    <row r="42" spans="1:10" ht="15">
      <c r="A42" s="2"/>
      <c r="B42" s="56" t="s">
        <v>36</v>
      </c>
      <c r="C42" s="26"/>
      <c r="D42" s="26"/>
      <c r="E42" s="26"/>
      <c r="F42" s="25"/>
      <c r="G42" s="43">
        <f>H38</f>
        <v>27123.823995000013</v>
      </c>
      <c r="H42" s="45"/>
      <c r="I42" s="37"/>
      <c r="J42" s="3"/>
    </row>
    <row r="43" spans="1:10" ht="15">
      <c r="A43" s="2"/>
      <c r="B43" s="56" t="s">
        <v>55</v>
      </c>
      <c r="C43" s="26"/>
      <c r="D43" s="26"/>
      <c r="E43" s="26"/>
      <c r="F43" s="25"/>
      <c r="G43" s="33">
        <f>SUM(D13:D24)</f>
        <v>112212</v>
      </c>
      <c r="H43" s="31"/>
      <c r="I43" s="31"/>
      <c r="J43" s="3"/>
    </row>
    <row r="44" spans="1:10" ht="15">
      <c r="A44" s="2"/>
      <c r="B44" s="56" t="s">
        <v>37</v>
      </c>
      <c r="C44" s="26"/>
      <c r="D44" s="26"/>
      <c r="E44" s="26"/>
      <c r="F44" s="25"/>
      <c r="G44" s="46">
        <f>G42/G43</f>
        <v>0.24171945954978089</v>
      </c>
      <c r="H44" s="46"/>
      <c r="I44" s="37"/>
      <c r="J44" s="3"/>
    </row>
    <row r="45" spans="1:10" ht="15">
      <c r="A45" s="2"/>
      <c r="B45" s="56"/>
      <c r="C45" s="26"/>
      <c r="D45" s="26"/>
      <c r="E45" s="26"/>
      <c r="F45" s="25"/>
      <c r="G45" s="25"/>
      <c r="H45" s="25"/>
      <c r="I45" s="25"/>
      <c r="J45" s="3"/>
    </row>
    <row r="46" spans="1:10" ht="15">
      <c r="A46" s="2"/>
      <c r="B46" s="56"/>
      <c r="C46" s="26"/>
      <c r="D46" s="26"/>
      <c r="E46" s="26"/>
      <c r="F46" s="25"/>
      <c r="G46" s="25"/>
      <c r="H46" s="25"/>
      <c r="I46" s="77" t="s">
        <v>53</v>
      </c>
      <c r="J46" s="3"/>
    </row>
    <row r="47" spans="1:10" ht="1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78" t="s">
        <v>54</v>
      </c>
      <c r="J47" s="3"/>
    </row>
    <row r="48" spans="1:10" ht="15">
      <c r="A48" s="2"/>
      <c r="B48" s="56" t="s">
        <v>56</v>
      </c>
      <c r="C48" s="26"/>
      <c r="D48" s="26"/>
      <c r="E48" s="26"/>
      <c r="F48" s="48"/>
      <c r="G48" s="49"/>
      <c r="H48" s="48">
        <f>SUM(E13:E24)</f>
        <v>313689.86285000003</v>
      </c>
      <c r="I48" s="79">
        <f>ROUND(H48*0.7,0)</f>
        <v>219583</v>
      </c>
      <c r="J48" s="71"/>
    </row>
    <row r="49" spans="1:10" ht="15">
      <c r="A49" s="2"/>
      <c r="B49" s="56" t="s">
        <v>57</v>
      </c>
      <c r="C49" s="26"/>
      <c r="D49" s="26"/>
      <c r="E49" s="26"/>
      <c r="F49" s="44"/>
      <c r="G49" s="44"/>
      <c r="H49" s="44">
        <f>SUM(D13:D24)</f>
        <v>112212</v>
      </c>
      <c r="I49" s="80">
        <f>H49</f>
        <v>112212</v>
      </c>
      <c r="J49" s="3"/>
    </row>
    <row r="50" spans="1:10" ht="15">
      <c r="A50" s="2"/>
      <c r="B50" s="52"/>
      <c r="C50" s="25"/>
      <c r="D50" s="25"/>
      <c r="E50" s="25"/>
      <c r="F50" s="26"/>
      <c r="G50" s="26"/>
      <c r="H50" s="26"/>
      <c r="I50" s="81"/>
      <c r="J50" s="3"/>
    </row>
    <row r="51" spans="1:10" ht="1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2.795510844205611</v>
      </c>
      <c r="I51" s="81">
        <f>+ROUND(I48/I49,2)</f>
        <v>1.96</v>
      </c>
      <c r="J51" s="71"/>
    </row>
    <row r="52" spans="1:10" ht="15">
      <c r="A52" s="2"/>
      <c r="B52" s="52"/>
      <c r="C52" s="25"/>
      <c r="D52" s="25"/>
      <c r="E52" s="26" t="s">
        <v>51</v>
      </c>
      <c r="F52" s="26"/>
      <c r="G52" s="26"/>
      <c r="H52" s="50">
        <f>G44</f>
        <v>0.24171945954978089</v>
      </c>
      <c r="I52" s="81">
        <f>G44</f>
        <v>0.24171945954978089</v>
      </c>
      <c r="J52" s="3"/>
    </row>
    <row r="53" spans="1:10" ht="1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3.0372303037553916</v>
      </c>
      <c r="I53" s="82">
        <f>SUM(I51:I52)</f>
        <v>2.2017194595497807</v>
      </c>
      <c r="J53" s="3"/>
    </row>
    <row r="54" spans="1:10" ht="15">
      <c r="A54" s="2"/>
      <c r="B54" s="52"/>
      <c r="C54" s="25"/>
      <c r="D54" s="25"/>
      <c r="E54" s="25"/>
      <c r="F54" s="26"/>
      <c r="G54" s="26"/>
      <c r="H54" s="26"/>
      <c r="I54" s="50"/>
      <c r="J54" s="3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3"/>
    </row>
    <row r="56" spans="1:10" ht="15">
      <c r="A56" s="2"/>
      <c r="B56" s="2"/>
      <c r="C56" s="2"/>
      <c r="D56" s="2" t="s">
        <v>108</v>
      </c>
      <c r="E56" s="2"/>
      <c r="F56" s="2"/>
      <c r="G56" s="2"/>
      <c r="H56" s="2"/>
      <c r="I56" s="2"/>
      <c r="J56" s="3"/>
    </row>
    <row r="57" spans="1:10" ht="15">
      <c r="A57" s="2"/>
      <c r="B57" s="2"/>
      <c r="C57" s="2"/>
      <c r="D57" s="2" t="s">
        <v>109</v>
      </c>
      <c r="E57" s="2"/>
      <c r="F57" s="2"/>
      <c r="G57" s="2"/>
      <c r="H57" s="91"/>
      <c r="I57" s="2"/>
      <c r="J57" s="3"/>
    </row>
    <row r="58" spans="1:10" ht="15">
      <c r="A58" s="2"/>
      <c r="B58" s="2"/>
      <c r="C58" s="2"/>
      <c r="D58" s="2" t="s">
        <v>110</v>
      </c>
      <c r="E58" s="2"/>
      <c r="F58" s="2"/>
      <c r="G58" s="2"/>
      <c r="H58" s="2"/>
      <c r="I58" s="2"/>
      <c r="J58" s="3"/>
    </row>
    <row r="59" spans="1:9" ht="15">
      <c r="A59" s="90"/>
      <c r="B59" s="90"/>
      <c r="C59" s="90"/>
      <c r="D59" s="90"/>
      <c r="E59" s="90"/>
      <c r="F59" s="90"/>
      <c r="G59" s="90"/>
      <c r="H59" s="90"/>
      <c r="I59" s="90"/>
    </row>
    <row r="60" spans="1:9" ht="15">
      <c r="A60" s="90"/>
      <c r="B60" s="90"/>
      <c r="C60" s="90"/>
      <c r="D60" s="90"/>
      <c r="E60" s="90"/>
      <c r="F60" s="90"/>
      <c r="G60" s="90"/>
      <c r="H60" s="90"/>
      <c r="I60" s="90"/>
    </row>
    <row r="61" spans="1:9" ht="15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5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5">
      <c r="A63" s="90"/>
      <c r="B63" s="90"/>
      <c r="C63" s="90"/>
      <c r="D63" s="90"/>
      <c r="E63" s="90"/>
      <c r="F63" s="90"/>
      <c r="G63" s="90"/>
      <c r="H63" s="90"/>
      <c r="I63" s="90"/>
    </row>
    <row r="64" spans="1:9" ht="15">
      <c r="A64" s="90"/>
      <c r="B64" s="90"/>
      <c r="C64" s="90"/>
      <c r="D64" s="90"/>
      <c r="E64" s="90"/>
      <c r="F64" s="90"/>
      <c r="G64" s="90"/>
      <c r="H64" s="90"/>
      <c r="I64" s="90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35">
      <selection activeCell="L11" sqref="L11"/>
    </sheetView>
  </sheetViews>
  <sheetFormatPr defaultColWidth="8.88671875" defaultRowHeight="15"/>
  <cols>
    <col min="11" max="11" width="9.8867187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5">
      <c r="A5" s="16" t="s">
        <v>63</v>
      </c>
      <c r="B5" s="4"/>
      <c r="C5" s="4"/>
      <c r="D5" s="5"/>
      <c r="E5" s="5" t="s">
        <v>90</v>
      </c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5">
      <c r="A8" s="4"/>
      <c r="B8" s="16"/>
      <c r="C8" s="16"/>
      <c r="D8" s="16"/>
      <c r="E8" s="16"/>
      <c r="F8" s="16"/>
      <c r="G8" s="16" t="s">
        <v>3</v>
      </c>
      <c r="H8" s="6" t="s">
        <v>43</v>
      </c>
      <c r="I8" s="6" t="s">
        <v>3</v>
      </c>
      <c r="J8" s="16"/>
    </row>
    <row r="9" spans="1:10" ht="1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44</v>
      </c>
      <c r="I9" s="6" t="s">
        <v>45</v>
      </c>
      <c r="J9" s="6" t="s">
        <v>28</v>
      </c>
    </row>
    <row r="10" spans="1:10" ht="1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10" t="s">
        <v>87</v>
      </c>
      <c r="B11" s="62">
        <v>28.81</v>
      </c>
      <c r="C11" s="62">
        <v>31.56</v>
      </c>
      <c r="D11" s="62">
        <v>81.22</v>
      </c>
      <c r="E11" s="62">
        <v>1.46</v>
      </c>
      <c r="F11" s="62">
        <v>3.88</v>
      </c>
      <c r="G11" s="62">
        <v>7.61</v>
      </c>
      <c r="H11" s="62">
        <v>4.96</v>
      </c>
      <c r="I11" s="62">
        <v>15.85</v>
      </c>
      <c r="J11" s="63">
        <f aca="true" t="shared" si="0" ref="J11:J22">SUM(B11:I11)</f>
        <v>175.35000000000002</v>
      </c>
    </row>
    <row r="12" spans="1:10" ht="15">
      <c r="A12" s="1" t="s">
        <v>26</v>
      </c>
      <c r="B12" s="62">
        <v>24.46</v>
      </c>
      <c r="C12" s="62">
        <v>26.8</v>
      </c>
      <c r="D12" s="62">
        <v>68.97</v>
      </c>
      <c r="E12" s="62">
        <v>1.24</v>
      </c>
      <c r="F12" s="62">
        <v>3.29</v>
      </c>
      <c r="G12" s="62">
        <v>6.46</v>
      </c>
      <c r="H12" s="62">
        <v>4.21</v>
      </c>
      <c r="I12" s="62">
        <v>13.46</v>
      </c>
      <c r="J12" s="63">
        <f t="shared" si="0"/>
        <v>148.89000000000001</v>
      </c>
    </row>
    <row r="13" spans="1:10" ht="15">
      <c r="A13" s="1" t="s">
        <v>17</v>
      </c>
      <c r="B13" s="62">
        <v>27.64</v>
      </c>
      <c r="C13" s="62">
        <v>30.28</v>
      </c>
      <c r="D13" s="62">
        <v>77.91</v>
      </c>
      <c r="E13" s="62">
        <f>1.4</f>
        <v>1.4</v>
      </c>
      <c r="F13" s="62">
        <v>3.72</v>
      </c>
      <c r="G13" s="62">
        <v>7.3</v>
      </c>
      <c r="H13" s="62">
        <v>4.76</v>
      </c>
      <c r="I13" s="62">
        <v>15.21</v>
      </c>
      <c r="J13" s="63">
        <f t="shared" si="0"/>
        <v>168.22</v>
      </c>
    </row>
    <row r="14" spans="1:10" ht="15">
      <c r="A14" s="1" t="s">
        <v>18</v>
      </c>
      <c r="B14" s="62">
        <v>30.06</v>
      </c>
      <c r="C14" s="62">
        <v>32.93</v>
      </c>
      <c r="D14" s="62">
        <v>84.74</v>
      </c>
      <c r="E14" s="62">
        <v>1.52</v>
      </c>
      <c r="F14" s="62">
        <v>4.04</v>
      </c>
      <c r="G14" s="62">
        <v>7.94</v>
      </c>
      <c r="H14" s="62">
        <v>5.18</v>
      </c>
      <c r="I14" s="62">
        <v>16.54</v>
      </c>
      <c r="J14" s="63">
        <f t="shared" si="0"/>
        <v>182.95</v>
      </c>
    </row>
    <row r="15" spans="1:10" ht="15">
      <c r="A15" s="12" t="s">
        <v>88</v>
      </c>
      <c r="B15" s="21">
        <v>23.3</v>
      </c>
      <c r="C15" s="21">
        <v>25.53</v>
      </c>
      <c r="D15" s="21">
        <v>65.7</v>
      </c>
      <c r="E15" s="21">
        <v>1.18</v>
      </c>
      <c r="F15" s="21">
        <v>3.13</v>
      </c>
      <c r="G15" s="21">
        <v>6.16</v>
      </c>
      <c r="H15" s="21">
        <v>4.01</v>
      </c>
      <c r="I15" s="21">
        <v>12.82</v>
      </c>
      <c r="J15" s="64">
        <f t="shared" si="0"/>
        <v>141.82999999999998</v>
      </c>
    </row>
    <row r="16" spans="1:10" ht="15">
      <c r="A16" s="4" t="s">
        <v>19</v>
      </c>
      <c r="B16" s="21">
        <v>29.78</v>
      </c>
      <c r="C16" s="21">
        <v>32.63</v>
      </c>
      <c r="D16" s="21">
        <v>83.96</v>
      </c>
      <c r="E16" s="21">
        <v>1.5</v>
      </c>
      <c r="F16" s="21">
        <v>4.01</v>
      </c>
      <c r="G16" s="21">
        <v>7.87</v>
      </c>
      <c r="H16" s="21">
        <v>5.13</v>
      </c>
      <c r="I16" s="21">
        <v>16.39</v>
      </c>
      <c r="J16" s="64">
        <f t="shared" si="0"/>
        <v>181.26999999999998</v>
      </c>
    </row>
    <row r="17" spans="1:10" ht="15">
      <c r="A17" s="15" t="s">
        <v>42</v>
      </c>
      <c r="B17" s="21">
        <v>25.64</v>
      </c>
      <c r="C17" s="21">
        <v>28.09</v>
      </c>
      <c r="D17" s="21">
        <v>72.27</v>
      </c>
      <c r="E17" s="21">
        <v>1.3</v>
      </c>
      <c r="F17" s="21">
        <v>3.45</v>
      </c>
      <c r="G17" s="21">
        <v>6.77</v>
      </c>
      <c r="H17" s="21">
        <v>4.42</v>
      </c>
      <c r="I17" s="21">
        <v>14.11</v>
      </c>
      <c r="J17" s="64">
        <f t="shared" si="0"/>
        <v>156.05</v>
      </c>
    </row>
    <row r="18" spans="1:10" ht="15">
      <c r="A18" s="4" t="s">
        <v>32</v>
      </c>
      <c r="B18" s="62">
        <v>23.86</v>
      </c>
      <c r="C18" s="21">
        <v>26.14</v>
      </c>
      <c r="D18" s="21">
        <v>67.27</v>
      </c>
      <c r="E18" s="21">
        <v>1.21</v>
      </c>
      <c r="F18" s="21">
        <v>3.21</v>
      </c>
      <c r="G18" s="21">
        <v>6.3</v>
      </c>
      <c r="H18" s="21">
        <v>4.11</v>
      </c>
      <c r="I18" s="21">
        <v>13.13</v>
      </c>
      <c r="J18" s="64">
        <f t="shared" si="0"/>
        <v>145.23</v>
      </c>
    </row>
    <row r="19" spans="1:10" ht="15">
      <c r="A19" s="4" t="s">
        <v>21</v>
      </c>
      <c r="B19" s="21">
        <v>27.46</v>
      </c>
      <c r="C19" s="21">
        <v>30.09</v>
      </c>
      <c r="D19" s="21">
        <v>77.43</v>
      </c>
      <c r="E19" s="21">
        <v>1.39</v>
      </c>
      <c r="F19" s="21">
        <v>3.69</v>
      </c>
      <c r="G19" s="21">
        <v>7.25</v>
      </c>
      <c r="H19" s="21">
        <v>4.73</v>
      </c>
      <c r="I19" s="21">
        <v>15.11</v>
      </c>
      <c r="J19" s="64">
        <f t="shared" si="0"/>
        <v>167.14999999999998</v>
      </c>
    </row>
    <row r="20" spans="1:10" ht="15">
      <c r="A20" s="4" t="s">
        <v>22</v>
      </c>
      <c r="B20" s="21">
        <v>25.6</v>
      </c>
      <c r="C20" s="21">
        <v>28.05</v>
      </c>
      <c r="D20" s="21">
        <v>72.17</v>
      </c>
      <c r="E20" s="21">
        <v>1.29</v>
      </c>
      <c r="F20" s="21">
        <v>3.44</v>
      </c>
      <c r="G20" s="21">
        <v>6.76</v>
      </c>
      <c r="H20" s="21">
        <v>4.41</v>
      </c>
      <c r="I20" s="21">
        <v>14.09</v>
      </c>
      <c r="J20" s="64">
        <f t="shared" si="0"/>
        <v>155.81</v>
      </c>
    </row>
    <row r="21" spans="1:10" ht="15">
      <c r="A21" s="4" t="s">
        <v>23</v>
      </c>
      <c r="B21" s="21">
        <v>27.5</v>
      </c>
      <c r="C21" s="21">
        <v>30.13</v>
      </c>
      <c r="D21" s="21">
        <v>77.53</v>
      </c>
      <c r="E21" s="21">
        <v>1.39</v>
      </c>
      <c r="F21" s="21">
        <v>3.7</v>
      </c>
      <c r="G21" s="21">
        <v>7.26</v>
      </c>
      <c r="H21" s="21">
        <v>4.74</v>
      </c>
      <c r="I21" s="21">
        <v>15.13</v>
      </c>
      <c r="J21" s="64">
        <f t="shared" si="0"/>
        <v>167.37999999999997</v>
      </c>
    </row>
    <row r="22" spans="1:11" ht="15">
      <c r="A22" s="1" t="s">
        <v>24</v>
      </c>
      <c r="B22" s="62">
        <v>32.71</v>
      </c>
      <c r="C22" s="62">
        <v>35.83</v>
      </c>
      <c r="D22" s="62">
        <v>92.2</v>
      </c>
      <c r="E22" s="62">
        <v>1.65</v>
      </c>
      <c r="F22" s="62">
        <v>4.4</v>
      </c>
      <c r="G22" s="62">
        <v>8.64</v>
      </c>
      <c r="H22" s="62">
        <v>5.63</v>
      </c>
      <c r="I22" s="62">
        <v>17.995</v>
      </c>
      <c r="J22" s="63">
        <f t="shared" si="0"/>
        <v>199.055</v>
      </c>
      <c r="K22" s="74" t="s">
        <v>99</v>
      </c>
    </row>
    <row r="23" spans="1:11" ht="15">
      <c r="A23" s="16" t="s">
        <v>11</v>
      </c>
      <c r="B23" s="22">
        <f aca="true" t="shared" si="1" ref="B23:J23">SUM(B11:B22)</f>
        <v>326.82</v>
      </c>
      <c r="C23" s="22">
        <f t="shared" si="1"/>
        <v>358.05999999999995</v>
      </c>
      <c r="D23" s="22">
        <f t="shared" si="1"/>
        <v>921.37</v>
      </c>
      <c r="E23" s="22">
        <f t="shared" si="1"/>
        <v>16.529999999999998</v>
      </c>
      <c r="F23" s="22">
        <f t="shared" si="1"/>
        <v>43.96</v>
      </c>
      <c r="G23" s="22">
        <f t="shared" si="1"/>
        <v>86.32000000000001</v>
      </c>
      <c r="H23" s="22">
        <f t="shared" si="1"/>
        <v>56.28999999999999</v>
      </c>
      <c r="I23" s="22">
        <f t="shared" si="1"/>
        <v>179.835</v>
      </c>
      <c r="J23" s="65">
        <f t="shared" si="1"/>
        <v>1989.185</v>
      </c>
      <c r="K23" s="73">
        <v>74.46</v>
      </c>
    </row>
    <row r="24" spans="1:11" ht="15">
      <c r="A24" s="4"/>
      <c r="B24" s="13"/>
      <c r="C24" s="13"/>
      <c r="D24" s="13"/>
      <c r="E24" s="13"/>
      <c r="F24" s="13"/>
      <c r="G24" s="13"/>
      <c r="H24" s="13"/>
      <c r="I24" s="13"/>
      <c r="J24" s="5"/>
      <c r="K24" s="75">
        <f>J23*K23</f>
        <v>148114.71509999997</v>
      </c>
    </row>
    <row r="25" spans="1:10" ht="15">
      <c r="A25" s="4" t="s">
        <v>39</v>
      </c>
      <c r="B25" s="18">
        <f>B23/$J$23</f>
        <v>0.16429844383503797</v>
      </c>
      <c r="C25" s="18">
        <f aca="true" t="shared" si="2" ref="C25:I25">C23/$J$23</f>
        <v>0.1800033682136151</v>
      </c>
      <c r="D25" s="18">
        <f t="shared" si="2"/>
        <v>0.46318969829352225</v>
      </c>
      <c r="E25" s="18">
        <f t="shared" si="2"/>
        <v>0.008309935978805388</v>
      </c>
      <c r="F25" s="18">
        <f t="shared" si="2"/>
        <v>0.022099503062812158</v>
      </c>
      <c r="G25" s="18">
        <f t="shared" si="2"/>
        <v>0.04339465660559476</v>
      </c>
      <c r="H25" s="18">
        <f t="shared" si="2"/>
        <v>0.02829802155153995</v>
      </c>
      <c r="I25" s="18">
        <f t="shared" si="2"/>
        <v>0.09040637245907245</v>
      </c>
      <c r="J25" s="14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5"/>
    </row>
    <row r="28" spans="1:10" ht="15">
      <c r="A28" s="16" t="s">
        <v>101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">
      <c r="A29" s="4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">
      <c r="A30" s="15" t="s">
        <v>89</v>
      </c>
      <c r="B30" s="20">
        <v>174</v>
      </c>
      <c r="C30" s="20">
        <v>177.32</v>
      </c>
      <c r="D30" s="20">
        <v>201.98</v>
      </c>
      <c r="E30" s="20">
        <v>1594.93</v>
      </c>
      <c r="F30" s="20">
        <v>238</v>
      </c>
      <c r="G30" s="20">
        <v>686.51</v>
      </c>
      <c r="H30" s="20">
        <v>466.88</v>
      </c>
      <c r="I30" s="19">
        <v>123.29</v>
      </c>
      <c r="J30" s="19"/>
    </row>
    <row r="31" spans="1:10" ht="15">
      <c r="A31" s="4" t="s">
        <v>26</v>
      </c>
      <c r="B31" s="20">
        <v>175</v>
      </c>
      <c r="C31" s="20">
        <v>152.23</v>
      </c>
      <c r="D31" s="20">
        <v>197.69</v>
      </c>
      <c r="E31" s="20">
        <v>1586.55</v>
      </c>
      <c r="F31" s="20">
        <v>232.14</v>
      </c>
      <c r="G31" s="20">
        <v>690</v>
      </c>
      <c r="H31" s="20">
        <v>466.19</v>
      </c>
      <c r="I31" s="19">
        <v>123.29</v>
      </c>
      <c r="J31" s="19"/>
    </row>
    <row r="32" spans="1:10" ht="15">
      <c r="A32" s="4" t="s">
        <v>17</v>
      </c>
      <c r="B32" s="20">
        <v>105</v>
      </c>
      <c r="C32" s="20">
        <v>96.19</v>
      </c>
      <c r="D32" s="20">
        <v>144.04</v>
      </c>
      <c r="E32" s="20">
        <v>1431.47</v>
      </c>
      <c r="F32" s="20">
        <v>232.26</v>
      </c>
      <c r="G32" s="20">
        <v>560</v>
      </c>
      <c r="H32" s="20">
        <v>460</v>
      </c>
      <c r="I32" s="19">
        <v>123.29</v>
      </c>
      <c r="J32" s="19"/>
    </row>
    <row r="33" spans="1:10" ht="15">
      <c r="A33" s="4" t="s">
        <v>18</v>
      </c>
      <c r="B33" s="20">
        <v>105.91</v>
      </c>
      <c r="C33" s="20">
        <v>105.91</v>
      </c>
      <c r="D33" s="20">
        <v>153.26</v>
      </c>
      <c r="E33" s="20">
        <v>1469.02</v>
      </c>
      <c r="F33" s="20">
        <v>252.87</v>
      </c>
      <c r="G33" s="20">
        <v>535.27</v>
      </c>
      <c r="H33" s="20">
        <v>457.84</v>
      </c>
      <c r="I33" s="19">
        <v>123.29</v>
      </c>
      <c r="J33" s="19"/>
    </row>
    <row r="34" spans="1:10" ht="15">
      <c r="A34" s="12" t="s">
        <v>88</v>
      </c>
      <c r="B34" s="20">
        <v>110.38</v>
      </c>
      <c r="C34" s="19">
        <v>110.38</v>
      </c>
      <c r="D34" s="19">
        <v>159.49</v>
      </c>
      <c r="E34" s="19">
        <v>1617.4</v>
      </c>
      <c r="F34" s="19">
        <v>253.35</v>
      </c>
      <c r="G34" s="19">
        <v>564.19</v>
      </c>
      <c r="H34" s="19">
        <v>457.03</v>
      </c>
      <c r="I34" s="19">
        <v>123.29</v>
      </c>
      <c r="J34" s="19"/>
    </row>
    <row r="35" spans="1:10" ht="15">
      <c r="A35" s="4" t="s">
        <v>19</v>
      </c>
      <c r="B35" s="19">
        <v>120.29</v>
      </c>
      <c r="C35" s="19">
        <v>120.29</v>
      </c>
      <c r="D35" s="19">
        <v>167.59</v>
      </c>
      <c r="E35" s="19">
        <v>1540.34</v>
      </c>
      <c r="F35" s="19">
        <v>223.21</v>
      </c>
      <c r="G35" s="19">
        <v>570.85</v>
      </c>
      <c r="H35" s="19">
        <v>500</v>
      </c>
      <c r="I35" s="19">
        <v>123.29</v>
      </c>
      <c r="J35" s="19"/>
    </row>
    <row r="36" spans="1:10" ht="15">
      <c r="A36" s="15" t="s">
        <v>42</v>
      </c>
      <c r="B36" s="19">
        <v>126.93</v>
      </c>
      <c r="C36" s="19">
        <v>126.93</v>
      </c>
      <c r="D36" s="19">
        <v>162.71</v>
      </c>
      <c r="E36" s="19">
        <v>1527.38</v>
      </c>
      <c r="F36" s="19">
        <v>231.48</v>
      </c>
      <c r="G36" s="19">
        <v>612.7</v>
      </c>
      <c r="H36" s="19">
        <v>516.26</v>
      </c>
      <c r="I36" s="20">
        <v>130.35</v>
      </c>
      <c r="J36" s="19"/>
    </row>
    <row r="37" spans="1:10" ht="15">
      <c r="A37" s="4" t="s">
        <v>32</v>
      </c>
      <c r="B37" s="19">
        <v>125.6</v>
      </c>
      <c r="C37" s="19">
        <v>125.6</v>
      </c>
      <c r="D37" s="19">
        <v>155.64</v>
      </c>
      <c r="E37" s="19">
        <v>1490.77</v>
      </c>
      <c r="F37" s="19">
        <v>230.3</v>
      </c>
      <c r="G37" s="19">
        <v>566.53</v>
      </c>
      <c r="H37" s="19">
        <v>553.67</v>
      </c>
      <c r="I37" s="19">
        <v>130.35</v>
      </c>
      <c r="J37" s="19"/>
    </row>
    <row r="38" spans="1:10" ht="15">
      <c r="A38" s="4" t="s">
        <v>21</v>
      </c>
      <c r="B38" s="19">
        <v>120.5</v>
      </c>
      <c r="C38" s="19">
        <v>120.5</v>
      </c>
      <c r="D38" s="19">
        <v>153.28</v>
      </c>
      <c r="E38" s="19">
        <v>1420.15</v>
      </c>
      <c r="F38" s="19">
        <v>239.63</v>
      </c>
      <c r="G38" s="19">
        <v>539.25</v>
      </c>
      <c r="H38" s="19">
        <v>544.5</v>
      </c>
      <c r="I38" s="19">
        <v>130.35</v>
      </c>
      <c r="J38" s="19"/>
    </row>
    <row r="39" spans="1:10" ht="15">
      <c r="A39" s="4" t="s">
        <v>22</v>
      </c>
      <c r="B39" s="19">
        <v>118.7</v>
      </c>
      <c r="C39" s="19">
        <v>118.7</v>
      </c>
      <c r="D39" s="19">
        <v>151.9</v>
      </c>
      <c r="E39" s="19">
        <v>1400</v>
      </c>
      <c r="F39" s="19">
        <v>112.1</v>
      </c>
      <c r="G39" s="19">
        <v>431.1</v>
      </c>
      <c r="H39" s="19">
        <v>400</v>
      </c>
      <c r="I39" s="19">
        <v>130.35</v>
      </c>
      <c r="J39" s="19"/>
    </row>
    <row r="40" spans="1:10" ht="15">
      <c r="A40" s="4" t="s">
        <v>23</v>
      </c>
      <c r="B40" s="19">
        <v>105.63</v>
      </c>
      <c r="C40" s="19">
        <v>105.63</v>
      </c>
      <c r="D40" s="19">
        <v>145.5</v>
      </c>
      <c r="E40" s="19">
        <v>1426.66</v>
      </c>
      <c r="F40" s="19">
        <v>126.35</v>
      </c>
      <c r="G40" s="19">
        <v>432.51</v>
      </c>
      <c r="H40" s="19">
        <v>352.69</v>
      </c>
      <c r="I40" s="19">
        <v>130.25</v>
      </c>
      <c r="J40" s="19"/>
    </row>
    <row r="41" spans="1:10" ht="15">
      <c r="A41" s="4" t="s">
        <v>24</v>
      </c>
      <c r="B41" s="19">
        <v>74.35</v>
      </c>
      <c r="C41" s="19">
        <v>74.35</v>
      </c>
      <c r="D41" s="19">
        <v>117.17</v>
      </c>
      <c r="E41" s="19">
        <v>1320.64</v>
      </c>
      <c r="F41" s="19">
        <v>240</v>
      </c>
      <c r="G41" s="19">
        <v>506.75</v>
      </c>
      <c r="H41" s="19">
        <v>476.54</v>
      </c>
      <c r="I41" s="19">
        <v>130.35</v>
      </c>
      <c r="J41" s="19"/>
    </row>
    <row r="42" spans="1:10" ht="1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16" t="s">
        <v>12</v>
      </c>
      <c r="B43" s="72"/>
      <c r="C43" s="72"/>
      <c r="D43" s="72"/>
      <c r="E43" s="72"/>
      <c r="F43" s="72"/>
      <c r="G43" s="16" t="s">
        <v>3</v>
      </c>
      <c r="H43" s="6" t="s">
        <v>43</v>
      </c>
      <c r="I43" s="6" t="s">
        <v>3</v>
      </c>
      <c r="J43" s="72"/>
    </row>
    <row r="44" spans="1:10" ht="1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44</v>
      </c>
      <c r="I44" s="6" t="s">
        <v>45</v>
      </c>
      <c r="J44" s="6" t="s">
        <v>28</v>
      </c>
    </row>
    <row r="45" spans="1:10" ht="15">
      <c r="A45" s="15" t="s">
        <v>87</v>
      </c>
      <c r="B45" s="21">
        <f aca="true" t="shared" si="3" ref="B45:B56">B11*B30</f>
        <v>5012.94</v>
      </c>
      <c r="C45" s="21">
        <f aca="true" t="shared" si="4" ref="C45:H56">+C11*C30</f>
        <v>5596.2192</v>
      </c>
      <c r="D45" s="21">
        <f t="shared" si="4"/>
        <v>16404.815599999998</v>
      </c>
      <c r="E45" s="21">
        <f t="shared" si="4"/>
        <v>2328.5978</v>
      </c>
      <c r="F45" s="21">
        <f t="shared" si="4"/>
        <v>923.4399999999999</v>
      </c>
      <c r="G45" s="21">
        <f t="shared" si="4"/>
        <v>5224.341100000001</v>
      </c>
      <c r="H45" s="21">
        <f t="shared" si="4"/>
        <v>2315.7248</v>
      </c>
      <c r="I45" s="21">
        <f aca="true" t="shared" si="5" ref="I45:I56">+I11*-I30</f>
        <v>-1954.1465</v>
      </c>
      <c r="J45" s="21">
        <f aca="true" t="shared" si="6" ref="J45:J56">SUM(B45:I45)</f>
        <v>35851.931999999986</v>
      </c>
    </row>
    <row r="46" spans="1:10" ht="15">
      <c r="A46" s="4" t="s">
        <v>26</v>
      </c>
      <c r="B46" s="21">
        <f t="shared" si="3"/>
        <v>4280.5</v>
      </c>
      <c r="C46" s="21">
        <f t="shared" si="4"/>
        <v>4079.7639999999997</v>
      </c>
      <c r="D46" s="21">
        <f t="shared" si="4"/>
        <v>13634.6793</v>
      </c>
      <c r="E46" s="21">
        <f t="shared" si="4"/>
        <v>1967.322</v>
      </c>
      <c r="F46" s="21">
        <f t="shared" si="4"/>
        <v>763.7406</v>
      </c>
      <c r="G46" s="21">
        <f t="shared" si="4"/>
        <v>4457.4</v>
      </c>
      <c r="H46" s="21">
        <f t="shared" si="4"/>
        <v>1962.6598999999999</v>
      </c>
      <c r="I46" s="21">
        <f t="shared" si="5"/>
        <v>-1659.4834000000003</v>
      </c>
      <c r="J46" s="21">
        <f t="shared" si="6"/>
        <v>29486.582399999996</v>
      </c>
    </row>
    <row r="47" spans="1:10" ht="15">
      <c r="A47" s="4" t="s">
        <v>17</v>
      </c>
      <c r="B47" s="21">
        <f t="shared" si="3"/>
        <v>2902.2000000000003</v>
      </c>
      <c r="C47" s="21">
        <f t="shared" si="4"/>
        <v>2912.6332</v>
      </c>
      <c r="D47" s="21">
        <f t="shared" si="4"/>
        <v>11222.156399999998</v>
      </c>
      <c r="E47" s="21">
        <f t="shared" si="4"/>
        <v>2004.058</v>
      </c>
      <c r="F47" s="21">
        <f t="shared" si="4"/>
        <v>864.0072</v>
      </c>
      <c r="G47" s="21">
        <f t="shared" si="4"/>
        <v>4088</v>
      </c>
      <c r="H47" s="21">
        <f t="shared" si="4"/>
        <v>2189.6</v>
      </c>
      <c r="I47" s="21">
        <f t="shared" si="5"/>
        <v>-1875.2409000000002</v>
      </c>
      <c r="J47" s="21">
        <f t="shared" si="6"/>
        <v>24307.4139</v>
      </c>
    </row>
    <row r="48" spans="1:10" ht="15">
      <c r="A48" s="4" t="s">
        <v>18</v>
      </c>
      <c r="B48" s="21">
        <f t="shared" si="3"/>
        <v>3183.6546</v>
      </c>
      <c r="C48" s="21">
        <f t="shared" si="4"/>
        <v>3487.6162999999997</v>
      </c>
      <c r="D48" s="21">
        <f t="shared" si="4"/>
        <v>12987.252399999998</v>
      </c>
      <c r="E48" s="21">
        <f t="shared" si="4"/>
        <v>2232.9104</v>
      </c>
      <c r="F48" s="21">
        <f t="shared" si="4"/>
        <v>1021.5948000000001</v>
      </c>
      <c r="G48" s="21">
        <f t="shared" si="4"/>
        <v>4250.0438</v>
      </c>
      <c r="H48" s="21">
        <f t="shared" si="4"/>
        <v>2371.6112</v>
      </c>
      <c r="I48" s="21">
        <f t="shared" si="5"/>
        <v>-2039.2166</v>
      </c>
      <c r="J48" s="21">
        <f t="shared" si="6"/>
        <v>27495.466899999996</v>
      </c>
    </row>
    <row r="49" spans="1:10" ht="15">
      <c r="A49" s="12" t="s">
        <v>88</v>
      </c>
      <c r="B49" s="21">
        <f t="shared" si="3"/>
        <v>2571.854</v>
      </c>
      <c r="C49" s="21">
        <f t="shared" si="4"/>
        <v>2818.0014</v>
      </c>
      <c r="D49" s="21">
        <f t="shared" si="4"/>
        <v>10478.493</v>
      </c>
      <c r="E49" s="21">
        <f t="shared" si="4"/>
        <v>1908.532</v>
      </c>
      <c r="F49" s="21">
        <f t="shared" si="4"/>
        <v>792.9855</v>
      </c>
      <c r="G49" s="21">
        <f t="shared" si="4"/>
        <v>3475.4104</v>
      </c>
      <c r="H49" s="21">
        <f t="shared" si="4"/>
        <v>1832.6902999999998</v>
      </c>
      <c r="I49" s="21">
        <f t="shared" si="5"/>
        <v>-1580.5778</v>
      </c>
      <c r="J49" s="21">
        <f t="shared" si="6"/>
        <v>22297.3888</v>
      </c>
    </row>
    <row r="50" spans="1:10" ht="15">
      <c r="A50" s="4" t="s">
        <v>19</v>
      </c>
      <c r="B50" s="21">
        <f t="shared" si="3"/>
        <v>3582.2362000000003</v>
      </c>
      <c r="C50" s="21">
        <f t="shared" si="4"/>
        <v>3925.0627000000004</v>
      </c>
      <c r="D50" s="21">
        <f t="shared" si="4"/>
        <v>14070.856399999999</v>
      </c>
      <c r="E50" s="21">
        <f t="shared" si="4"/>
        <v>2310.5099999999998</v>
      </c>
      <c r="F50" s="21">
        <f t="shared" si="4"/>
        <v>895.0721</v>
      </c>
      <c r="G50" s="21">
        <f t="shared" si="4"/>
        <v>4492.5895</v>
      </c>
      <c r="H50" s="21">
        <f t="shared" si="4"/>
        <v>2565</v>
      </c>
      <c r="I50" s="21">
        <f t="shared" si="5"/>
        <v>-2020.7231000000002</v>
      </c>
      <c r="J50" s="21">
        <f t="shared" si="6"/>
        <v>29820.6038</v>
      </c>
    </row>
    <row r="51" spans="1:10" ht="15">
      <c r="A51" s="15" t="s">
        <v>42</v>
      </c>
      <c r="B51" s="21">
        <f t="shared" si="3"/>
        <v>3254.4852</v>
      </c>
      <c r="C51" s="21">
        <f t="shared" si="4"/>
        <v>3565.4637000000002</v>
      </c>
      <c r="D51" s="21">
        <f t="shared" si="4"/>
        <v>11759.0517</v>
      </c>
      <c r="E51" s="21">
        <f t="shared" si="4"/>
        <v>1985.5940000000003</v>
      </c>
      <c r="F51" s="21">
        <f t="shared" si="4"/>
        <v>798.606</v>
      </c>
      <c r="G51" s="21">
        <f t="shared" si="4"/>
        <v>4147.979</v>
      </c>
      <c r="H51" s="21">
        <f t="shared" si="4"/>
        <v>2281.8692</v>
      </c>
      <c r="I51" s="21">
        <f t="shared" si="5"/>
        <v>-1839.2385</v>
      </c>
      <c r="J51" s="21">
        <f t="shared" si="6"/>
        <v>25953.8103</v>
      </c>
    </row>
    <row r="52" spans="1:10" ht="15">
      <c r="A52" s="4" t="s">
        <v>32</v>
      </c>
      <c r="B52" s="21">
        <f t="shared" si="3"/>
        <v>2996.816</v>
      </c>
      <c r="C52" s="21">
        <f t="shared" si="4"/>
        <v>3283.1839999999997</v>
      </c>
      <c r="D52" s="21">
        <f t="shared" si="4"/>
        <v>10469.902799999998</v>
      </c>
      <c r="E52" s="21">
        <f t="shared" si="4"/>
        <v>1803.8317</v>
      </c>
      <c r="F52" s="21">
        <f t="shared" si="4"/>
        <v>739.263</v>
      </c>
      <c r="G52" s="21">
        <f t="shared" si="4"/>
        <v>3569.1389999999997</v>
      </c>
      <c r="H52" s="21">
        <f t="shared" si="4"/>
        <v>2275.5837</v>
      </c>
      <c r="I52" s="21">
        <f t="shared" si="5"/>
        <v>-1711.4955</v>
      </c>
      <c r="J52" s="21">
        <f t="shared" si="6"/>
        <v>23426.22469999999</v>
      </c>
    </row>
    <row r="53" spans="1:10" ht="15">
      <c r="A53" s="4" t="s">
        <v>21</v>
      </c>
      <c r="B53" s="21">
        <f t="shared" si="3"/>
        <v>3308.9300000000003</v>
      </c>
      <c r="C53" s="21">
        <f t="shared" si="4"/>
        <v>3625.845</v>
      </c>
      <c r="D53" s="21">
        <f t="shared" si="4"/>
        <v>11868.470400000002</v>
      </c>
      <c r="E53" s="21">
        <f t="shared" si="4"/>
        <v>1974.0085</v>
      </c>
      <c r="F53" s="21">
        <f t="shared" si="4"/>
        <v>884.2347</v>
      </c>
      <c r="G53" s="21">
        <f t="shared" si="4"/>
        <v>3909.5625</v>
      </c>
      <c r="H53" s="21">
        <f t="shared" si="4"/>
        <v>2575.485</v>
      </c>
      <c r="I53" s="21">
        <f t="shared" si="5"/>
        <v>-1969.5884999999998</v>
      </c>
      <c r="J53" s="21">
        <f t="shared" si="6"/>
        <v>26176.9476</v>
      </c>
    </row>
    <row r="54" spans="1:10" ht="15">
      <c r="A54" s="4" t="s">
        <v>22</v>
      </c>
      <c r="B54" s="21">
        <f t="shared" si="3"/>
        <v>3038.7200000000003</v>
      </c>
      <c r="C54" s="21">
        <f t="shared" si="4"/>
        <v>3329.5350000000003</v>
      </c>
      <c r="D54" s="21">
        <f t="shared" si="4"/>
        <v>10962.623000000001</v>
      </c>
      <c r="E54" s="21">
        <f t="shared" si="4"/>
        <v>1806</v>
      </c>
      <c r="F54" s="21">
        <f t="shared" si="4"/>
        <v>385.62399999999997</v>
      </c>
      <c r="G54" s="21">
        <f t="shared" si="4"/>
        <v>2914.236</v>
      </c>
      <c r="H54" s="21">
        <f t="shared" si="4"/>
        <v>1764</v>
      </c>
      <c r="I54" s="21">
        <f t="shared" si="5"/>
        <v>-1836.6315</v>
      </c>
      <c r="J54" s="21">
        <f t="shared" si="6"/>
        <v>22364.106500000005</v>
      </c>
    </row>
    <row r="55" spans="1:10" ht="15">
      <c r="A55" s="4" t="s">
        <v>23</v>
      </c>
      <c r="B55" s="21">
        <f t="shared" si="3"/>
        <v>2904.825</v>
      </c>
      <c r="C55" s="21">
        <f t="shared" si="4"/>
        <v>3182.6319</v>
      </c>
      <c r="D55" s="21">
        <f t="shared" si="4"/>
        <v>11280.615</v>
      </c>
      <c r="E55" s="21">
        <f t="shared" si="4"/>
        <v>1983.0574</v>
      </c>
      <c r="F55" s="21">
        <f t="shared" si="4"/>
        <v>467.495</v>
      </c>
      <c r="G55" s="21">
        <f t="shared" si="4"/>
        <v>3140.0226</v>
      </c>
      <c r="H55" s="21">
        <f t="shared" si="4"/>
        <v>1671.7506</v>
      </c>
      <c r="I55" s="21">
        <f t="shared" si="5"/>
        <v>-1970.6825000000001</v>
      </c>
      <c r="J55" s="21">
        <f t="shared" si="6"/>
        <v>22659.715</v>
      </c>
    </row>
    <row r="56" spans="1:10" ht="15">
      <c r="A56" s="4" t="s">
        <v>24</v>
      </c>
      <c r="B56" s="21">
        <f t="shared" si="3"/>
        <v>2431.9885</v>
      </c>
      <c r="C56" s="21">
        <f t="shared" si="4"/>
        <v>2663.9604999999997</v>
      </c>
      <c r="D56" s="21">
        <f t="shared" si="4"/>
        <v>10803.074</v>
      </c>
      <c r="E56" s="21">
        <f t="shared" si="4"/>
        <v>2179.056</v>
      </c>
      <c r="F56" s="21">
        <f t="shared" si="4"/>
        <v>1056</v>
      </c>
      <c r="G56" s="21">
        <f t="shared" si="4"/>
        <v>4378.320000000001</v>
      </c>
      <c r="H56" s="21">
        <f t="shared" si="4"/>
        <v>2682.9202</v>
      </c>
      <c r="I56" s="21">
        <f t="shared" si="5"/>
        <v>-2345.64825</v>
      </c>
      <c r="J56" s="21">
        <f t="shared" si="6"/>
        <v>23849.67095</v>
      </c>
    </row>
    <row r="57" spans="1:10" ht="15">
      <c r="A57" s="16" t="s">
        <v>30</v>
      </c>
      <c r="B57" s="22">
        <f aca="true" t="shared" si="7" ref="B57:J57">SUM(B45:B56)</f>
        <v>39469.14949999999</v>
      </c>
      <c r="C57" s="22">
        <f t="shared" si="7"/>
        <v>42469.916900000004</v>
      </c>
      <c r="D57" s="22">
        <f t="shared" si="7"/>
        <v>145941.99</v>
      </c>
      <c r="E57" s="22">
        <f t="shared" si="7"/>
        <v>24483.4778</v>
      </c>
      <c r="F57" s="22">
        <f t="shared" si="7"/>
        <v>9592.062899999999</v>
      </c>
      <c r="G57" s="22">
        <f t="shared" si="7"/>
        <v>48047.0439</v>
      </c>
      <c r="H57" s="22">
        <f t="shared" si="7"/>
        <v>26488.8949</v>
      </c>
      <c r="I57" s="22">
        <f t="shared" si="7"/>
        <v>-22802.673049999998</v>
      </c>
      <c r="J57" s="22">
        <f t="shared" si="7"/>
        <v>313689.86285000003</v>
      </c>
    </row>
    <row r="58" spans="1:10" ht="1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3"/>
      <c r="B60" s="24"/>
      <c r="C60" s="24"/>
      <c r="D60" s="24"/>
      <c r="E60" s="24"/>
      <c r="F60" s="24"/>
      <c r="G60" s="24"/>
      <c r="H60" s="24"/>
      <c r="I60" s="24"/>
      <c r="J60" s="24" t="s">
        <v>3</v>
      </c>
    </row>
  </sheetData>
  <sheetProtection/>
  <printOptions/>
  <pageMargins left="0.75" right="0.75" top="1" bottom="1" header="0.5" footer="0.5"/>
  <pageSetup horizontalDpi="600" verticalDpi="600" orientation="portrait" scale="74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56">
      <selection activeCell="I67" sqref="I67"/>
    </sheetView>
  </sheetViews>
  <sheetFormatPr defaultColWidth="8.88671875" defaultRowHeight="15"/>
  <cols>
    <col min="1" max="1" width="1.88671875" style="0" customWidth="1"/>
    <col min="8" max="8" width="10.88671875" style="0" bestFit="1" customWidth="1"/>
    <col min="12" max="12" width="10.88671875" style="0" bestFit="1" customWidth="1"/>
  </cols>
  <sheetData>
    <row r="1" spans="1:9" ht="1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78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6"/>
      <c r="F8" s="25"/>
      <c r="G8" s="25"/>
      <c r="H8" s="25"/>
      <c r="I8" s="25"/>
    </row>
    <row r="9" spans="1:9" ht="15">
      <c r="A9" s="2"/>
      <c r="B9" s="54" t="s">
        <v>96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</row>
    <row r="12" spans="1:9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</row>
    <row r="13" spans="1:9" ht="15">
      <c r="A13" s="2"/>
      <c r="B13" s="57" t="s">
        <v>59</v>
      </c>
      <c r="C13" s="25"/>
      <c r="D13" s="33">
        <v>9652</v>
      </c>
      <c r="E13" s="33">
        <f>'3rd yard actual'!J45</f>
        <v>35851.931999999986</v>
      </c>
      <c r="F13" s="34"/>
      <c r="G13" s="25"/>
      <c r="H13" s="44"/>
      <c r="I13" s="36"/>
    </row>
    <row r="14" spans="1:9" ht="15">
      <c r="A14" s="2"/>
      <c r="B14" s="58" t="s">
        <v>38</v>
      </c>
      <c r="C14" s="25"/>
      <c r="D14" s="33">
        <v>9586</v>
      </c>
      <c r="E14" s="33">
        <f>'3rd yard actual'!J46</f>
        <v>29486.582399999996</v>
      </c>
      <c r="F14" s="34"/>
      <c r="G14" s="31"/>
      <c r="H14" s="44"/>
      <c r="I14" s="36"/>
    </row>
    <row r="15" spans="1:9" ht="15">
      <c r="A15" s="2"/>
      <c r="B15" s="56" t="s">
        <v>17</v>
      </c>
      <c r="C15" s="25"/>
      <c r="D15" s="33">
        <v>9097</v>
      </c>
      <c r="E15" s="33">
        <f>'3rd yard actual'!J47</f>
        <v>24307.4139</v>
      </c>
      <c r="F15" s="34"/>
      <c r="G15" s="25"/>
      <c r="H15" s="44"/>
      <c r="I15" s="36"/>
    </row>
    <row r="16" spans="1:9" ht="15">
      <c r="A16" s="2"/>
      <c r="B16" s="56" t="s">
        <v>18</v>
      </c>
      <c r="C16" s="25"/>
      <c r="D16" s="33">
        <v>9091</v>
      </c>
      <c r="E16" s="33">
        <f>'3rd yard actual'!J48</f>
        <v>27495.466899999996</v>
      </c>
      <c r="F16" s="34"/>
      <c r="G16" s="25"/>
      <c r="H16" s="44"/>
      <c r="I16" s="36"/>
    </row>
    <row r="17" spans="1:9" ht="15">
      <c r="A17" s="2"/>
      <c r="B17" s="57" t="s">
        <v>95</v>
      </c>
      <c r="C17" s="25"/>
      <c r="D17" s="33">
        <v>9064</v>
      </c>
      <c r="E17" s="33">
        <f>'3rd yard actual'!J49</f>
        <v>22297.3888</v>
      </c>
      <c r="F17" s="34"/>
      <c r="G17" s="25"/>
      <c r="H17" s="44"/>
      <c r="I17" s="36"/>
    </row>
    <row r="18" spans="1:9" ht="15">
      <c r="A18" s="2"/>
      <c r="B18" s="56" t="s">
        <v>19</v>
      </c>
      <c r="C18" s="25"/>
      <c r="D18" s="33">
        <v>9073</v>
      </c>
      <c r="E18" s="33">
        <f>'3rd yard actual'!J50</f>
        <v>29820.6038</v>
      </c>
      <c r="F18" s="34"/>
      <c r="G18" s="87"/>
      <c r="H18" s="44"/>
      <c r="I18" s="36"/>
    </row>
    <row r="19" spans="1:9" ht="15">
      <c r="A19" s="2"/>
      <c r="B19" s="56" t="s">
        <v>20</v>
      </c>
      <c r="C19" s="25"/>
      <c r="D19" s="33">
        <v>9117</v>
      </c>
      <c r="E19" s="33">
        <f>'3rd yard actual'!J51</f>
        <v>25953.8103</v>
      </c>
      <c r="F19" s="34"/>
      <c r="G19" s="87"/>
      <c r="H19" s="44"/>
      <c r="I19" s="36"/>
    </row>
    <row r="20" spans="1:9" ht="15">
      <c r="A20" s="2"/>
      <c r="B20" s="56" t="s">
        <v>32</v>
      </c>
      <c r="C20" s="25"/>
      <c r="D20" s="33">
        <v>9094</v>
      </c>
      <c r="E20" s="33">
        <f>'3rd yard actual'!J52</f>
        <v>23426.22469999999</v>
      </c>
      <c r="F20" s="34"/>
      <c r="G20" s="87"/>
      <c r="H20" s="44"/>
      <c r="I20" s="36"/>
    </row>
    <row r="21" spans="1:9" ht="15">
      <c r="A21" s="2"/>
      <c r="B21" s="56" t="s">
        <v>21</v>
      </c>
      <c r="C21" s="25"/>
      <c r="D21" s="33">
        <v>9499</v>
      </c>
      <c r="E21" s="33">
        <f>'3rd yard actual'!J53</f>
        <v>26176.9476</v>
      </c>
      <c r="F21" s="34"/>
      <c r="G21" s="87"/>
      <c r="H21" s="44"/>
      <c r="I21" s="60"/>
    </row>
    <row r="22" spans="1:9" ht="15">
      <c r="A22" s="2"/>
      <c r="B22" s="56" t="s">
        <v>22</v>
      </c>
      <c r="C22" s="25"/>
      <c r="D22" s="33">
        <v>9436</v>
      </c>
      <c r="E22" s="33">
        <f>'3rd yard actual'!J54</f>
        <v>22364.106500000005</v>
      </c>
      <c r="F22" s="34"/>
      <c r="G22" s="87"/>
      <c r="H22" s="44"/>
      <c r="I22" s="60"/>
    </row>
    <row r="23" spans="1:9" ht="15">
      <c r="A23" s="2"/>
      <c r="B23" s="56" t="s">
        <v>23</v>
      </c>
      <c r="C23" s="25"/>
      <c r="D23" s="33">
        <v>9923</v>
      </c>
      <c r="E23" s="33">
        <f>'3rd yard actual'!J55</f>
        <v>22659.715</v>
      </c>
      <c r="F23" s="34"/>
      <c r="G23" s="87"/>
      <c r="H23" s="67"/>
      <c r="I23" s="60"/>
    </row>
    <row r="24" spans="1:9" ht="15">
      <c r="A24" s="2"/>
      <c r="B24" s="56" t="s">
        <v>24</v>
      </c>
      <c r="C24" s="25"/>
      <c r="D24" s="33">
        <v>9580</v>
      </c>
      <c r="E24" s="33">
        <f>'3rd yard actual'!J56</f>
        <v>23849.67095</v>
      </c>
      <c r="F24" s="34"/>
      <c r="G24" s="36"/>
      <c r="H24" s="36"/>
      <c r="I24" s="60"/>
    </row>
    <row r="25" spans="1:9" ht="15">
      <c r="A25" s="2"/>
      <c r="B25" s="56" t="s">
        <v>33</v>
      </c>
      <c r="C25" s="25"/>
      <c r="D25" s="70">
        <f>SUM(D13:D24)</f>
        <v>112212</v>
      </c>
      <c r="E25" s="70">
        <f>SUM(E13:E24)</f>
        <v>313689.86285000003</v>
      </c>
      <c r="F25" s="25"/>
      <c r="G25" s="36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8"/>
      <c r="H26" s="32"/>
      <c r="I26" s="25"/>
    </row>
    <row r="27" spans="1:9" ht="15">
      <c r="A27" s="2"/>
      <c r="B27" s="56" t="s">
        <v>98</v>
      </c>
      <c r="C27" s="25"/>
      <c r="D27" s="25"/>
      <c r="E27" s="25"/>
      <c r="F27" s="39"/>
      <c r="G27" s="25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91</v>
      </c>
      <c r="F29" s="41">
        <v>1.45</v>
      </c>
      <c r="G29" s="25"/>
      <c r="H29" s="37"/>
      <c r="I29" s="25"/>
    </row>
    <row r="30" spans="1:9" ht="15">
      <c r="A30" s="2"/>
      <c r="B30" s="56" t="s">
        <v>34</v>
      </c>
      <c r="C30" s="25"/>
      <c r="D30" s="25"/>
      <c r="E30" s="26" t="s">
        <v>107</v>
      </c>
      <c r="F30" s="41">
        <v>1.77</v>
      </c>
      <c r="G30" s="25"/>
      <c r="H30" s="37"/>
      <c r="I30" s="25"/>
    </row>
    <row r="31" spans="1:9" ht="15">
      <c r="A31" s="2"/>
      <c r="B31" s="52"/>
      <c r="C31" s="25"/>
      <c r="D31" s="25"/>
      <c r="E31" s="25"/>
      <c r="F31" s="86"/>
      <c r="G31" s="31"/>
      <c r="H31" s="37"/>
      <c r="I31" s="37"/>
    </row>
    <row r="32" spans="1:9" ht="15">
      <c r="A32" s="2"/>
      <c r="B32" s="56" t="s">
        <v>97</v>
      </c>
      <c r="C32" s="25"/>
      <c r="D32" s="25"/>
      <c r="E32" s="25"/>
      <c r="F32" s="25"/>
      <c r="G32" s="43"/>
      <c r="H32" s="48">
        <f>(D13+D14)*F29+SUM(D15:D24)*F30</f>
        <v>192459.08000000002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313689.86285000003</v>
      </c>
      <c r="H34" s="25"/>
      <c r="I34" s="25"/>
    </row>
    <row r="35" spans="1:9" ht="15">
      <c r="A35" s="2"/>
      <c r="B35" s="56" t="s">
        <v>46</v>
      </c>
      <c r="C35" s="25"/>
      <c r="D35" s="25"/>
      <c r="E35" s="25"/>
      <c r="F35" s="25"/>
      <c r="G35" s="43">
        <v>0</v>
      </c>
      <c r="H35" s="37"/>
      <c r="I35" s="25"/>
    </row>
    <row r="36" spans="1:9" ht="15">
      <c r="A36" s="2"/>
      <c r="B36" s="56" t="s">
        <v>47</v>
      </c>
      <c r="C36" s="25"/>
      <c r="D36" s="25"/>
      <c r="E36" s="25"/>
      <c r="F36" s="25"/>
      <c r="G36" s="43"/>
      <c r="H36" s="43">
        <f>G34-G35</f>
        <v>313689.86285000003</v>
      </c>
      <c r="I36" s="25"/>
    </row>
    <row r="37" spans="1:9" ht="15">
      <c r="A37" s="2"/>
      <c r="B37" s="52"/>
      <c r="C37" s="25"/>
      <c r="D37" s="25"/>
      <c r="E37" s="25"/>
      <c r="F37" s="25"/>
      <c r="G37" s="25"/>
      <c r="H37" s="25"/>
      <c r="I37" s="25"/>
    </row>
    <row r="38" spans="1:9" ht="15">
      <c r="A38" s="2"/>
      <c r="B38" s="56" t="s">
        <v>48</v>
      </c>
      <c r="C38" s="25"/>
      <c r="D38" s="25"/>
      <c r="E38" s="25"/>
      <c r="F38" s="25"/>
      <c r="G38" s="45"/>
      <c r="H38" s="43">
        <f>H36-H32</f>
        <v>121230.78285000002</v>
      </c>
      <c r="I38" s="26"/>
    </row>
    <row r="39" spans="1:9" ht="15">
      <c r="A39" s="2"/>
      <c r="B39" s="52"/>
      <c r="C39" s="25"/>
      <c r="D39" s="25"/>
      <c r="E39" s="25"/>
      <c r="F39" s="25"/>
      <c r="G39" s="25"/>
      <c r="H39" s="45"/>
      <c r="I39" s="25"/>
    </row>
    <row r="40" spans="1:9" ht="15">
      <c r="A40" s="2"/>
      <c r="B40" s="56" t="s">
        <v>35</v>
      </c>
      <c r="C40" s="26"/>
      <c r="D40" s="26"/>
      <c r="E40" s="26"/>
      <c r="F40" s="25"/>
      <c r="G40" s="25"/>
      <c r="H40" s="37"/>
      <c r="I40" s="25"/>
    </row>
    <row r="41" spans="1:9" ht="15">
      <c r="A41" s="2"/>
      <c r="B41" s="56"/>
      <c r="C41" s="26"/>
      <c r="D41" s="26"/>
      <c r="E41" s="26"/>
      <c r="F41" s="25"/>
      <c r="G41" s="25"/>
      <c r="H41" s="25"/>
      <c r="I41" s="25"/>
    </row>
    <row r="42" spans="1:9" ht="15">
      <c r="A42" s="2"/>
      <c r="B42" s="56" t="s">
        <v>36</v>
      </c>
      <c r="C42" s="26"/>
      <c r="D42" s="26"/>
      <c r="E42" s="26"/>
      <c r="F42" s="25"/>
      <c r="G42" s="43">
        <f>H38</f>
        <v>121230.78285000002</v>
      </c>
      <c r="H42" s="45"/>
      <c r="I42" s="37"/>
    </row>
    <row r="43" spans="1:9" ht="15">
      <c r="A43" s="2"/>
      <c r="B43" s="56" t="s">
        <v>55</v>
      </c>
      <c r="C43" s="26"/>
      <c r="D43" s="26"/>
      <c r="E43" s="26"/>
      <c r="F43" s="25"/>
      <c r="G43" s="33">
        <f>SUM(D13:D24)</f>
        <v>112212</v>
      </c>
      <c r="H43" s="31"/>
      <c r="I43" s="31"/>
    </row>
    <row r="44" spans="1:9" ht="15">
      <c r="A44" s="2"/>
      <c r="B44" s="56" t="s">
        <v>37</v>
      </c>
      <c r="C44" s="26"/>
      <c r="D44" s="26"/>
      <c r="E44" s="26"/>
      <c r="F44" s="25"/>
      <c r="G44" s="46">
        <f>G42/G43</f>
        <v>1.0803727128114642</v>
      </c>
      <c r="H44" s="46"/>
      <c r="I44" s="37"/>
    </row>
    <row r="45" spans="1:9" ht="15">
      <c r="A45" s="2"/>
      <c r="B45" s="56"/>
      <c r="C45" s="26"/>
      <c r="D45" s="26"/>
      <c r="E45" s="26"/>
      <c r="F45" s="25"/>
      <c r="G45" s="25"/>
      <c r="H45" s="25"/>
      <c r="I45" s="25"/>
    </row>
    <row r="46" spans="1:13" ht="15">
      <c r="A46" s="2"/>
      <c r="B46" s="56"/>
      <c r="C46" s="26"/>
      <c r="D46" s="26"/>
      <c r="E46" s="26"/>
      <c r="F46" s="25"/>
      <c r="G46" s="25"/>
      <c r="H46" s="25"/>
      <c r="I46" s="27" t="s">
        <v>53</v>
      </c>
      <c r="J46" s="88"/>
      <c r="L46" s="88"/>
      <c r="M46" s="88"/>
    </row>
    <row r="47" spans="1:13" ht="1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40" t="s">
        <v>54</v>
      </c>
      <c r="L47" s="89"/>
      <c r="M47" s="89"/>
    </row>
    <row r="48" spans="1:13" ht="15">
      <c r="A48" s="2"/>
      <c r="B48" s="56" t="s">
        <v>56</v>
      </c>
      <c r="C48" s="26"/>
      <c r="D48" s="26"/>
      <c r="E48" s="26"/>
      <c r="F48" s="48"/>
      <c r="G48" s="49"/>
      <c r="H48" s="48">
        <f>E25</f>
        <v>313689.86285000003</v>
      </c>
      <c r="I48" s="48">
        <f>ROUND(H48*0.7,0)</f>
        <v>219583</v>
      </c>
      <c r="M48" s="88"/>
    </row>
    <row r="49" spans="1:9" ht="15">
      <c r="A49" s="2"/>
      <c r="B49" s="56" t="s">
        <v>57</v>
      </c>
      <c r="C49" s="26"/>
      <c r="D49" s="26"/>
      <c r="E49" s="26"/>
      <c r="F49" s="44"/>
      <c r="G49" s="44"/>
      <c r="H49" s="44">
        <f>D25</f>
        <v>112212</v>
      </c>
      <c r="I49" s="44">
        <f>H49</f>
        <v>112212</v>
      </c>
    </row>
    <row r="50" spans="1:9" ht="15">
      <c r="A50" s="2"/>
      <c r="B50" s="52"/>
      <c r="C50" s="25"/>
      <c r="D50" s="25"/>
      <c r="E50" s="25"/>
      <c r="F50" s="26"/>
      <c r="G50" s="26"/>
      <c r="H50" s="26"/>
      <c r="I50" s="50"/>
    </row>
    <row r="51" spans="1:9" ht="1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2.795510844205611</v>
      </c>
      <c r="I51" s="50">
        <f>+ROUND(I48/I49,2)</f>
        <v>1.96</v>
      </c>
    </row>
    <row r="52" spans="1:9" ht="15">
      <c r="A52" s="2"/>
      <c r="B52" s="52"/>
      <c r="C52" s="25"/>
      <c r="D52" s="25"/>
      <c r="E52" s="26" t="s">
        <v>51</v>
      </c>
      <c r="F52" s="26"/>
      <c r="G52" s="26"/>
      <c r="H52" s="50">
        <f>G44</f>
        <v>1.0803727128114642</v>
      </c>
      <c r="I52" s="50">
        <f>G44</f>
        <v>1.0803727128114642</v>
      </c>
    </row>
    <row r="53" spans="1:9" ht="1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3.875883557017075</v>
      </c>
      <c r="I53" s="51">
        <f>SUM(I51:I52)</f>
        <v>3.040372712811464</v>
      </c>
    </row>
    <row r="54" spans="1:9" ht="15.75" thickBot="1">
      <c r="A54" s="2"/>
      <c r="B54" s="52"/>
      <c r="C54" s="25"/>
      <c r="D54" s="25"/>
      <c r="E54" s="25"/>
      <c r="F54" s="26"/>
      <c r="G54" s="26"/>
      <c r="H54" s="26"/>
      <c r="I54" s="94"/>
    </row>
    <row r="55" spans="6:9" ht="15.75" thickBot="1">
      <c r="F55" s="93" t="s">
        <v>128</v>
      </c>
      <c r="I55" s="95">
        <f>F80</f>
        <v>3.3200000000000003</v>
      </c>
    </row>
    <row r="56" ht="15.75" thickBot="1"/>
    <row r="57" spans="3:8" ht="15">
      <c r="C57" s="96" t="s">
        <v>112</v>
      </c>
      <c r="D57" s="97"/>
      <c r="E57" s="97"/>
      <c r="F57" s="97"/>
      <c r="G57" s="97"/>
      <c r="H57" s="98"/>
    </row>
    <row r="58" spans="3:8" ht="15">
      <c r="C58" s="99" t="s">
        <v>109</v>
      </c>
      <c r="D58" s="92"/>
      <c r="E58" s="92"/>
      <c r="F58" s="92"/>
      <c r="G58" s="92"/>
      <c r="H58" s="100"/>
    </row>
    <row r="59" spans="3:8" ht="15">
      <c r="C59" s="99" t="s">
        <v>117</v>
      </c>
      <c r="D59" s="92"/>
      <c r="E59" s="92"/>
      <c r="F59" s="101">
        <f>I52</f>
        <v>1.0803727128114642</v>
      </c>
      <c r="G59" s="92"/>
      <c r="H59" s="100"/>
    </row>
    <row r="60" spans="3:8" ht="15">
      <c r="C60" s="99" t="s">
        <v>114</v>
      </c>
      <c r="D60" s="92"/>
      <c r="E60" s="92"/>
      <c r="F60" s="102">
        <f>H49</f>
        <v>112212</v>
      </c>
      <c r="G60" s="92"/>
      <c r="H60" s="100"/>
    </row>
    <row r="61" spans="3:8" ht="15">
      <c r="C61" s="99" t="s">
        <v>111</v>
      </c>
      <c r="D61" s="92"/>
      <c r="E61" s="92"/>
      <c r="F61" s="92"/>
      <c r="G61" s="103">
        <f>F59*F60</f>
        <v>121230.78285000002</v>
      </c>
      <c r="H61" s="100"/>
    </row>
    <row r="62" spans="3:8" ht="15">
      <c r="C62" s="99"/>
      <c r="D62" s="92"/>
      <c r="E62" s="92"/>
      <c r="F62" s="92"/>
      <c r="G62" s="92"/>
      <c r="H62" s="100"/>
    </row>
    <row r="63" spans="3:8" ht="15">
      <c r="C63" s="99" t="s">
        <v>118</v>
      </c>
      <c r="D63" s="92"/>
      <c r="E63" s="92"/>
      <c r="F63" s="101">
        <v>0.24</v>
      </c>
      <c r="G63" s="92"/>
      <c r="H63" s="100"/>
    </row>
    <row r="64" spans="3:8" ht="15">
      <c r="C64" s="99" t="s">
        <v>123</v>
      </c>
      <c r="D64" s="92"/>
      <c r="E64" s="92"/>
      <c r="F64" s="102">
        <f>H49/12*3</f>
        <v>28053</v>
      </c>
      <c r="G64" s="92"/>
      <c r="H64" s="100"/>
    </row>
    <row r="65" spans="3:8" ht="15">
      <c r="C65" s="99" t="s">
        <v>124</v>
      </c>
      <c r="D65" s="92"/>
      <c r="E65" s="92"/>
      <c r="F65" s="92"/>
      <c r="G65" s="104">
        <f>F64*F63</f>
        <v>6732.719999999999</v>
      </c>
      <c r="H65" s="100"/>
    </row>
    <row r="66" spans="3:8" ht="15">
      <c r="C66" s="99"/>
      <c r="D66" s="92"/>
      <c r="E66" s="92"/>
      <c r="F66" s="92"/>
      <c r="G66" s="92"/>
      <c r="H66" s="100"/>
    </row>
    <row r="67" spans="3:9" ht="15">
      <c r="C67" s="99" t="s">
        <v>119</v>
      </c>
      <c r="D67" s="92"/>
      <c r="E67" s="92"/>
      <c r="F67" s="101">
        <f>G69/F68</f>
        <v>1.36</v>
      </c>
      <c r="G67" s="92"/>
      <c r="H67" s="100"/>
      <c r="I67" s="111"/>
    </row>
    <row r="68" spans="3:8" ht="15">
      <c r="C68" s="99" t="s">
        <v>125</v>
      </c>
      <c r="D68" s="92"/>
      <c r="E68" s="92"/>
      <c r="F68" s="102">
        <f>H49/12*9</f>
        <v>84159</v>
      </c>
      <c r="G68" s="92"/>
      <c r="H68" s="100"/>
    </row>
    <row r="69" spans="3:9" ht="15">
      <c r="C69" s="99" t="s">
        <v>126</v>
      </c>
      <c r="D69" s="92"/>
      <c r="E69" s="92"/>
      <c r="F69" s="92"/>
      <c r="G69" s="104">
        <f>F68*F67</f>
        <v>114456.24</v>
      </c>
      <c r="H69" s="105"/>
      <c r="I69" s="88"/>
    </row>
    <row r="70" spans="3:8" ht="15">
      <c r="C70" s="99"/>
      <c r="D70" s="92"/>
      <c r="E70" s="92"/>
      <c r="F70" s="92"/>
      <c r="G70" s="92"/>
      <c r="H70" s="106"/>
    </row>
    <row r="71" spans="3:8" ht="15">
      <c r="C71" s="99" t="s">
        <v>28</v>
      </c>
      <c r="D71" s="92"/>
      <c r="E71" s="92"/>
      <c r="F71" s="92"/>
      <c r="G71" s="92"/>
      <c r="H71" s="100"/>
    </row>
    <row r="72" spans="3:8" ht="15">
      <c r="C72" s="99" t="s">
        <v>113</v>
      </c>
      <c r="D72" s="92"/>
      <c r="E72" s="92"/>
      <c r="F72" s="92"/>
      <c r="G72" s="103">
        <f>G65+G69</f>
        <v>121188.96</v>
      </c>
      <c r="H72" s="100"/>
    </row>
    <row r="73" spans="3:8" ht="15">
      <c r="C73" s="99"/>
      <c r="D73" s="92"/>
      <c r="E73" s="92"/>
      <c r="F73" s="92"/>
      <c r="G73" s="92"/>
      <c r="H73" s="100"/>
    </row>
    <row r="74" spans="3:8" ht="15">
      <c r="C74" s="99" t="s">
        <v>115</v>
      </c>
      <c r="D74" s="92"/>
      <c r="E74" s="92"/>
      <c r="F74" s="102"/>
      <c r="G74" s="104">
        <f>G61-G72</f>
        <v>41.822850000011385</v>
      </c>
      <c r="H74" s="100" t="s">
        <v>116</v>
      </c>
    </row>
    <row r="75" spans="3:8" ht="15">
      <c r="C75" s="99"/>
      <c r="D75" s="92"/>
      <c r="E75" s="92"/>
      <c r="F75" s="102"/>
      <c r="G75" s="104"/>
      <c r="H75" s="100"/>
    </row>
    <row r="76" spans="3:8" ht="15">
      <c r="C76" s="99"/>
      <c r="D76" s="92"/>
      <c r="E76" s="92"/>
      <c r="F76" s="102"/>
      <c r="G76" s="104"/>
      <c r="H76" s="100"/>
    </row>
    <row r="77" spans="3:8" ht="15">
      <c r="C77" s="99" t="s">
        <v>120</v>
      </c>
      <c r="D77" s="92"/>
      <c r="E77" s="92"/>
      <c r="F77" s="102"/>
      <c r="G77" s="104"/>
      <c r="H77" s="100"/>
    </row>
    <row r="78" spans="3:8" ht="15">
      <c r="C78" s="99" t="s">
        <v>121</v>
      </c>
      <c r="D78" s="92"/>
      <c r="E78" s="92"/>
      <c r="F78" s="101">
        <f>I51</f>
        <v>1.96</v>
      </c>
      <c r="G78" s="104"/>
      <c r="H78" s="100"/>
    </row>
    <row r="79" spans="3:8" ht="15">
      <c r="C79" s="99" t="s">
        <v>122</v>
      </c>
      <c r="D79" s="92"/>
      <c r="E79" s="92"/>
      <c r="F79" s="101">
        <f>F67</f>
        <v>1.36</v>
      </c>
      <c r="G79" s="104"/>
      <c r="H79" s="100"/>
    </row>
    <row r="80" spans="3:8" ht="15">
      <c r="C80" s="99" t="s">
        <v>127</v>
      </c>
      <c r="D80" s="92"/>
      <c r="E80" s="92"/>
      <c r="F80" s="110">
        <f>F78+F79</f>
        <v>3.3200000000000003</v>
      </c>
      <c r="G80" s="104"/>
      <c r="H80" s="100"/>
    </row>
    <row r="81" spans="3:8" ht="15">
      <c r="C81" s="99"/>
      <c r="D81" s="92"/>
      <c r="E81" s="92"/>
      <c r="F81" s="101"/>
      <c r="G81" s="104"/>
      <c r="H81" s="100"/>
    </row>
    <row r="82" spans="3:8" ht="15.75" thickBot="1">
      <c r="C82" s="107"/>
      <c r="D82" s="108"/>
      <c r="E82" s="108"/>
      <c r="F82" s="108"/>
      <c r="G82" s="108"/>
      <c r="H82" s="1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Irmgard Wilcox</cp:lastModifiedBy>
  <cp:lastPrinted>2013-01-07T18:28:21Z</cp:lastPrinted>
  <dcterms:created xsi:type="dcterms:W3CDTF">2005-01-10T14:13:56Z</dcterms:created>
  <dcterms:modified xsi:type="dcterms:W3CDTF">2013-01-23T19:06:26Z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111681</vt:lpwstr>
  </property>
  <property fmtid="{D5CDD505-2E9C-101B-9397-08002B2CF9AE}" pid="6" name="IsConfidenti">
    <vt:lpwstr>0</vt:lpwstr>
  </property>
  <property fmtid="{D5CDD505-2E9C-101B-9397-08002B2CF9AE}" pid="7" name="Dat">
    <vt:lpwstr>2013-01-23T00:00:00Z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2011-09-16T00:00:00Z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